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aiso3\E\D-業務\業務\B-各担当別\横井\06_Kubota\※SS12 出荷管理表\"/>
    </mc:Choice>
  </mc:AlternateContent>
  <xr:revisionPtr revIDLastSave="0" documentId="13_ncr:81_{7A365A15-2590-447E-87C2-572787D84AE8}" xr6:coauthVersionLast="47" xr6:coauthVersionMax="47" xr10:uidLastSave="{00000000-0000-0000-0000-000000000000}"/>
  <bookViews>
    <workbookView xWindow="28680" yWindow="-1920" windowWidth="29040" windowHeight="17520" tabRatio="785" activeTab="1" xr2:uid="{91248FD5-D916-4DB8-83CD-D82EAC80F378}"/>
  </bookViews>
  <sheets>
    <sheet name="ステー(ラジエータ)" sheetId="1" r:id="rId1"/>
    <sheet name="欧州向けフレームコンプ(フロント) (末番変更)" sheetId="2" r:id="rId2"/>
    <sheet name="カバーコンプ(エアコン)" sheetId="3" r:id="rId3"/>
    <sheet name="ブラケット(ファン)" sheetId="4" r:id="rId4"/>
    <sheet name="SS23 フレームコンプ(フロント) (末番2)" sheetId="5" r:id="rId5"/>
    <sheet name="SS23 フレームコンプ(フロント) (末番3)" sheetId="6" r:id="rId6"/>
    <sheet name="SS23 カバーコンプ(エアコン)" sheetId="7" r:id="rId7"/>
  </sheets>
  <externalReferences>
    <externalReference r:id="rId8"/>
  </externalReferences>
  <definedNames>
    <definedName name="_xlnm.Print_Area" localSheetId="0">'ステー(ラジエータ)'!$A$1:$W$116</definedName>
    <definedName name="Z_0F0ED987_057D_4D51_B464_C7C0C85EB14F_.wvu.Cols" localSheetId="0" hidden="1">'ステー(ラジエータ)'!$G:$P</definedName>
    <definedName name="Z_0F0ED987_057D_4D51_B464_C7C0C85EB14F_.wvu.PrintArea" localSheetId="0" hidden="1">'ステー(ラジエータ)'!$A$1:$W$116</definedName>
    <definedName name="Z_0F0ED987_057D_4D51_B464_C7C0C85EB14F_.wvu.Rows" localSheetId="6" hidden="1">'SS23 カバーコンプ(エアコン)'!$3:$168</definedName>
    <definedName name="Z_0F0ED987_057D_4D51_B464_C7C0C85EB14F_.wvu.Rows" localSheetId="2" hidden="1">'カバーコンプ(エアコン)'!$3:$396</definedName>
    <definedName name="Z_0F0ED987_057D_4D51_B464_C7C0C85EB14F_.wvu.Rows" localSheetId="0" hidden="1">'ステー(ラジエータ)'!$3:$396</definedName>
    <definedName name="Z_0F0ED987_057D_4D51_B464_C7C0C85EB14F_.wvu.Rows" localSheetId="3" hidden="1">'ブラケット(ファン)'!$3:$396</definedName>
    <definedName name="Z_0F97D042_C15F_481A_A24D_94F15C0648A1_.wvu.Cols" localSheetId="0" hidden="1">'ステー(ラジエータ)'!$G:$Z</definedName>
    <definedName name="Z_0F97D042_C15F_481A_A24D_94F15C0648A1_.wvu.PrintArea" localSheetId="0" hidden="1">'ステー(ラジエータ)'!$A$1:$W$116</definedName>
    <definedName name="Z_0F97D042_C15F_481A_A24D_94F15C0648A1_.wvu.Rows" localSheetId="6" hidden="1">'SS23 カバーコンプ(エアコン)'!$3:$505</definedName>
    <definedName name="Z_0F97D042_C15F_481A_A24D_94F15C0648A1_.wvu.Rows" localSheetId="4" hidden="1">'SS23 フレームコンプ(フロント) (末番2)'!$3:$120</definedName>
    <definedName name="Z_0F97D042_C15F_481A_A24D_94F15C0648A1_.wvu.Rows" localSheetId="5" hidden="1">'SS23 フレームコンプ(フロント) (末番3)'!#REF!</definedName>
    <definedName name="Z_0F97D042_C15F_481A_A24D_94F15C0648A1_.wvu.Rows" localSheetId="2" hidden="1">'カバーコンプ(エアコン)'!$3:$698</definedName>
    <definedName name="Z_0F97D042_C15F_481A_A24D_94F15C0648A1_.wvu.Rows" localSheetId="0" hidden="1">'ステー(ラジエータ)'!$3:$698</definedName>
    <definedName name="Z_0F97D042_C15F_481A_A24D_94F15C0648A1_.wvu.Rows" localSheetId="3" hidden="1">'ブラケット(ファン)'!$3:$698</definedName>
    <definedName name="Z_0F97D042_C15F_481A_A24D_94F15C0648A1_.wvu.Rows" localSheetId="1" hidden="1">'欧州向けフレームコンプ(フロント) (末番変更)'!$3:$196</definedName>
    <definedName name="Z_48C6E8DD_1D04_4B0D_86CF_B8ECBCB979B9_.wvu.PrintArea" localSheetId="0" hidden="1">'ステー(ラジエータ)'!$A$1:$W$116</definedName>
    <definedName name="Z_48C6E8DD_1D04_4B0D_86CF_B8ECBCB979B9_.wvu.Rows" localSheetId="2" hidden="1">'カバーコンプ(エアコン)'!$3:$95</definedName>
    <definedName name="Z_48C6E8DD_1D04_4B0D_86CF_B8ECBCB979B9_.wvu.Rows" localSheetId="0" hidden="1">'ステー(ラジエータ)'!$3:$83</definedName>
    <definedName name="Z_48C6E8DD_1D04_4B0D_86CF_B8ECBCB979B9_.wvu.Rows" localSheetId="3" hidden="1">'ブラケット(ファン)'!$3:$95</definedName>
    <definedName name="Z_48C6E8DD_1D04_4B0D_86CF_B8ECBCB979B9_.wvu.Rows" localSheetId="1" hidden="1">'欧州向けフレームコンプ(フロント) (末番変更)'!#REF!</definedName>
    <definedName name="Z_67AA7247_9969_44D1_A312_CE29558EF448_.wvu.Cols" localSheetId="0" hidden="1">'ステー(ラジエータ)'!$G:$N</definedName>
    <definedName name="Z_67AA7247_9969_44D1_A312_CE29558EF448_.wvu.PrintArea" localSheetId="0" hidden="1">'ステー(ラジエータ)'!$A$1:$W$116</definedName>
    <definedName name="Z_67AA7247_9969_44D1_A312_CE29558EF448_.wvu.Rows" localSheetId="6" hidden="1">'SS23 カバーコンプ(エアコン)'!$3:$13</definedName>
    <definedName name="Z_67AA7247_9969_44D1_A312_CE29558EF448_.wvu.Rows" localSheetId="4" hidden="1">'SS23 フレームコンプ(フロント) (末番2)'!#REF!</definedName>
    <definedName name="Z_67AA7247_9969_44D1_A312_CE29558EF448_.wvu.Rows" localSheetId="5" hidden="1">'SS23 フレームコンプ(フロント) (末番3)'!#REF!</definedName>
    <definedName name="Z_67AA7247_9969_44D1_A312_CE29558EF448_.wvu.Rows" localSheetId="2" hidden="1">'カバーコンプ(エアコン)'!$3:$32</definedName>
    <definedName name="Z_67AA7247_9969_44D1_A312_CE29558EF448_.wvu.Rows" localSheetId="0" hidden="1">'ステー(ラジエータ)'!$3:$83</definedName>
    <definedName name="Z_67AA7247_9969_44D1_A312_CE29558EF448_.wvu.Rows" localSheetId="3" hidden="1">'ブラケット(ファン)'!$3:$32</definedName>
    <definedName name="Z_67AA7247_9969_44D1_A312_CE29558EF448_.wvu.Rows" localSheetId="1" hidden="1">'欧州向けフレームコンプ(フロント) (末番変更)'!#REF!</definedName>
    <definedName name="Z_71D64ACB_0C5A_4845_B610_45B8D3A5CAD0_.wvu.Cols" localSheetId="0" hidden="1">'ステー(ラジエータ)'!$G:$N</definedName>
    <definedName name="Z_71D64ACB_0C5A_4845_B610_45B8D3A5CAD0_.wvu.PrintArea" localSheetId="0" hidden="1">'ステー(ラジエータ)'!$A$1:$W$116</definedName>
    <definedName name="Z_71D64ACB_0C5A_4845_B610_45B8D3A5CAD0_.wvu.Rows" localSheetId="6" hidden="1">'SS23 カバーコンプ(エアコン)'!$3:$13</definedName>
    <definedName name="Z_71D64ACB_0C5A_4845_B610_45B8D3A5CAD0_.wvu.Rows" localSheetId="4" hidden="1">'SS23 フレームコンプ(フロント) (末番2)'!#REF!</definedName>
    <definedName name="Z_71D64ACB_0C5A_4845_B610_45B8D3A5CAD0_.wvu.Rows" localSheetId="5" hidden="1">'SS23 フレームコンプ(フロント) (末番3)'!#REF!</definedName>
    <definedName name="Z_71D64ACB_0C5A_4845_B610_45B8D3A5CAD0_.wvu.Rows" localSheetId="2" hidden="1">'カバーコンプ(エアコン)'!$3:$32</definedName>
    <definedName name="Z_71D64ACB_0C5A_4845_B610_45B8D3A5CAD0_.wvu.Rows" localSheetId="0" hidden="1">'ステー(ラジエータ)'!$3:$347</definedName>
    <definedName name="Z_71D64ACB_0C5A_4845_B610_45B8D3A5CAD0_.wvu.Rows" localSheetId="3" hidden="1">'ブラケット(ファン)'!$3:$32</definedName>
    <definedName name="Z_71D64ACB_0C5A_4845_B610_45B8D3A5CAD0_.wvu.Rows" localSheetId="1" hidden="1">'欧州向けフレームコンプ(フロント) (末番変更)'!#REF!</definedName>
    <definedName name="Z_7E11D236_C3AC_4177_91D6_AE97935356F8_.wvu.Cols" localSheetId="0" hidden="1">'ステー(ラジエータ)'!$G:$N</definedName>
    <definedName name="Z_7E11D236_C3AC_4177_91D6_AE97935356F8_.wvu.PrintArea" localSheetId="0" hidden="1">'ステー(ラジエータ)'!$A$1:$W$116</definedName>
    <definedName name="Z_7E11D236_C3AC_4177_91D6_AE97935356F8_.wvu.Rows" localSheetId="6" hidden="1">'SS23 カバーコンプ(エアコン)'!$3:$13</definedName>
    <definedName name="Z_7E11D236_C3AC_4177_91D6_AE97935356F8_.wvu.Rows" localSheetId="4" hidden="1">'SS23 フレームコンプ(フロント) (末番2)'!#REF!</definedName>
    <definedName name="Z_7E11D236_C3AC_4177_91D6_AE97935356F8_.wvu.Rows" localSheetId="5" hidden="1">'SS23 フレームコンプ(フロント) (末番3)'!#REF!</definedName>
    <definedName name="Z_7E11D236_C3AC_4177_91D6_AE97935356F8_.wvu.Rows" localSheetId="2" hidden="1">'カバーコンプ(エアコン)'!$3:$32</definedName>
    <definedName name="Z_7E11D236_C3AC_4177_91D6_AE97935356F8_.wvu.Rows" localSheetId="0" hidden="1">'ステー(ラジエータ)'!$3:$347</definedName>
    <definedName name="Z_7E11D236_C3AC_4177_91D6_AE97935356F8_.wvu.Rows" localSheetId="3" hidden="1">'ブラケット(ファン)'!$3:$32</definedName>
    <definedName name="Z_7E11D236_C3AC_4177_91D6_AE97935356F8_.wvu.Rows" localSheetId="1" hidden="1">'欧州向けフレームコンプ(フロント) (末番変更)'!#REF!</definedName>
    <definedName name="Z_7F9E5EBC_BEB4_4E3F_8F40_CA3D4F534F5B_.wvu.Cols" localSheetId="0" hidden="1">'ステー(ラジエータ)'!$G:$Z</definedName>
    <definedName name="Z_7F9E5EBC_BEB4_4E3F_8F40_CA3D4F534F5B_.wvu.PrintArea" localSheetId="0" hidden="1">'ステー(ラジエータ)'!$A$1:$W$116</definedName>
    <definedName name="Z_7F9E5EBC_BEB4_4E3F_8F40_CA3D4F534F5B_.wvu.Rows" localSheetId="6" hidden="1">'SS23 カバーコンプ(エアコン)'!$3:$625</definedName>
    <definedName name="Z_7F9E5EBC_BEB4_4E3F_8F40_CA3D4F534F5B_.wvu.Rows" localSheetId="4" hidden="1">'SS23 フレームコンプ(フロント) (末番2)'!$3:$240</definedName>
    <definedName name="Z_7F9E5EBC_BEB4_4E3F_8F40_CA3D4F534F5B_.wvu.Rows" localSheetId="5" hidden="1">'SS23 フレームコンプ(フロント) (末番3)'!$3:$24</definedName>
    <definedName name="Z_7F9E5EBC_BEB4_4E3F_8F40_CA3D4F534F5B_.wvu.Rows" localSheetId="2" hidden="1">'カバーコンプ(エアコン)'!$3:$818</definedName>
    <definedName name="Z_7F9E5EBC_BEB4_4E3F_8F40_CA3D4F534F5B_.wvu.Rows" localSheetId="0" hidden="1">'ステー(ラジエータ)'!$3:$818</definedName>
    <definedName name="Z_7F9E5EBC_BEB4_4E3F_8F40_CA3D4F534F5B_.wvu.Rows" localSheetId="3" hidden="1">'ブラケット(ファン)'!$3:$818</definedName>
    <definedName name="Z_7F9E5EBC_BEB4_4E3F_8F40_CA3D4F534F5B_.wvu.Rows" localSheetId="1" hidden="1">'欧州向けフレームコンプ(フロント) (末番変更)'!$3:$316</definedName>
    <definedName name="Z_811078A9_B23B_425F_A62A_22C4D8EF8733_.wvu.Cols" localSheetId="0" hidden="1">'ステー(ラジエータ)'!$G:$M</definedName>
    <definedName name="Z_811078A9_B23B_425F_A62A_22C4D8EF8733_.wvu.PrintArea" localSheetId="0" hidden="1">'ステー(ラジエータ)'!$A$1:$W$116</definedName>
    <definedName name="Z_811078A9_B23B_425F_A62A_22C4D8EF8733_.wvu.Rows" localSheetId="6" hidden="1">'SS23 カバーコンプ(エアコン)'!$3:$295</definedName>
    <definedName name="Z_811078A9_B23B_425F_A62A_22C4D8EF8733_.wvu.Rows" localSheetId="5" hidden="1">'SS23 フレームコンプ(フロント) (末番3)'!$3:$24</definedName>
    <definedName name="Z_811078A9_B23B_425F_A62A_22C4D8EF8733_.wvu.Rows" localSheetId="2" hidden="1">'カバーコンプ(エアコン)'!$3:$32</definedName>
    <definedName name="Z_811078A9_B23B_425F_A62A_22C4D8EF8733_.wvu.Rows" localSheetId="0" hidden="1">'ステー(ラジエータ)'!$3:$488</definedName>
    <definedName name="Z_811078A9_B23B_425F_A62A_22C4D8EF8733_.wvu.Rows" localSheetId="3" hidden="1">'ブラケット(ファン)'!$3:$32</definedName>
    <definedName name="Z_811078A9_B23B_425F_A62A_22C4D8EF8733_.wvu.Rows" localSheetId="1" hidden="1">'欧州向けフレームコンプ(フロント) (末番変更)'!$3:$14</definedName>
    <definedName name="Z_D886DC16_62E0_4EAA_A787_2FA2A24DFCFE_.wvu.Cols" localSheetId="0" hidden="1">'ステー(ラジエータ)'!$G:$Z</definedName>
    <definedName name="Z_D886DC16_62E0_4EAA_A787_2FA2A24DFCFE_.wvu.PrintArea" localSheetId="0" hidden="1">'ステー(ラジエータ)'!$A$1:$W$116</definedName>
    <definedName name="Z_D886DC16_62E0_4EAA_A787_2FA2A24DFCFE_.wvu.Rows" localSheetId="6" hidden="1">'SS23 カバーコンプ(エアコン)'!$3:$593</definedName>
    <definedName name="Z_D886DC16_62E0_4EAA_A787_2FA2A24DFCFE_.wvu.Rows" localSheetId="4" hidden="1">'SS23 フレームコンプ(フロント) (末番2)'!$3:$208</definedName>
    <definedName name="Z_D886DC16_62E0_4EAA_A787_2FA2A24DFCFE_.wvu.Rows" localSheetId="2" hidden="1">'カバーコンプ(エアコン)'!$3:$698</definedName>
    <definedName name="Z_D886DC16_62E0_4EAA_A787_2FA2A24DFCFE_.wvu.Rows" localSheetId="0" hidden="1">'ステー(ラジエータ)'!$3:$786</definedName>
    <definedName name="Z_D886DC16_62E0_4EAA_A787_2FA2A24DFCFE_.wvu.Rows" localSheetId="3" hidden="1">'ブラケット(ファン)'!$3:$786</definedName>
    <definedName name="Z_D886DC16_62E0_4EAA_A787_2FA2A24DFCFE_.wvu.Rows" localSheetId="1" hidden="1">'欧州向けフレームコンプ(フロント) (末番変更)'!$3:$284</definedName>
    <definedName name="Z_DF7FFCE6_325C_4337_ACE2_63AB5F5E5D7C_.wvu.Cols" localSheetId="0" hidden="1">'ステー(ラジエータ)'!$G:$M</definedName>
    <definedName name="Z_DF7FFCE6_325C_4337_ACE2_63AB5F5E5D7C_.wvu.PrintArea" localSheetId="0" hidden="1">'ステー(ラジエータ)'!$A$1:$W$116</definedName>
    <definedName name="Z_DF7FFCE6_325C_4337_ACE2_63AB5F5E5D7C_.wvu.Rows" localSheetId="6" hidden="1">'SS23 カバーコンプ(エアコン)'!$3:$13</definedName>
    <definedName name="Z_DF7FFCE6_325C_4337_ACE2_63AB5F5E5D7C_.wvu.Rows" localSheetId="4" hidden="1">'SS23 フレームコンプ(フロント) (末番2)'!$3:$22</definedName>
    <definedName name="Z_DF7FFCE6_325C_4337_ACE2_63AB5F5E5D7C_.wvu.Rows" localSheetId="5" hidden="1">'SS23 フレームコンプ(フロント) (末番3)'!#REF!</definedName>
    <definedName name="Z_DF7FFCE6_325C_4337_ACE2_63AB5F5E5D7C_.wvu.Rows" localSheetId="2" hidden="1">'カバーコンプ(エアコン)'!$3:$32</definedName>
    <definedName name="Z_DF7FFCE6_325C_4337_ACE2_63AB5F5E5D7C_.wvu.Rows" localSheetId="0" hidden="1">'ステー(ラジエータ)'!$3:$83</definedName>
    <definedName name="Z_DF7FFCE6_325C_4337_ACE2_63AB5F5E5D7C_.wvu.Rows" localSheetId="3" hidden="1">'ブラケット(ファン)'!$3:$32</definedName>
  </definedNames>
  <calcPr calcId="181029"/>
  <customWorkbookViews>
    <customWorkbookView name="Gyomu - 個人用ビュー" guid="{0F97D042-C15F-481A-A24D-94F15C0648A1}" mergeInterval="0" personalView="1" maximized="1" xWindow="-9" yWindow="-9" windowWidth="1938" windowHeight="1038" tabRatio="741" activeSheetId="1"/>
    <customWorkbookView name="Seisan - 個人用ビュー" guid="{67AA7247-9969-44D1-A312-CE29558EF448}" mergeInterval="0" personalView="1" maximized="1" xWindow="-9" yWindow="-9" windowWidth="1938" windowHeight="1048" activeSheetId="1"/>
    <customWorkbookView name="Gyoumu - 個人用ビュー" guid="{71D64ACB-0C5A-4845-B610-45B8D3A5CAD0}" mergeInterval="0" personalView="1" maximized="1" xWindow="1912" yWindow="-8" windowWidth="1936" windowHeight="1048" activeSheetId="7"/>
    <customWorkbookView name="上野理恵 - 個人用ビュー" guid="{48C6E8DD-1D04-4B0D-86CF-B8ECBCB979B9}" mergeInterval="0" personalView="1" maximized="1" xWindow="-8" yWindow="-8" windowWidth="1936" windowHeight="1046" activeSheetId="4"/>
    <customWorkbookView name="gyomu4 - 個人用ビュー" guid="{7E11D236-C3AC-4177-91D6-AE97935356F8}" mergeInterval="0" personalView="1" maximized="1" xWindow="-8" yWindow="-8" windowWidth="1382" windowHeight="744" activeSheetId="3"/>
    <customWorkbookView name="k-matsui - 個人用ビュー" guid="{DF7FFCE6-325C-4337-ACE2-63AB5F5E5D7C}" mergeInterval="0" personalView="1" xWindow="1969" yWindow="201" windowWidth="1152" windowHeight="592" activeSheetId="2"/>
    <customWorkbookView name="morikawa - 個人用ビュー" guid="{0F0ED987-057D-4D51-B464-C7C0C85EB14F}" mergeInterval="0" personalView="1" maximized="1" xWindow="1358" yWindow="-8" windowWidth="1936" windowHeight="1048" tabRatio="741" activeSheetId="4"/>
    <customWorkbookView name="tsujioka - 個人用ビュー" guid="{D886DC16-62E0-4EAA-A787-2FA2A24DFCFE}" mergeInterval="0" personalView="1" maximized="1" xWindow="1912" yWindow="-8" windowWidth="1936" windowHeight="1048" tabRatio="741" activeSheetId="1"/>
    <customWorkbookView name="k-terada - 個人用ビュー" guid="{811078A9-B23B-425F-A62A-22C4D8EF8733}" mergeInterval="0" personalView="1" maximized="1" xWindow="-8" yWindow="-8" windowWidth="1382" windowHeight="736" activeSheetId="6"/>
    <customWorkbookView name="y-hara - 個人用ビュー" guid="{7F9E5EBC-BEB4-4E3F-8F40-CA3D4F534F5B}" mergeInterval="0" personalView="1" maximized="1" xWindow="-8" yWindow="-8" windowWidth="1936" windowHeight="1048" tabRatio="785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31" i="2" l="1"/>
  <c r="AA333" i="2"/>
  <c r="AA332" i="2"/>
  <c r="AA835" i="1"/>
  <c r="C250" i="5" l="1"/>
  <c r="AC321" i="2"/>
  <c r="O822" i="3"/>
  <c r="AI821" i="1"/>
  <c r="O814" i="3"/>
  <c r="AG312" i="2"/>
  <c r="O812" i="3"/>
  <c r="AG310" i="2"/>
  <c r="AI813" i="1"/>
  <c r="C700" i="7"/>
  <c r="R704" i="7" s="1"/>
  <c r="C699" i="7"/>
  <c r="R703" i="7" s="1"/>
  <c r="C698" i="7"/>
  <c r="C697" i="7"/>
  <c r="C696" i="7"/>
  <c r="R698" i="7" s="1"/>
  <c r="C693" i="7"/>
  <c r="R697" i="7" s="1"/>
  <c r="C692" i="7"/>
  <c r="R696" i="7" s="1"/>
  <c r="C665" i="7"/>
  <c r="C664" i="7"/>
  <c r="C707" i="7"/>
  <c r="C706" i="7"/>
  <c r="C705" i="7"/>
  <c r="C704" i="7"/>
  <c r="C703" i="7"/>
  <c r="R705" i="7" s="1"/>
  <c r="C691" i="7"/>
  <c r="C690" i="7"/>
  <c r="C689" i="7"/>
  <c r="R691" i="7" s="1"/>
  <c r="C686" i="7"/>
  <c r="R690" i="7" s="1"/>
  <c r="C685" i="7"/>
  <c r="R689" i="7" s="1"/>
  <c r="C684" i="7"/>
  <c r="R686" i="7" s="1"/>
  <c r="C683" i="7"/>
  <c r="C682" i="7"/>
  <c r="C679" i="7"/>
  <c r="C678" i="7"/>
  <c r="C677" i="7"/>
  <c r="C676" i="7"/>
  <c r="C672" i="7"/>
  <c r="R677" i="7" s="1"/>
  <c r="C671" i="7"/>
  <c r="I102" i="6"/>
  <c r="I99" i="6"/>
  <c r="I98" i="6"/>
  <c r="N95" i="6"/>
  <c r="I91" i="6" s="1"/>
  <c r="N92" i="6"/>
  <c r="I90" i="6" s="1"/>
  <c r="C900" i="4"/>
  <c r="C899" i="4"/>
  <c r="C898" i="4"/>
  <c r="C897" i="4"/>
  <c r="C896" i="4"/>
  <c r="C893" i="4"/>
  <c r="C892" i="4"/>
  <c r="C891" i="4"/>
  <c r="C890" i="4"/>
  <c r="C889" i="4"/>
  <c r="C886" i="4"/>
  <c r="C885" i="4"/>
  <c r="C884" i="4"/>
  <c r="C883" i="4"/>
  <c r="C882" i="4"/>
  <c r="C879" i="4"/>
  <c r="C878" i="4"/>
  <c r="C877" i="4"/>
  <c r="C876" i="4"/>
  <c r="C875" i="4"/>
  <c r="C872" i="4"/>
  <c r="C871" i="4"/>
  <c r="C870" i="4"/>
  <c r="C869" i="4"/>
  <c r="C865" i="4"/>
  <c r="C864" i="4"/>
  <c r="H869" i="4" s="1"/>
  <c r="H869" i="3"/>
  <c r="N398" i="2"/>
  <c r="N397" i="2"/>
  <c r="N396" i="2"/>
  <c r="N395" i="2"/>
  <c r="N394" i="2"/>
  <c r="N391" i="2"/>
  <c r="I390" i="2" s="1"/>
  <c r="U390" i="2" s="1"/>
  <c r="N390" i="2"/>
  <c r="I389" i="2" s="1"/>
  <c r="U389" i="2" s="1"/>
  <c r="N389" i="2"/>
  <c r="N388" i="2"/>
  <c r="N387" i="2"/>
  <c r="I384" i="2" s="1"/>
  <c r="U384" i="2" s="1"/>
  <c r="N384" i="2"/>
  <c r="I383" i="2" s="1"/>
  <c r="U383" i="2" s="1"/>
  <c r="N383" i="2"/>
  <c r="I382" i="2" s="1"/>
  <c r="U382" i="2" s="1"/>
  <c r="N382" i="2"/>
  <c r="I381" i="2" s="1"/>
  <c r="U381" i="2" s="1"/>
  <c r="N381" i="2"/>
  <c r="I380" i="2" s="1"/>
  <c r="U380" i="2" s="1"/>
  <c r="N380" i="2"/>
  <c r="I377" i="2" s="1"/>
  <c r="U377" i="2" s="1"/>
  <c r="N377" i="2"/>
  <c r="I376" i="2" s="1"/>
  <c r="U376" i="2" s="1"/>
  <c r="N376" i="2"/>
  <c r="I375" i="2" s="1"/>
  <c r="U375" i="2" s="1"/>
  <c r="N375" i="2"/>
  <c r="I374" i="2" s="1"/>
  <c r="U374" i="2" s="1"/>
  <c r="N374" i="2"/>
  <c r="I373" i="2" s="1"/>
  <c r="U373" i="2" s="1"/>
  <c r="N373" i="2"/>
  <c r="I370" i="2" s="1"/>
  <c r="U370" i="2" s="1"/>
  <c r="N370" i="2"/>
  <c r="I369" i="2" s="1"/>
  <c r="U369" i="2" s="1"/>
  <c r="N369" i="2"/>
  <c r="I368" i="2" s="1"/>
  <c r="U368" i="2" s="1"/>
  <c r="N368" i="2"/>
  <c r="I367" i="2" s="1"/>
  <c r="U367" i="2" s="1"/>
  <c r="N367" i="2"/>
  <c r="I363" i="2"/>
  <c r="I398" i="2"/>
  <c r="U398" i="2" s="1"/>
  <c r="I397" i="2"/>
  <c r="U397" i="2" s="1"/>
  <c r="I396" i="2"/>
  <c r="U396" i="2" s="1"/>
  <c r="I395" i="2"/>
  <c r="U395" i="2" s="1"/>
  <c r="I394" i="2"/>
  <c r="U394" i="2" s="1"/>
  <c r="I391" i="2"/>
  <c r="U391" i="2" s="1"/>
  <c r="I388" i="2"/>
  <c r="U388" i="2" s="1"/>
  <c r="I387" i="2"/>
  <c r="U387" i="2" s="1"/>
  <c r="C820" i="1"/>
  <c r="C821" i="1"/>
  <c r="C822" i="1"/>
  <c r="C823" i="1"/>
  <c r="C893" i="1"/>
  <c r="C892" i="1"/>
  <c r="C891" i="1"/>
  <c r="AB893" i="1" s="1"/>
  <c r="C890" i="1"/>
  <c r="AB892" i="1" s="1"/>
  <c r="C889" i="1"/>
  <c r="AB891" i="1" s="1"/>
  <c r="C886" i="1"/>
  <c r="AB890" i="1" s="1"/>
  <c r="C885" i="1"/>
  <c r="AB889" i="1" s="1"/>
  <c r="C884" i="1"/>
  <c r="AB886" i="1" s="1"/>
  <c r="C883" i="1"/>
  <c r="AB885" i="1" s="1"/>
  <c r="C882" i="1"/>
  <c r="AB884" i="1" s="1"/>
  <c r="C879" i="1"/>
  <c r="AB883" i="1" s="1"/>
  <c r="C878" i="1"/>
  <c r="AB882" i="1" s="1"/>
  <c r="C877" i="1"/>
  <c r="AB879" i="1" s="1"/>
  <c r="C876" i="1"/>
  <c r="AB878" i="1" s="1"/>
  <c r="C875" i="1"/>
  <c r="AB877" i="1" s="1"/>
  <c r="C872" i="1"/>
  <c r="AB876" i="1" s="1"/>
  <c r="C871" i="1"/>
  <c r="AB875" i="1" s="1"/>
  <c r="C870" i="1"/>
  <c r="AB872" i="1" s="1"/>
  <c r="C869" i="1"/>
  <c r="AB871" i="1" s="1"/>
  <c r="C865" i="1"/>
  <c r="AB870" i="1" s="1"/>
  <c r="C864" i="1"/>
  <c r="C863" i="1"/>
  <c r="C862" i="1"/>
  <c r="C861" i="1"/>
  <c r="AI812" i="1"/>
  <c r="K809" i="3"/>
  <c r="O808" i="3"/>
  <c r="AG306" i="2"/>
  <c r="R692" i="7" l="1"/>
  <c r="AB869" i="1"/>
  <c r="R700" i="7"/>
  <c r="R707" i="7"/>
  <c r="R706" i="7"/>
  <c r="R699" i="7"/>
  <c r="R693" i="7"/>
  <c r="R685" i="7"/>
  <c r="R682" i="7"/>
  <c r="R683" i="7"/>
  <c r="R684" i="7"/>
  <c r="R679" i="7"/>
  <c r="R676" i="7"/>
  <c r="R678" i="7"/>
  <c r="G622" i="7"/>
  <c r="AA237" i="5"/>
  <c r="Y237" i="5"/>
  <c r="G815" i="4"/>
  <c r="G815" i="3"/>
  <c r="Y313" i="2"/>
  <c r="M313" i="2"/>
  <c r="N313" i="2" s="1"/>
  <c r="I312" i="2" s="1"/>
  <c r="AC306" i="2"/>
  <c r="C234" i="5"/>
  <c r="C231" i="5"/>
  <c r="C816" i="3"/>
  <c r="C815" i="3"/>
  <c r="C813" i="3"/>
  <c r="C812" i="3"/>
  <c r="C809" i="3"/>
  <c r="C314" i="2"/>
  <c r="C313" i="2"/>
  <c r="C312" i="2"/>
  <c r="C311" i="2"/>
  <c r="C310" i="2"/>
  <c r="C307" i="2"/>
  <c r="U98" i="6"/>
  <c r="Z102" i="6" s="1"/>
  <c r="U99" i="6"/>
  <c r="Z103" i="6" s="1"/>
  <c r="D75" i="6"/>
  <c r="N75" i="6"/>
  <c r="I70" i="6" s="1"/>
  <c r="D76" i="6"/>
  <c r="N76" i="6"/>
  <c r="I71" i="6" s="1"/>
  <c r="D77" i="6"/>
  <c r="N77" i="6"/>
  <c r="I75" i="6" s="1"/>
  <c r="D78" i="6"/>
  <c r="N78" i="6"/>
  <c r="D79" i="6"/>
  <c r="D80" i="6"/>
  <c r="D81" i="6"/>
  <c r="N81" i="6"/>
  <c r="I77" i="6" s="1"/>
  <c r="D82" i="6"/>
  <c r="N82" i="6"/>
  <c r="I78" i="6" s="1"/>
  <c r="D83" i="6"/>
  <c r="N83" i="6"/>
  <c r="D84" i="6"/>
  <c r="N84" i="6"/>
  <c r="D85" i="6"/>
  <c r="N85" i="6"/>
  <c r="D86" i="6"/>
  <c r="D87" i="6"/>
  <c r="D88" i="6"/>
  <c r="N88" i="6"/>
  <c r="I84" i="6" s="1"/>
  <c r="D89" i="6"/>
  <c r="N89" i="6"/>
  <c r="I85" i="6" s="1"/>
  <c r="D90" i="6"/>
  <c r="N90" i="6"/>
  <c r="I88" i="6" s="1"/>
  <c r="U88" i="6" s="1"/>
  <c r="Z90" i="6" s="1"/>
  <c r="D91" i="6"/>
  <c r="N91" i="6"/>
  <c r="I89" i="6" s="1"/>
  <c r="U89" i="6" s="1"/>
  <c r="Z91" i="6" s="1"/>
  <c r="D92" i="6"/>
  <c r="U90" i="6"/>
  <c r="Z92" i="6" s="1"/>
  <c r="D93" i="6"/>
  <c r="D94" i="6"/>
  <c r="D95" i="6"/>
  <c r="D96" i="6"/>
  <c r="N96" i="6"/>
  <c r="D97" i="6"/>
  <c r="N97" i="6"/>
  <c r="D98" i="6"/>
  <c r="N98" i="6"/>
  <c r="D99" i="6"/>
  <c r="N99" i="6"/>
  <c r="D100" i="6"/>
  <c r="D101" i="6"/>
  <c r="D102" i="6"/>
  <c r="N102" i="6"/>
  <c r="U102" i="6"/>
  <c r="Z104" i="6" s="1"/>
  <c r="D103" i="6"/>
  <c r="N103" i="6"/>
  <c r="U103" i="6"/>
  <c r="Z105" i="6" s="1"/>
  <c r="D104" i="6"/>
  <c r="N104" i="6"/>
  <c r="U104" i="6"/>
  <c r="Z106" i="6" s="1"/>
  <c r="D105" i="6"/>
  <c r="N105" i="6"/>
  <c r="U105" i="6"/>
  <c r="D106" i="6"/>
  <c r="N106" i="6"/>
  <c r="U106" i="6"/>
  <c r="I286" i="5"/>
  <c r="U286" i="5" s="1"/>
  <c r="Z288" i="5" s="1"/>
  <c r="I287" i="5"/>
  <c r="I316" i="5"/>
  <c r="U316" i="5" s="1"/>
  <c r="Z318" i="5" s="1"/>
  <c r="I317" i="5"/>
  <c r="U317" i="5" s="1"/>
  <c r="Z319" i="5" s="1"/>
  <c r="D291" i="5"/>
  <c r="N291" i="5"/>
  <c r="D292" i="5"/>
  <c r="N292" i="5"/>
  <c r="U290" i="5" s="1"/>
  <c r="Z292" i="5" s="1"/>
  <c r="D293" i="5"/>
  <c r="N293" i="5"/>
  <c r="I291" i="5" s="1"/>
  <c r="U291" i="5" s="1"/>
  <c r="D294" i="5"/>
  <c r="N294" i="5"/>
  <c r="I292" i="5" s="1"/>
  <c r="U292" i="5" s="1"/>
  <c r="Z294" i="5" s="1"/>
  <c r="D295" i="5"/>
  <c r="D296" i="5"/>
  <c r="D297" i="5"/>
  <c r="N297" i="5"/>
  <c r="I295" i="5" s="1"/>
  <c r="U295" i="5" s="1"/>
  <c r="Z297" i="5" s="1"/>
  <c r="D298" i="5"/>
  <c r="N298" i="5"/>
  <c r="I296" i="5" s="1"/>
  <c r="U296" i="5" s="1"/>
  <c r="Z298" i="5" s="1"/>
  <c r="D299" i="5"/>
  <c r="N299" i="5"/>
  <c r="I297" i="5" s="1"/>
  <c r="U297" i="5" s="1"/>
  <c r="Z299" i="5" s="1"/>
  <c r="D300" i="5"/>
  <c r="N300" i="5"/>
  <c r="I298" i="5" s="1"/>
  <c r="U298" i="5" s="1"/>
  <c r="Z300" i="5" s="1"/>
  <c r="D301" i="5"/>
  <c r="N301" i="5"/>
  <c r="I299" i="5" s="1"/>
  <c r="U299" i="5" s="1"/>
  <c r="Z301" i="5" s="1"/>
  <c r="D302" i="5"/>
  <c r="D303" i="5"/>
  <c r="D304" i="5"/>
  <c r="N304" i="5"/>
  <c r="I300" i="5" s="1"/>
  <c r="U300" i="5" s="1"/>
  <c r="D305" i="5"/>
  <c r="N305" i="5"/>
  <c r="I301" i="5" s="1"/>
  <c r="U301" i="5" s="1"/>
  <c r="D306" i="5"/>
  <c r="N306" i="5"/>
  <c r="I304" i="5" s="1"/>
  <c r="U304" i="5" s="1"/>
  <c r="Z306" i="5" s="1"/>
  <c r="D307" i="5"/>
  <c r="N307" i="5"/>
  <c r="I305" i="5" s="1"/>
  <c r="U305" i="5" s="1"/>
  <c r="Z307" i="5" s="1"/>
  <c r="D308" i="5"/>
  <c r="N308" i="5"/>
  <c r="I306" i="5" s="1"/>
  <c r="U306" i="5" s="1"/>
  <c r="Z308" i="5" s="1"/>
  <c r="D309" i="5"/>
  <c r="D310" i="5"/>
  <c r="D311" i="5"/>
  <c r="N311" i="5"/>
  <c r="I307" i="5" s="1"/>
  <c r="U307" i="5" s="1"/>
  <c r="D312" i="5"/>
  <c r="N312" i="5"/>
  <c r="I308" i="5" s="1"/>
  <c r="U308" i="5" s="1"/>
  <c r="D313" i="5"/>
  <c r="N313" i="5"/>
  <c r="I311" i="5" s="1"/>
  <c r="U311" i="5" s="1"/>
  <c r="Z313" i="5" s="1"/>
  <c r="D314" i="5"/>
  <c r="N314" i="5"/>
  <c r="I312" i="5" s="1"/>
  <c r="U312" i="5" s="1"/>
  <c r="Z314" i="5" s="1"/>
  <c r="D315" i="5"/>
  <c r="N315" i="5"/>
  <c r="I313" i="5" s="1"/>
  <c r="U313" i="5" s="1"/>
  <c r="Z315" i="5" s="1"/>
  <c r="D316" i="5"/>
  <c r="I314" i="5"/>
  <c r="U314" i="5" s="1"/>
  <c r="D317" i="5"/>
  <c r="I315" i="5"/>
  <c r="U315" i="5" s="1"/>
  <c r="D318" i="5"/>
  <c r="N318" i="5"/>
  <c r="U318" i="5"/>
  <c r="Z320" i="5" s="1"/>
  <c r="D319" i="5"/>
  <c r="N319" i="5"/>
  <c r="U319" i="5"/>
  <c r="Z321" i="5" s="1"/>
  <c r="D320" i="5"/>
  <c r="N320" i="5"/>
  <c r="U320" i="5"/>
  <c r="Z322" i="5" s="1"/>
  <c r="D321" i="5"/>
  <c r="N321" i="5"/>
  <c r="U321" i="5"/>
  <c r="D322" i="5"/>
  <c r="N322" i="5"/>
  <c r="U322" i="5"/>
  <c r="H870" i="3"/>
  <c r="H871" i="3"/>
  <c r="H872" i="3"/>
  <c r="H875" i="3"/>
  <c r="H876" i="3"/>
  <c r="H877" i="3"/>
  <c r="H878" i="3"/>
  <c r="H879" i="3"/>
  <c r="H882" i="3"/>
  <c r="H883" i="3"/>
  <c r="H884" i="3"/>
  <c r="H885" i="3"/>
  <c r="H886" i="3"/>
  <c r="H889" i="3"/>
  <c r="H890" i="3"/>
  <c r="H891" i="3"/>
  <c r="H892" i="3"/>
  <c r="H893" i="3"/>
  <c r="H896" i="3"/>
  <c r="H897" i="3"/>
  <c r="H898" i="3"/>
  <c r="H899" i="3"/>
  <c r="H900" i="3"/>
  <c r="H901" i="3"/>
  <c r="D368" i="2"/>
  <c r="D369" i="2"/>
  <c r="D370" i="2"/>
  <c r="D371" i="2"/>
  <c r="D372" i="2"/>
  <c r="D373" i="2"/>
  <c r="Z373" i="2"/>
  <c r="D374" i="2"/>
  <c r="Z374" i="2"/>
  <c r="D375" i="2"/>
  <c r="Z375" i="2"/>
  <c r="D376" i="2"/>
  <c r="Z376" i="2"/>
  <c r="D377" i="2"/>
  <c r="Z377" i="2"/>
  <c r="D378" i="2"/>
  <c r="D379" i="2"/>
  <c r="D380" i="2"/>
  <c r="Z380" i="2"/>
  <c r="D381" i="2"/>
  <c r="Z381" i="2"/>
  <c r="D382" i="2"/>
  <c r="Z382" i="2"/>
  <c r="D383" i="2"/>
  <c r="Z383" i="2"/>
  <c r="D384" i="2"/>
  <c r="Z384" i="2"/>
  <c r="D385" i="2"/>
  <c r="D386" i="2"/>
  <c r="D387" i="2"/>
  <c r="Z387" i="2"/>
  <c r="D388" i="2"/>
  <c r="Z388" i="2"/>
  <c r="D389" i="2"/>
  <c r="Z389" i="2"/>
  <c r="D390" i="2"/>
  <c r="Z390" i="2"/>
  <c r="D391" i="2"/>
  <c r="Z391" i="2"/>
  <c r="D392" i="2"/>
  <c r="D393" i="2"/>
  <c r="D394" i="2"/>
  <c r="Z394" i="2"/>
  <c r="D395" i="2"/>
  <c r="Z395" i="2"/>
  <c r="D396" i="2"/>
  <c r="Z396" i="2"/>
  <c r="D397" i="2"/>
  <c r="Z397" i="2"/>
  <c r="D398" i="2"/>
  <c r="Z398" i="2"/>
  <c r="D399" i="2"/>
  <c r="Z399" i="2"/>
  <c r="H872" i="4"/>
  <c r="H875" i="4"/>
  <c r="H878" i="4"/>
  <c r="H876" i="4"/>
  <c r="H879" i="4"/>
  <c r="H877" i="4"/>
  <c r="H883" i="4"/>
  <c r="H884" i="4"/>
  <c r="H882" i="4"/>
  <c r="H885" i="4"/>
  <c r="H886" i="4"/>
  <c r="H889" i="4"/>
  <c r="H891" i="4"/>
  <c r="H892" i="4"/>
  <c r="H890" i="4"/>
  <c r="H893" i="4"/>
  <c r="H898" i="4"/>
  <c r="H896" i="4"/>
  <c r="H899" i="4"/>
  <c r="H897" i="4"/>
  <c r="H900" i="4"/>
  <c r="H901" i="4"/>
  <c r="O805" i="4"/>
  <c r="D234" i="5"/>
  <c r="AI57" i="6"/>
  <c r="AI71" i="6"/>
  <c r="AI64" i="6"/>
  <c r="AI50" i="6"/>
  <c r="AI43" i="6"/>
  <c r="AI36" i="6"/>
  <c r="AI252" i="5"/>
  <c r="Y658" i="7"/>
  <c r="Y672" i="7"/>
  <c r="Y665" i="7"/>
  <c r="Y651" i="7"/>
  <c r="Y644" i="7"/>
  <c r="Y637" i="7"/>
  <c r="R635" i="7"/>
  <c r="R636" i="7"/>
  <c r="R637" i="7"/>
  <c r="R634" i="7"/>
  <c r="C670" i="7"/>
  <c r="R672" i="7" s="1"/>
  <c r="C669" i="7"/>
  <c r="R671" i="7" s="1"/>
  <c r="C668" i="7"/>
  <c r="R670" i="7" s="1"/>
  <c r="R669" i="7"/>
  <c r="R668" i="7"/>
  <c r="C663" i="7"/>
  <c r="R665" i="7" s="1"/>
  <c r="C662" i="7"/>
  <c r="R664" i="7" s="1"/>
  <c r="C661" i="7"/>
  <c r="R663" i="7" s="1"/>
  <c r="C657" i="7"/>
  <c r="C658" i="7"/>
  <c r="R662" i="7" s="1"/>
  <c r="C656" i="7"/>
  <c r="R658" i="7" s="1"/>
  <c r="C655" i="7"/>
  <c r="R657" i="7" s="1"/>
  <c r="C651" i="7"/>
  <c r="C650" i="7"/>
  <c r="R655" i="7" s="1"/>
  <c r="C649" i="7"/>
  <c r="R651" i="7" s="1"/>
  <c r="C648" i="7"/>
  <c r="R650" i="7" s="1"/>
  <c r="C647" i="7"/>
  <c r="R649" i="7" s="1"/>
  <c r="C644" i="7"/>
  <c r="C643" i="7"/>
  <c r="C642" i="7"/>
  <c r="R644" i="7" s="1"/>
  <c r="C641" i="7"/>
  <c r="R643" i="7" s="1"/>
  <c r="C640" i="7"/>
  <c r="R642" i="7" s="1"/>
  <c r="R641" i="7"/>
  <c r="C636" i="7"/>
  <c r="C634" i="7"/>
  <c r="C635" i="7"/>
  <c r="C633" i="7"/>
  <c r="C630" i="7"/>
  <c r="D4" i="6"/>
  <c r="E4" i="6" s="1"/>
  <c r="I4" i="6"/>
  <c r="K4" i="6" s="1"/>
  <c r="D5" i="6"/>
  <c r="I5" i="6"/>
  <c r="D6" i="6"/>
  <c r="I6" i="6"/>
  <c r="U6" i="6" s="1"/>
  <c r="R32" i="6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R84" i="6" s="1"/>
  <c r="R85" i="6" s="1"/>
  <c r="R86" i="6" s="1"/>
  <c r="R87" i="6" s="1"/>
  <c r="R88" i="6" s="1"/>
  <c r="R89" i="6" s="1"/>
  <c r="R90" i="6" s="1"/>
  <c r="R91" i="6" s="1"/>
  <c r="R92" i="6" s="1"/>
  <c r="R93" i="6" s="1"/>
  <c r="R94" i="6" s="1"/>
  <c r="R95" i="6" s="1"/>
  <c r="R96" i="6" s="1"/>
  <c r="R97" i="6" s="1"/>
  <c r="R98" i="6" s="1"/>
  <c r="R99" i="6" s="1"/>
  <c r="R100" i="6" s="1"/>
  <c r="R101" i="6" s="1"/>
  <c r="R102" i="6" s="1"/>
  <c r="R103" i="6" s="1"/>
  <c r="R104" i="6" s="1"/>
  <c r="R105" i="6" s="1"/>
  <c r="R106" i="6" s="1"/>
  <c r="D7" i="6"/>
  <c r="I7" i="6"/>
  <c r="U7" i="6" s="1"/>
  <c r="D8" i="6"/>
  <c r="I8" i="6"/>
  <c r="D9" i="6"/>
  <c r="D10" i="6"/>
  <c r="V634" i="7"/>
  <c r="V635" i="7" s="1"/>
  <c r="V636" i="7" s="1"/>
  <c r="V637" i="7" s="1"/>
  <c r="V638" i="7" s="1"/>
  <c r="V639" i="7" s="1"/>
  <c r="V640" i="7" s="1"/>
  <c r="V641" i="7" s="1"/>
  <c r="V642" i="7" s="1"/>
  <c r="V643" i="7" s="1"/>
  <c r="V644" i="7" s="1"/>
  <c r="V645" i="7" s="1"/>
  <c r="V646" i="7" s="1"/>
  <c r="V647" i="7" s="1"/>
  <c r="V648" i="7" s="1"/>
  <c r="V649" i="7" s="1"/>
  <c r="V650" i="7" s="1"/>
  <c r="V651" i="7" s="1"/>
  <c r="V652" i="7" s="1"/>
  <c r="V653" i="7" s="1"/>
  <c r="V654" i="7" s="1"/>
  <c r="V655" i="7" s="1"/>
  <c r="V656" i="7" s="1"/>
  <c r="V657" i="7" s="1"/>
  <c r="V658" i="7" s="1"/>
  <c r="V659" i="7" s="1"/>
  <c r="V660" i="7" s="1"/>
  <c r="V661" i="7" s="1"/>
  <c r="V662" i="7" s="1"/>
  <c r="V663" i="7" s="1"/>
  <c r="V664" i="7" s="1"/>
  <c r="V665" i="7" s="1"/>
  <c r="V666" i="7" s="1"/>
  <c r="V667" i="7" s="1"/>
  <c r="V668" i="7" s="1"/>
  <c r="V669" i="7" s="1"/>
  <c r="V670" i="7" s="1"/>
  <c r="V671" i="7" s="1"/>
  <c r="V672" i="7" s="1"/>
  <c r="V673" i="7" s="1"/>
  <c r="V674" i="7" s="1"/>
  <c r="V675" i="7" s="1"/>
  <c r="V676" i="7" s="1"/>
  <c r="V677" i="7" s="1"/>
  <c r="V678" i="7" s="1"/>
  <c r="V679" i="7" s="1"/>
  <c r="V680" i="7" s="1"/>
  <c r="V681" i="7" s="1"/>
  <c r="V682" i="7" s="1"/>
  <c r="V683" i="7" s="1"/>
  <c r="V684" i="7" s="1"/>
  <c r="V685" i="7" s="1"/>
  <c r="V686" i="7" s="1"/>
  <c r="V687" i="7" s="1"/>
  <c r="V688" i="7" s="1"/>
  <c r="V689" i="7" s="1"/>
  <c r="V690" i="7" s="1"/>
  <c r="V691" i="7" s="1"/>
  <c r="V692" i="7" s="1"/>
  <c r="V693" i="7" s="1"/>
  <c r="V694" i="7" s="1"/>
  <c r="V695" i="7" s="1"/>
  <c r="V696" i="7" s="1"/>
  <c r="V697" i="7" s="1"/>
  <c r="V698" i="7" s="1"/>
  <c r="V699" i="7" s="1"/>
  <c r="V700" i="7" s="1"/>
  <c r="V701" i="7" s="1"/>
  <c r="V702" i="7" s="1"/>
  <c r="V703" i="7" s="1"/>
  <c r="V704" i="7" s="1"/>
  <c r="V705" i="7" s="1"/>
  <c r="V706" i="7" s="1"/>
  <c r="V707" i="7" s="1"/>
  <c r="G120" i="6"/>
  <c r="G119" i="6"/>
  <c r="G118" i="6"/>
  <c r="G117" i="6"/>
  <c r="G116" i="6"/>
  <c r="G115" i="6"/>
  <c r="G114" i="6"/>
  <c r="G113" i="6"/>
  <c r="G112" i="6"/>
  <c r="G111" i="6"/>
  <c r="D107" i="6"/>
  <c r="D74" i="6"/>
  <c r="D73" i="6"/>
  <c r="D72" i="6"/>
  <c r="N71" i="6"/>
  <c r="I69" i="6" s="1"/>
  <c r="D71" i="6"/>
  <c r="N70" i="6"/>
  <c r="I68" i="6" s="1"/>
  <c r="D70" i="6"/>
  <c r="N69" i="6"/>
  <c r="I67" i="6" s="1"/>
  <c r="D69" i="6"/>
  <c r="N68" i="6"/>
  <c r="I64" i="6" s="1"/>
  <c r="D68" i="6"/>
  <c r="N67" i="6"/>
  <c r="D67" i="6"/>
  <c r="D66" i="6"/>
  <c r="D65" i="6"/>
  <c r="N64" i="6"/>
  <c r="I62" i="6" s="1"/>
  <c r="U62" i="6" s="1"/>
  <c r="Z64" i="6" s="1"/>
  <c r="D64" i="6"/>
  <c r="N63" i="6"/>
  <c r="I61" i="6" s="1"/>
  <c r="U61" i="6" s="1"/>
  <c r="Z63" i="6" s="1"/>
  <c r="D63" i="6"/>
  <c r="N62" i="6"/>
  <c r="I60" i="6" s="1"/>
  <c r="U60" i="6" s="1"/>
  <c r="Z62" i="6" s="1"/>
  <c r="D62" i="6"/>
  <c r="N61" i="6"/>
  <c r="I57" i="6" s="1"/>
  <c r="D61" i="6"/>
  <c r="N60" i="6"/>
  <c r="D60" i="6"/>
  <c r="D59" i="6"/>
  <c r="D58" i="6"/>
  <c r="N57" i="6"/>
  <c r="I55" i="6" s="1"/>
  <c r="D57" i="6"/>
  <c r="N56" i="6"/>
  <c r="I54" i="6" s="1"/>
  <c r="D56" i="6"/>
  <c r="N55" i="6"/>
  <c r="D55" i="6"/>
  <c r="N54" i="6"/>
  <c r="D54" i="6"/>
  <c r="D53" i="6"/>
  <c r="D52" i="6"/>
  <c r="D51" i="6"/>
  <c r="N50" i="6"/>
  <c r="I48" i="6" s="1"/>
  <c r="U48" i="6" s="1"/>
  <c r="Z50" i="6" s="1"/>
  <c r="I50" i="6"/>
  <c r="U50" i="6" s="1"/>
  <c r="D50" i="6"/>
  <c r="N49" i="6"/>
  <c r="I47" i="6" s="1"/>
  <c r="I49" i="6"/>
  <c r="U49" i="6" s="1"/>
  <c r="Z54" i="6" s="1"/>
  <c r="D49" i="6"/>
  <c r="N48" i="6"/>
  <c r="I46" i="6" s="1"/>
  <c r="U46" i="6" s="1"/>
  <c r="D48" i="6"/>
  <c r="N47" i="6"/>
  <c r="D47" i="6"/>
  <c r="N46" i="6"/>
  <c r="I42" i="6" s="1"/>
  <c r="D46" i="6"/>
  <c r="D45" i="6"/>
  <c r="D44" i="6"/>
  <c r="N43" i="6"/>
  <c r="I41" i="6" s="1"/>
  <c r="D43" i="6"/>
  <c r="N42" i="6"/>
  <c r="I40" i="6" s="1"/>
  <c r="D42" i="6"/>
  <c r="N41" i="6"/>
  <c r="I39" i="6" s="1"/>
  <c r="D41" i="6"/>
  <c r="N40" i="6"/>
  <c r="D40" i="6"/>
  <c r="N39" i="6"/>
  <c r="I35" i="6" s="1"/>
  <c r="U35" i="6" s="1"/>
  <c r="Z39" i="6" s="1"/>
  <c r="D39" i="6"/>
  <c r="D38" i="6"/>
  <c r="D37" i="6"/>
  <c r="N36" i="6"/>
  <c r="I34" i="6" s="1"/>
  <c r="U34" i="6" s="1"/>
  <c r="Z36" i="6" s="1"/>
  <c r="D36" i="6"/>
  <c r="N35" i="6"/>
  <c r="I33" i="6" s="1"/>
  <c r="U33" i="6" s="1"/>
  <c r="Z35" i="6" s="1"/>
  <c r="D35" i="6"/>
  <c r="N34" i="6"/>
  <c r="I32" i="6" s="1"/>
  <c r="U32" i="6" s="1"/>
  <c r="Z34" i="6" s="1"/>
  <c r="D34" i="6"/>
  <c r="D33" i="6"/>
  <c r="I30" i="6"/>
  <c r="D32" i="6"/>
  <c r="D31" i="6"/>
  <c r="D30" i="6"/>
  <c r="I27" i="6"/>
  <c r="U27" i="6" s="1"/>
  <c r="D29" i="6"/>
  <c r="I26" i="6"/>
  <c r="U26" i="6" s="1"/>
  <c r="I28" i="6"/>
  <c r="U28" i="6" s="1"/>
  <c r="D28" i="6"/>
  <c r="D27" i="6"/>
  <c r="D26" i="6"/>
  <c r="D25" i="6"/>
  <c r="D24" i="6"/>
  <c r="D23" i="6"/>
  <c r="I20" i="6"/>
  <c r="I22" i="6"/>
  <c r="D22" i="6"/>
  <c r="I19" i="6"/>
  <c r="I21" i="6"/>
  <c r="D21" i="6"/>
  <c r="I18" i="6"/>
  <c r="D20" i="6"/>
  <c r="I15" i="6"/>
  <c r="D19" i="6"/>
  <c r="D18" i="6"/>
  <c r="D17" i="6"/>
  <c r="D16" i="6"/>
  <c r="I13" i="6"/>
  <c r="U13" i="6" s="1"/>
  <c r="D15" i="6"/>
  <c r="I12" i="6"/>
  <c r="U12" i="6" s="1"/>
  <c r="D14" i="6"/>
  <c r="I11" i="6"/>
  <c r="U11" i="6" s="1"/>
  <c r="D13" i="6"/>
  <c r="D12" i="6"/>
  <c r="D11" i="6"/>
  <c r="AI799" i="1"/>
  <c r="O794" i="3"/>
  <c r="AG292" i="2"/>
  <c r="AI794" i="1"/>
  <c r="Q292" i="2"/>
  <c r="G605" i="7"/>
  <c r="Y609" i="7" s="1"/>
  <c r="Y220" i="5"/>
  <c r="AI224" i="5" s="1"/>
  <c r="G798" i="4"/>
  <c r="Q802" i="4" s="1"/>
  <c r="Y296" i="2"/>
  <c r="M296" i="2"/>
  <c r="AA798" i="1"/>
  <c r="AK802" i="1" s="1"/>
  <c r="D220" i="5"/>
  <c r="AA793" i="1"/>
  <c r="AK795" i="1" s="1"/>
  <c r="Q279" i="2"/>
  <c r="O773" i="3"/>
  <c r="O777" i="3"/>
  <c r="AG275" i="2"/>
  <c r="Q278" i="2"/>
  <c r="AC201" i="5"/>
  <c r="AC200" i="5"/>
  <c r="I266" i="5"/>
  <c r="U266" i="5" s="1"/>
  <c r="I265" i="5"/>
  <c r="U265" i="5" s="1"/>
  <c r="N290" i="5"/>
  <c r="N287" i="5"/>
  <c r="I285" i="5" s="1"/>
  <c r="N286" i="5"/>
  <c r="I284" i="5" s="1"/>
  <c r="N285" i="5"/>
  <c r="I283" i="5" s="1"/>
  <c r="N284" i="5"/>
  <c r="I280" i="5" s="1"/>
  <c r="U280" i="5" s="1"/>
  <c r="N283" i="5"/>
  <c r="N280" i="5"/>
  <c r="I278" i="5" s="1"/>
  <c r="U278" i="5" s="1"/>
  <c r="N279" i="5"/>
  <c r="I277" i="5" s="1"/>
  <c r="N278" i="5"/>
  <c r="I276" i="5" s="1"/>
  <c r="U276" i="5" s="1"/>
  <c r="N277" i="5"/>
  <c r="N276" i="5"/>
  <c r="I272" i="5" s="1"/>
  <c r="U272" i="5" s="1"/>
  <c r="N273" i="5"/>
  <c r="I271" i="5" s="1"/>
  <c r="U271" i="5" s="1"/>
  <c r="Z273" i="5" s="1"/>
  <c r="N272" i="5"/>
  <c r="I270" i="5" s="1"/>
  <c r="U270" i="5" s="1"/>
  <c r="Z272" i="5" s="1"/>
  <c r="N271" i="5"/>
  <c r="N270" i="5"/>
  <c r="N266" i="5"/>
  <c r="I264" i="5" s="1"/>
  <c r="U264" i="5" s="1"/>
  <c r="N265" i="5"/>
  <c r="I263" i="5" s="1"/>
  <c r="U263" i="5" s="1"/>
  <c r="Z265" i="5" s="1"/>
  <c r="N264" i="5"/>
  <c r="I262" i="5" s="1"/>
  <c r="U262" i="5" s="1"/>
  <c r="N263" i="5"/>
  <c r="I259" i="5" s="1"/>
  <c r="U259" i="5" s="1"/>
  <c r="N262" i="5"/>
  <c r="I258" i="5" s="1"/>
  <c r="U258" i="5" s="1"/>
  <c r="N259" i="5"/>
  <c r="I257" i="5" s="1"/>
  <c r="U257" i="5" s="1"/>
  <c r="Z259" i="5" s="1"/>
  <c r="N258" i="5"/>
  <c r="I256" i="5" s="1"/>
  <c r="U256" i="5" s="1"/>
  <c r="Z258" i="5" s="1"/>
  <c r="N257" i="5"/>
  <c r="I255" i="5" s="1"/>
  <c r="U255" i="5" s="1"/>
  <c r="C863" i="4"/>
  <c r="H865" i="4" s="1"/>
  <c r="C862" i="4"/>
  <c r="H864" i="4" s="1"/>
  <c r="C861" i="4"/>
  <c r="H863" i="4" s="1"/>
  <c r="C854" i="4"/>
  <c r="H856" i="4" s="1"/>
  <c r="C858" i="4"/>
  <c r="H862" i="4" s="1"/>
  <c r="C857" i="4"/>
  <c r="H861" i="4" s="1"/>
  <c r="C856" i="4"/>
  <c r="H858" i="4" s="1"/>
  <c r="C855" i="4"/>
  <c r="H857" i="4" s="1"/>
  <c r="C844" i="4"/>
  <c r="H849" i="4" s="1"/>
  <c r="C843" i="4"/>
  <c r="H848" i="4" s="1"/>
  <c r="C851" i="4"/>
  <c r="H855" i="4" s="1"/>
  <c r="C850" i="4"/>
  <c r="H854" i="4" s="1"/>
  <c r="C849" i="4"/>
  <c r="H851" i="4" s="1"/>
  <c r="C848" i="4"/>
  <c r="H850" i="4" s="1"/>
  <c r="C842" i="4"/>
  <c r="H844" i="4" s="1"/>
  <c r="C841" i="4"/>
  <c r="H843" i="4" s="1"/>
  <c r="C840" i="4"/>
  <c r="H842" i="4" s="1"/>
  <c r="C837" i="4"/>
  <c r="H841" i="4" s="1"/>
  <c r="C836" i="4"/>
  <c r="H840" i="4" s="1"/>
  <c r="C835" i="4"/>
  <c r="C834" i="4"/>
  <c r="C833" i="4"/>
  <c r="H835" i="4" s="1"/>
  <c r="Q865" i="3"/>
  <c r="Q858" i="3"/>
  <c r="Q851" i="3"/>
  <c r="Q844" i="3"/>
  <c r="Q837" i="3"/>
  <c r="H848" i="3"/>
  <c r="AI363" i="2"/>
  <c r="AI356" i="2"/>
  <c r="AI342" i="2"/>
  <c r="AI335" i="2"/>
  <c r="AI328" i="2"/>
  <c r="AI349" i="2"/>
  <c r="U363" i="2"/>
  <c r="Z367" i="2" s="1"/>
  <c r="N363" i="2"/>
  <c r="N362" i="2"/>
  <c r="N361" i="2"/>
  <c r="N360" i="2"/>
  <c r="N359" i="2"/>
  <c r="I356" i="2" s="1"/>
  <c r="U356" i="2" s="1"/>
  <c r="Z359" i="2" s="1"/>
  <c r="N356" i="2"/>
  <c r="I355" i="2" s="1"/>
  <c r="U355" i="2" s="1"/>
  <c r="Z356" i="2" s="1"/>
  <c r="N355" i="2"/>
  <c r="I354" i="2" s="1"/>
  <c r="U354" i="2" s="1"/>
  <c r="Z355" i="2" s="1"/>
  <c r="N354" i="2"/>
  <c r="I353" i="2" s="1"/>
  <c r="U353" i="2" s="1"/>
  <c r="N353" i="2"/>
  <c r="I352" i="2" s="1"/>
  <c r="U352" i="2" s="1"/>
  <c r="Z353" i="2" s="1"/>
  <c r="N352" i="2"/>
  <c r="I349" i="2" s="1"/>
  <c r="U349" i="2" s="1"/>
  <c r="N349" i="2"/>
  <c r="I348" i="2" s="1"/>
  <c r="U348" i="2" s="1"/>
  <c r="Z349" i="2" s="1"/>
  <c r="N348" i="2"/>
  <c r="I347" i="2" s="1"/>
  <c r="U347" i="2" s="1"/>
  <c r="Z348" i="2" s="1"/>
  <c r="N347" i="2"/>
  <c r="I346" i="2" s="1"/>
  <c r="U346" i="2" s="1"/>
  <c r="Z347" i="2" s="1"/>
  <c r="N346" i="2"/>
  <c r="I342" i="2" s="1"/>
  <c r="U342" i="2" s="1"/>
  <c r="Z346" i="2" s="1"/>
  <c r="N342" i="2"/>
  <c r="I341" i="2" s="1"/>
  <c r="U341" i="2" s="1"/>
  <c r="Z342" i="2" s="1"/>
  <c r="N341" i="2"/>
  <c r="I340" i="2" s="1"/>
  <c r="U340" i="2" s="1"/>
  <c r="Z341" i="2" s="1"/>
  <c r="N340" i="2"/>
  <c r="I339" i="2" s="1"/>
  <c r="U339" i="2" s="1"/>
  <c r="Z340" i="2" s="1"/>
  <c r="N339" i="2"/>
  <c r="I338" i="2" s="1"/>
  <c r="U338" i="2" s="1"/>
  <c r="N338" i="2"/>
  <c r="I335" i="2" s="1"/>
  <c r="U335" i="2" s="1"/>
  <c r="N335" i="2"/>
  <c r="I334" i="2" s="1"/>
  <c r="U334" i="2" s="1"/>
  <c r="N334" i="2"/>
  <c r="I333" i="2" s="1"/>
  <c r="U333" i="2" s="1"/>
  <c r="N333" i="2"/>
  <c r="AK851" i="1"/>
  <c r="AK865" i="1"/>
  <c r="AK858" i="1"/>
  <c r="AK844" i="1"/>
  <c r="AK837" i="1"/>
  <c r="C844" i="1"/>
  <c r="AB849" i="1" s="1"/>
  <c r="C843" i="1"/>
  <c r="AB848" i="1" s="1"/>
  <c r="AB865" i="1"/>
  <c r="AB864" i="1"/>
  <c r="AB863" i="1"/>
  <c r="C858" i="1"/>
  <c r="AB862" i="1" s="1"/>
  <c r="C857" i="1"/>
  <c r="AB861" i="1" s="1"/>
  <c r="C856" i="1"/>
  <c r="AB858" i="1" s="1"/>
  <c r="C855" i="1"/>
  <c r="AB857" i="1" s="1"/>
  <c r="C854" i="1"/>
  <c r="AB856" i="1" s="1"/>
  <c r="C851" i="1"/>
  <c r="AB855" i="1" s="1"/>
  <c r="C850" i="1"/>
  <c r="AB854" i="1" s="1"/>
  <c r="C849" i="1"/>
  <c r="AB851" i="1" s="1"/>
  <c r="C848" i="1"/>
  <c r="C842" i="1"/>
  <c r="AB844" i="1" s="1"/>
  <c r="C841" i="1"/>
  <c r="AB843" i="1" s="1"/>
  <c r="C840" i="1"/>
  <c r="AB842" i="1" s="1"/>
  <c r="C837" i="1"/>
  <c r="AB841" i="1" s="1"/>
  <c r="C836" i="1"/>
  <c r="AB840" i="1" s="1"/>
  <c r="C835" i="1"/>
  <c r="AB837" i="1" s="1"/>
  <c r="C834" i="1"/>
  <c r="AB836" i="1" s="1"/>
  <c r="C833" i="1"/>
  <c r="AB835" i="1" s="1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60" i="5"/>
  <c r="D261" i="5"/>
  <c r="D262" i="5"/>
  <c r="D263" i="5"/>
  <c r="D264" i="5"/>
  <c r="D265" i="5"/>
  <c r="H840" i="3"/>
  <c r="H841" i="3"/>
  <c r="H842" i="3"/>
  <c r="H843" i="3"/>
  <c r="H844" i="3"/>
  <c r="H849" i="3"/>
  <c r="H850" i="3"/>
  <c r="H851" i="3"/>
  <c r="H854" i="3"/>
  <c r="H855" i="3"/>
  <c r="H856" i="3"/>
  <c r="H857" i="3"/>
  <c r="H858" i="3"/>
  <c r="H861" i="3"/>
  <c r="H862" i="3"/>
  <c r="H863" i="3"/>
  <c r="H864" i="3"/>
  <c r="H865" i="3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H871" i="4"/>
  <c r="O772" i="3"/>
  <c r="AG270" i="2"/>
  <c r="O773" i="4"/>
  <c r="O766" i="3"/>
  <c r="AG264" i="2"/>
  <c r="O766" i="4"/>
  <c r="AG258" i="2"/>
  <c r="Y630" i="7"/>
  <c r="Y623" i="7"/>
  <c r="Y616" i="7"/>
  <c r="Y602" i="7"/>
  <c r="Y588" i="7"/>
  <c r="AI245" i="5"/>
  <c r="AI238" i="5"/>
  <c r="AI231" i="5"/>
  <c r="AI217" i="5"/>
  <c r="AI203" i="5"/>
  <c r="Q830" i="4"/>
  <c r="Q823" i="4"/>
  <c r="Q816" i="4"/>
  <c r="Q809" i="4"/>
  <c r="Q795" i="4"/>
  <c r="Q781" i="4"/>
  <c r="Q830" i="3"/>
  <c r="Q823" i="3"/>
  <c r="Q816" i="3"/>
  <c r="Q809" i="3"/>
  <c r="Q802" i="3"/>
  <c r="Q795" i="3"/>
  <c r="Q781" i="3"/>
  <c r="AI321" i="2"/>
  <c r="AI307" i="2"/>
  <c r="AI293" i="2"/>
  <c r="AI279" i="2"/>
  <c r="AK830" i="1"/>
  <c r="AK823" i="1"/>
  <c r="AK816" i="1"/>
  <c r="AK809" i="1"/>
  <c r="AK781" i="1"/>
  <c r="H820" i="3"/>
  <c r="AC258" i="2"/>
  <c r="AC181" i="5"/>
  <c r="AC180" i="5"/>
  <c r="AI758" i="1"/>
  <c r="C623" i="7"/>
  <c r="C622" i="7"/>
  <c r="H627" i="7" s="1"/>
  <c r="C629" i="7"/>
  <c r="H633" i="7" s="1"/>
  <c r="C628" i="7"/>
  <c r="H630" i="7" s="1"/>
  <c r="C627" i="7"/>
  <c r="H629" i="7" s="1"/>
  <c r="C621" i="7"/>
  <c r="H623" i="7" s="1"/>
  <c r="C620" i="7"/>
  <c r="H622" i="7" s="1"/>
  <c r="C619" i="7"/>
  <c r="H621" i="7" s="1"/>
  <c r="C616" i="7"/>
  <c r="H620" i="7" s="1"/>
  <c r="C615" i="7"/>
  <c r="H619" i="7" s="1"/>
  <c r="C614" i="7"/>
  <c r="C613" i="7"/>
  <c r="C612" i="7"/>
  <c r="I238" i="5"/>
  <c r="U238" i="5" s="1"/>
  <c r="I237" i="5"/>
  <c r="U237" i="5" s="1"/>
  <c r="Z242" i="5" s="1"/>
  <c r="N256" i="5"/>
  <c r="N255" i="5"/>
  <c r="N252" i="5"/>
  <c r="N251" i="5"/>
  <c r="I249" i="5" s="1"/>
  <c r="U249" i="5" s="1"/>
  <c r="N250" i="5"/>
  <c r="I248" i="5" s="1"/>
  <c r="U248" i="5" s="1"/>
  <c r="Z250" i="5" s="1"/>
  <c r="N249" i="5"/>
  <c r="N248" i="5"/>
  <c r="I244" i="5" s="1"/>
  <c r="U244" i="5" s="1"/>
  <c r="N245" i="5"/>
  <c r="I243" i="5" s="1"/>
  <c r="U243" i="5" s="1"/>
  <c r="N244" i="5"/>
  <c r="I242" i="5" s="1"/>
  <c r="U242" i="5" s="1"/>
  <c r="Z244" i="5" s="1"/>
  <c r="N243" i="5"/>
  <c r="N242" i="5"/>
  <c r="N238" i="5"/>
  <c r="I236" i="5" s="1"/>
  <c r="U236" i="5" s="1"/>
  <c r="Z238" i="5" s="1"/>
  <c r="N237" i="5"/>
  <c r="I235" i="5" s="1"/>
  <c r="U235" i="5" s="1"/>
  <c r="Z237" i="5" s="1"/>
  <c r="N236" i="5"/>
  <c r="I234" i="5" s="1"/>
  <c r="N235" i="5"/>
  <c r="I233" i="5" s="1"/>
  <c r="N234" i="5"/>
  <c r="I232" i="5" s="1"/>
  <c r="C816" i="4"/>
  <c r="C815" i="4"/>
  <c r="H820" i="4" s="1"/>
  <c r="C830" i="4"/>
  <c r="H834" i="4" s="1"/>
  <c r="C829" i="4"/>
  <c r="H833" i="4" s="1"/>
  <c r="C828" i="4"/>
  <c r="C827" i="4"/>
  <c r="C826" i="4"/>
  <c r="C823" i="4"/>
  <c r="H827" i="4" s="1"/>
  <c r="C822" i="4"/>
  <c r="H826" i="4" s="1"/>
  <c r="C821" i="4"/>
  <c r="C820" i="4"/>
  <c r="C814" i="4"/>
  <c r="C813" i="4"/>
  <c r="C812" i="4"/>
  <c r="C809" i="4"/>
  <c r="C808" i="4"/>
  <c r="C807" i="4"/>
  <c r="C806" i="4"/>
  <c r="C805" i="4"/>
  <c r="I314" i="2"/>
  <c r="U314" i="2" s="1"/>
  <c r="C816" i="1"/>
  <c r="AB821" i="1" s="1"/>
  <c r="C815" i="1"/>
  <c r="AB820" i="1" s="1"/>
  <c r="N332" i="2"/>
  <c r="N331" i="2"/>
  <c r="I328" i="2" s="1"/>
  <c r="N328" i="2"/>
  <c r="N327" i="2"/>
  <c r="I326" i="2" s="1"/>
  <c r="N326" i="2"/>
  <c r="I325" i="2" s="1"/>
  <c r="U325" i="2" s="1"/>
  <c r="N325" i="2"/>
  <c r="I324" i="2" s="1"/>
  <c r="U324" i="2" s="1"/>
  <c r="N324" i="2"/>
  <c r="I321" i="2" s="1"/>
  <c r="U321" i="2" s="1"/>
  <c r="Z324" i="2" s="1"/>
  <c r="N321" i="2"/>
  <c r="I320" i="2" s="1"/>
  <c r="U320" i="2" s="1"/>
  <c r="N320" i="2"/>
  <c r="I319" i="2" s="1"/>
  <c r="U319" i="2" s="1"/>
  <c r="N319" i="2"/>
  <c r="I318" i="2" s="1"/>
  <c r="U318" i="2" s="1"/>
  <c r="Z319" i="2" s="1"/>
  <c r="N318" i="2"/>
  <c r="N314" i="2"/>
  <c r="I313" i="2" s="1"/>
  <c r="U313" i="2" s="1"/>
  <c r="N312" i="2"/>
  <c r="I311" i="2" s="1"/>
  <c r="U311" i="2" s="1"/>
  <c r="N311" i="2"/>
  <c r="I310" i="2" s="1"/>
  <c r="U310" i="2" s="1"/>
  <c r="N310" i="2"/>
  <c r="I307" i="2" s="1"/>
  <c r="C830" i="1"/>
  <c r="AB834" i="1" s="1"/>
  <c r="C829" i="1"/>
  <c r="AB833" i="1" s="1"/>
  <c r="C828" i="1"/>
  <c r="AB830" i="1" s="1"/>
  <c r="C827" i="1"/>
  <c r="C826" i="1"/>
  <c r="AB826" i="1"/>
  <c r="AB823" i="1"/>
  <c r="AB822" i="1"/>
  <c r="C814" i="1"/>
  <c r="C813" i="1"/>
  <c r="AB815" i="1" s="1"/>
  <c r="C812" i="1"/>
  <c r="C809" i="1"/>
  <c r="C808" i="1"/>
  <c r="AB812" i="1" s="1"/>
  <c r="C807" i="1"/>
  <c r="AB809" i="1" s="1"/>
  <c r="C806" i="1"/>
  <c r="AB808" i="1" s="1"/>
  <c r="C805" i="1"/>
  <c r="AB807" i="1" s="1"/>
  <c r="AG248" i="2"/>
  <c r="G572" i="7"/>
  <c r="C567" i="7" s="1"/>
  <c r="G765" i="3"/>
  <c r="O745" i="4"/>
  <c r="O716" i="3"/>
  <c r="H835" i="3"/>
  <c r="H836" i="3"/>
  <c r="H837" i="3"/>
  <c r="H834" i="3"/>
  <c r="H833" i="3"/>
  <c r="H830" i="3"/>
  <c r="H829" i="3"/>
  <c r="H828" i="3"/>
  <c r="H827" i="3"/>
  <c r="H826" i="3"/>
  <c r="H823" i="3"/>
  <c r="H822" i="3"/>
  <c r="H821" i="3"/>
  <c r="H816" i="3"/>
  <c r="H815" i="3"/>
  <c r="H814" i="3"/>
  <c r="H813" i="3"/>
  <c r="H812" i="3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O739" i="3"/>
  <c r="D719" i="7"/>
  <c r="D720" i="7"/>
  <c r="G335" i="5"/>
  <c r="G336" i="5"/>
  <c r="D914" i="4"/>
  <c r="D913" i="4"/>
  <c r="D913" i="3"/>
  <c r="D914" i="3"/>
  <c r="D913" i="1"/>
  <c r="D914" i="1"/>
  <c r="G413" i="2"/>
  <c r="G412" i="2"/>
  <c r="G404" i="2"/>
  <c r="AI739" i="1"/>
  <c r="AC237" i="2"/>
  <c r="C165" i="5"/>
  <c r="C164" i="5"/>
  <c r="C742" i="3"/>
  <c r="C242" i="2"/>
  <c r="C241" i="2"/>
  <c r="C240" i="2"/>
  <c r="Q234" i="2"/>
  <c r="G749" i="3"/>
  <c r="C159" i="5"/>
  <c r="C158" i="5"/>
  <c r="C236" i="2"/>
  <c r="C235" i="2"/>
  <c r="M161" i="5"/>
  <c r="G546" i="7"/>
  <c r="G545" i="7"/>
  <c r="Y161" i="5"/>
  <c r="Y160" i="5"/>
  <c r="G739" i="3"/>
  <c r="G738" i="3"/>
  <c r="Y237" i="2"/>
  <c r="Y236" i="2"/>
  <c r="AA739" i="1"/>
  <c r="AA738" i="1"/>
  <c r="G737" i="3"/>
  <c r="G737" i="4"/>
  <c r="AA737" i="1"/>
  <c r="C571" i="7"/>
  <c r="C566" i="7"/>
  <c r="H571" i="7" s="1"/>
  <c r="C565" i="7"/>
  <c r="C564" i="7"/>
  <c r="I203" i="5"/>
  <c r="I202" i="5"/>
  <c r="I182" i="5"/>
  <c r="I181" i="5"/>
  <c r="C760" i="4"/>
  <c r="C759" i="4"/>
  <c r="H764" i="4" s="1"/>
  <c r="H764" i="3"/>
  <c r="I258" i="2"/>
  <c r="C764" i="1"/>
  <c r="C760" i="1"/>
  <c r="C759" i="1"/>
  <c r="AB764" i="1" s="1"/>
  <c r="C737" i="3"/>
  <c r="O725" i="3"/>
  <c r="AG223" i="2"/>
  <c r="C729" i="3"/>
  <c r="C728" i="3"/>
  <c r="C151" i="5"/>
  <c r="C228" i="2"/>
  <c r="C732" i="3"/>
  <c r="C226" i="2"/>
  <c r="C154" i="5"/>
  <c r="C153" i="5"/>
  <c r="C152" i="5"/>
  <c r="C150" i="5"/>
  <c r="C147" i="5"/>
  <c r="C146" i="5"/>
  <c r="C536" i="7"/>
  <c r="C532" i="7"/>
  <c r="C535" i="7"/>
  <c r="C731" i="3"/>
  <c r="C730" i="3"/>
  <c r="I331" i="2" l="1"/>
  <c r="U331" i="2" s="1"/>
  <c r="Z332" i="2" s="1"/>
  <c r="I332" i="2"/>
  <c r="U332" i="2" s="1"/>
  <c r="Z333" i="2" s="1"/>
  <c r="U312" i="2"/>
  <c r="I92" i="6"/>
  <c r="U92" i="6" s="1"/>
  <c r="Z96" i="6" s="1"/>
  <c r="I83" i="6"/>
  <c r="U83" i="6" s="1"/>
  <c r="Z85" i="6" s="1"/>
  <c r="I76" i="6"/>
  <c r="U76" i="6" s="1"/>
  <c r="Z78" i="6" s="1"/>
  <c r="I97" i="6"/>
  <c r="U97" i="6" s="1"/>
  <c r="Z99" i="6" s="1"/>
  <c r="I82" i="6"/>
  <c r="U82" i="6" s="1"/>
  <c r="Z84" i="6" s="1"/>
  <c r="I96" i="6"/>
  <c r="U96" i="6" s="1"/>
  <c r="Z98" i="6" s="1"/>
  <c r="I81" i="6"/>
  <c r="U81" i="6" s="1"/>
  <c r="Z83" i="6" s="1"/>
  <c r="I95" i="6"/>
  <c r="U95" i="6" s="1"/>
  <c r="Z97" i="6" s="1"/>
  <c r="I359" i="2"/>
  <c r="U359" i="2" s="1"/>
  <c r="Z360" i="2" s="1"/>
  <c r="I361" i="2"/>
  <c r="U361" i="2" s="1"/>
  <c r="Z362" i="2" s="1"/>
  <c r="I360" i="2"/>
  <c r="U360" i="2" s="1"/>
  <c r="Z361" i="2" s="1"/>
  <c r="I362" i="2"/>
  <c r="U362" i="2" s="1"/>
  <c r="Z363" i="2" s="1"/>
  <c r="H870" i="4"/>
  <c r="AI314" i="2"/>
  <c r="I310" i="5"/>
  <c r="U310" i="5" s="1"/>
  <c r="Z312" i="5" s="1"/>
  <c r="I309" i="5"/>
  <c r="U309" i="5" s="1"/>
  <c r="Z311" i="5" s="1"/>
  <c r="I303" i="5"/>
  <c r="U303" i="5" s="1"/>
  <c r="Z305" i="5" s="1"/>
  <c r="I302" i="5"/>
  <c r="U302" i="5" s="1"/>
  <c r="Z304" i="5" s="1"/>
  <c r="AI300" i="2"/>
  <c r="U84" i="6"/>
  <c r="Z88" i="6" s="1"/>
  <c r="U85" i="6"/>
  <c r="Z89" i="6" s="1"/>
  <c r="U91" i="6"/>
  <c r="Z95" i="6" s="1"/>
  <c r="U78" i="6"/>
  <c r="Z82" i="6" s="1"/>
  <c r="U77" i="6"/>
  <c r="Z81" i="6" s="1"/>
  <c r="U71" i="6"/>
  <c r="Z76" i="6" s="1"/>
  <c r="U75" i="6"/>
  <c r="E5" i="6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I294" i="5"/>
  <c r="U294" i="5" s="1"/>
  <c r="I293" i="5"/>
  <c r="U293" i="5" s="1"/>
  <c r="Z293" i="5"/>
  <c r="U283" i="5"/>
  <c r="Z285" i="5" s="1"/>
  <c r="U284" i="5"/>
  <c r="Z286" i="5" s="1"/>
  <c r="U285" i="5"/>
  <c r="Z287" i="5" s="1"/>
  <c r="Z368" i="2"/>
  <c r="Z370" i="2"/>
  <c r="Z369" i="2"/>
  <c r="I31" i="6"/>
  <c r="H635" i="7"/>
  <c r="H634" i="7"/>
  <c r="K5" i="6"/>
  <c r="K6" i="6" s="1"/>
  <c r="K7" i="6" s="1"/>
  <c r="K8" i="6" s="1"/>
  <c r="K9" i="6" s="1"/>
  <c r="K10" i="6" s="1"/>
  <c r="R661" i="7"/>
  <c r="R656" i="7"/>
  <c r="R647" i="7"/>
  <c r="R648" i="7"/>
  <c r="W635" i="7"/>
  <c r="W636" i="7" s="1"/>
  <c r="W637" i="7" s="1"/>
  <c r="W638" i="7" s="1"/>
  <c r="W639" i="7" s="1"/>
  <c r="R640" i="7"/>
  <c r="U8" i="6"/>
  <c r="U4" i="6"/>
  <c r="W4" i="6" s="1"/>
  <c r="U5" i="6"/>
  <c r="I56" i="6"/>
  <c r="U56" i="6" s="1"/>
  <c r="I36" i="6"/>
  <c r="U36" i="6" s="1"/>
  <c r="Z40" i="6" s="1"/>
  <c r="I43" i="6"/>
  <c r="U43" i="6" s="1"/>
  <c r="AD32" i="6"/>
  <c r="AD33" i="6" s="1"/>
  <c r="AD34" i="6" s="1"/>
  <c r="AD35" i="6" s="1"/>
  <c r="AD36" i="6" s="1"/>
  <c r="AD37" i="6" s="1"/>
  <c r="AD38" i="6" s="1"/>
  <c r="AD39" i="6" s="1"/>
  <c r="AD40" i="6" s="1"/>
  <c r="AD41" i="6" s="1"/>
  <c r="AD42" i="6" s="1"/>
  <c r="AD43" i="6" s="1"/>
  <c r="AD44" i="6" s="1"/>
  <c r="AD45" i="6" s="1"/>
  <c r="AD46" i="6" s="1"/>
  <c r="AD47" i="6" s="1"/>
  <c r="AD48" i="6" s="1"/>
  <c r="AD49" i="6" s="1"/>
  <c r="AD50" i="6" s="1"/>
  <c r="AD51" i="6" s="1"/>
  <c r="AD52" i="6" s="1"/>
  <c r="AD53" i="6" s="1"/>
  <c r="AD54" i="6" s="1"/>
  <c r="AD55" i="6" s="1"/>
  <c r="AD56" i="6" s="1"/>
  <c r="AD57" i="6" s="1"/>
  <c r="AD58" i="6" s="1"/>
  <c r="AD59" i="6" s="1"/>
  <c r="AD60" i="6" s="1"/>
  <c r="AD61" i="6" s="1"/>
  <c r="AD62" i="6" s="1"/>
  <c r="AD63" i="6" s="1"/>
  <c r="AD64" i="6" s="1"/>
  <c r="AD65" i="6" s="1"/>
  <c r="AD66" i="6" s="1"/>
  <c r="AD67" i="6" s="1"/>
  <c r="AD68" i="6" s="1"/>
  <c r="AD69" i="6" s="1"/>
  <c r="AD70" i="6" s="1"/>
  <c r="AD71" i="6" s="1"/>
  <c r="AD72" i="6" s="1"/>
  <c r="AD73" i="6" s="1"/>
  <c r="AD74" i="6" s="1"/>
  <c r="AD75" i="6" s="1"/>
  <c r="AD76" i="6" s="1"/>
  <c r="AD77" i="6" s="1"/>
  <c r="AD78" i="6" s="1"/>
  <c r="AD79" i="6" s="1"/>
  <c r="AD80" i="6" s="1"/>
  <c r="AD81" i="6" s="1"/>
  <c r="AD82" i="6" s="1"/>
  <c r="AD83" i="6" s="1"/>
  <c r="AD84" i="6" s="1"/>
  <c r="AD85" i="6" s="1"/>
  <c r="AD86" i="6" s="1"/>
  <c r="AD87" i="6" s="1"/>
  <c r="AD88" i="6" s="1"/>
  <c r="AD89" i="6" s="1"/>
  <c r="AD90" i="6" s="1"/>
  <c r="AD91" i="6" s="1"/>
  <c r="AD92" i="6" s="1"/>
  <c r="AD93" i="6" s="1"/>
  <c r="AD94" i="6" s="1"/>
  <c r="AD95" i="6" s="1"/>
  <c r="AD96" i="6" s="1"/>
  <c r="AD97" i="6" s="1"/>
  <c r="AD98" i="6" s="1"/>
  <c r="AD99" i="6" s="1"/>
  <c r="AD100" i="6" s="1"/>
  <c r="AD101" i="6" s="1"/>
  <c r="AD102" i="6" s="1"/>
  <c r="AD103" i="6" s="1"/>
  <c r="AD104" i="6" s="1"/>
  <c r="AD105" i="6" s="1"/>
  <c r="AD106" i="6" s="1"/>
  <c r="I29" i="6"/>
  <c r="U29" i="6" s="1"/>
  <c r="Z33" i="6" s="1"/>
  <c r="U20" i="6"/>
  <c r="U42" i="6"/>
  <c r="U39" i="6"/>
  <c r="Z48" i="6"/>
  <c r="U15" i="6"/>
  <c r="U69" i="6"/>
  <c r="U54" i="6"/>
  <c r="U64" i="6"/>
  <c r="U18" i="6"/>
  <c r="U40" i="6"/>
  <c r="U67" i="6"/>
  <c r="U55" i="6"/>
  <c r="U47" i="6"/>
  <c r="I17" i="6"/>
  <c r="U19" i="6"/>
  <c r="U41" i="6"/>
  <c r="Z55" i="6"/>
  <c r="U68" i="6"/>
  <c r="I16" i="6"/>
  <c r="I14" i="6"/>
  <c r="I63" i="6"/>
  <c r="U21" i="6"/>
  <c r="U22" i="6"/>
  <c r="U57" i="6"/>
  <c r="U70" i="6"/>
  <c r="Z75" i="6" s="1"/>
  <c r="I279" i="5"/>
  <c r="U279" i="5" s="1"/>
  <c r="Z283" i="5" s="1"/>
  <c r="I273" i="5"/>
  <c r="U273" i="5" s="1"/>
  <c r="Z276" i="5"/>
  <c r="Z271" i="5"/>
  <c r="U326" i="2"/>
  <c r="Z327" i="2" s="1"/>
  <c r="I327" i="2"/>
  <c r="U327" i="2" s="1"/>
  <c r="Z328" i="2" s="1"/>
  <c r="Z284" i="5"/>
  <c r="Z263" i="5"/>
  <c r="Z270" i="5"/>
  <c r="Z354" i="2"/>
  <c r="Z352" i="2"/>
  <c r="AB850" i="1"/>
  <c r="I251" i="5"/>
  <c r="U251" i="5" s="1"/>
  <c r="Z255" i="5" s="1"/>
  <c r="I252" i="5"/>
  <c r="U252" i="5" s="1"/>
  <c r="Z256" i="5" s="1"/>
  <c r="Z266" i="5"/>
  <c r="Z280" i="5"/>
  <c r="Z290" i="5"/>
  <c r="Z278" i="5"/>
  <c r="U287" i="5"/>
  <c r="Z291" i="5" s="1"/>
  <c r="U277" i="5"/>
  <c r="I250" i="5"/>
  <c r="U250" i="5" s="1"/>
  <c r="Z252" i="5" s="1"/>
  <c r="Z262" i="5"/>
  <c r="Z264" i="5"/>
  <c r="Z338" i="2"/>
  <c r="Z339" i="2"/>
  <c r="I231" i="5"/>
  <c r="U231" i="5" s="1"/>
  <c r="Z235" i="5" s="1"/>
  <c r="I309" i="2"/>
  <c r="I245" i="5"/>
  <c r="U245" i="5" s="1"/>
  <c r="Z249" i="5" s="1"/>
  <c r="I230" i="5"/>
  <c r="U230" i="5" s="1"/>
  <c r="Z234" i="5" s="1"/>
  <c r="I308" i="2"/>
  <c r="AB829" i="1"/>
  <c r="Z248" i="5"/>
  <c r="H636" i="7"/>
  <c r="H628" i="7"/>
  <c r="Z243" i="5"/>
  <c r="H837" i="4"/>
  <c r="H836" i="4"/>
  <c r="H829" i="4"/>
  <c r="H830" i="4"/>
  <c r="H828" i="4"/>
  <c r="H823" i="4"/>
  <c r="H822" i="4"/>
  <c r="H821" i="4"/>
  <c r="Z335" i="2"/>
  <c r="Z334" i="2"/>
  <c r="Z326" i="2"/>
  <c r="Z325" i="2"/>
  <c r="Z321" i="2"/>
  <c r="Z320" i="2"/>
  <c r="Z318" i="2"/>
  <c r="U328" i="2"/>
  <c r="Z331" i="2" s="1"/>
  <c r="AB827" i="1"/>
  <c r="AB828" i="1"/>
  <c r="AB816" i="1"/>
  <c r="AB813" i="1"/>
  <c r="AB814" i="1"/>
  <c r="U234" i="5"/>
  <c r="Z236" i="5" s="1"/>
  <c r="Z257" i="5"/>
  <c r="Z251" i="5"/>
  <c r="Z245" i="5"/>
  <c r="AC145" i="5"/>
  <c r="C588" i="7"/>
  <c r="H599" i="7" s="1"/>
  <c r="C587" i="7"/>
  <c r="H598" i="7" s="1"/>
  <c r="C609" i="7"/>
  <c r="C608" i="7"/>
  <c r="H612" i="7" s="1"/>
  <c r="C607" i="7"/>
  <c r="H609" i="7" s="1"/>
  <c r="C606" i="7"/>
  <c r="C605" i="7"/>
  <c r="H607" i="7" s="1"/>
  <c r="C602" i="7"/>
  <c r="H606" i="7" s="1"/>
  <c r="C601" i="7"/>
  <c r="H605" i="7" s="1"/>
  <c r="C600" i="7"/>
  <c r="H602" i="7" s="1"/>
  <c r="C599" i="7"/>
  <c r="H601" i="7" s="1"/>
  <c r="C598" i="7"/>
  <c r="H600" i="7" s="1"/>
  <c r="C586" i="7"/>
  <c r="H588" i="7" s="1"/>
  <c r="C585" i="7"/>
  <c r="H587" i="7" s="1"/>
  <c r="C584" i="7"/>
  <c r="C581" i="7"/>
  <c r="H585" i="7" s="1"/>
  <c r="C580" i="7"/>
  <c r="H584" i="7" s="1"/>
  <c r="C579" i="7"/>
  <c r="C578" i="7"/>
  <c r="C577" i="7"/>
  <c r="N231" i="5"/>
  <c r="I229" i="5" s="1"/>
  <c r="U229" i="5" s="1"/>
  <c r="Z231" i="5" s="1"/>
  <c r="N230" i="5"/>
  <c r="I228" i="5" s="1"/>
  <c r="U228" i="5" s="1"/>
  <c r="Z230" i="5" s="1"/>
  <c r="N229" i="5"/>
  <c r="I227" i="5" s="1"/>
  <c r="U227" i="5" s="1"/>
  <c r="Z229" i="5" s="1"/>
  <c r="N228" i="5"/>
  <c r="N227" i="5"/>
  <c r="N224" i="5"/>
  <c r="I222" i="5" s="1"/>
  <c r="U222" i="5" s="1"/>
  <c r="Z224" i="5" s="1"/>
  <c r="N223" i="5"/>
  <c r="I221" i="5" s="1"/>
  <c r="U221" i="5" s="1"/>
  <c r="Z223" i="5" s="1"/>
  <c r="N222" i="5"/>
  <c r="I220" i="5" s="1"/>
  <c r="U220" i="5" s="1"/>
  <c r="N221" i="5"/>
  <c r="I217" i="5" s="1"/>
  <c r="U217" i="5" s="1"/>
  <c r="Z221" i="5" s="1"/>
  <c r="N220" i="5"/>
  <c r="I216" i="5" s="1"/>
  <c r="U216" i="5" s="1"/>
  <c r="Z220" i="5" s="1"/>
  <c r="N217" i="5"/>
  <c r="I215" i="5" s="1"/>
  <c r="U215" i="5" s="1"/>
  <c r="Z217" i="5" s="1"/>
  <c r="N216" i="5"/>
  <c r="I214" i="5" s="1"/>
  <c r="U214" i="5" s="1"/>
  <c r="N215" i="5"/>
  <c r="I213" i="5" s="1"/>
  <c r="U213" i="5" s="1"/>
  <c r="Z215" i="5" s="1"/>
  <c r="N214" i="5"/>
  <c r="N213" i="5"/>
  <c r="N203" i="5"/>
  <c r="I201" i="5" s="1"/>
  <c r="U201" i="5" s="1"/>
  <c r="Z203" i="5" s="1"/>
  <c r="N202" i="5"/>
  <c r="I200" i="5" s="1"/>
  <c r="U200" i="5" s="1"/>
  <c r="Z202" i="5" s="1"/>
  <c r="N201" i="5"/>
  <c r="I199" i="5" s="1"/>
  <c r="U199" i="5" s="1"/>
  <c r="Z201" i="5" s="1"/>
  <c r="N200" i="5"/>
  <c r="I196" i="5" s="1"/>
  <c r="U196" i="5" s="1"/>
  <c r="Z200" i="5" s="1"/>
  <c r="N199" i="5"/>
  <c r="I195" i="5" s="1"/>
  <c r="U195" i="5" s="1"/>
  <c r="Z199" i="5" s="1"/>
  <c r="C781" i="4"/>
  <c r="H792" i="4" s="1"/>
  <c r="C780" i="4"/>
  <c r="H791" i="4" s="1"/>
  <c r="H809" i="4"/>
  <c r="H808" i="4"/>
  <c r="H807" i="4"/>
  <c r="C802" i="4"/>
  <c r="H806" i="4" s="1"/>
  <c r="C801" i="4"/>
  <c r="H805" i="4" s="1"/>
  <c r="C800" i="4"/>
  <c r="H802" i="4" s="1"/>
  <c r="C799" i="4"/>
  <c r="H801" i="4" s="1"/>
  <c r="C798" i="4"/>
  <c r="H800" i="4" s="1"/>
  <c r="C795" i="4"/>
  <c r="H799" i="4" s="1"/>
  <c r="C794" i="4"/>
  <c r="H798" i="4" s="1"/>
  <c r="C793" i="4"/>
  <c r="H795" i="4" s="1"/>
  <c r="C792" i="4"/>
  <c r="H794" i="4" s="1"/>
  <c r="C791" i="4"/>
  <c r="H793" i="4" s="1"/>
  <c r="C779" i="4"/>
  <c r="H781" i="4" s="1"/>
  <c r="C778" i="4"/>
  <c r="C777" i="4"/>
  <c r="H792" i="3"/>
  <c r="H791" i="3"/>
  <c r="H809" i="3"/>
  <c r="H808" i="3"/>
  <c r="H807" i="3"/>
  <c r="H806" i="3"/>
  <c r="H805" i="3"/>
  <c r="H802" i="3"/>
  <c r="H801" i="3"/>
  <c r="H800" i="3"/>
  <c r="H799" i="3"/>
  <c r="H798" i="3"/>
  <c r="H795" i="3"/>
  <c r="H794" i="3"/>
  <c r="H793" i="3"/>
  <c r="H781" i="3"/>
  <c r="H780" i="3"/>
  <c r="H779" i="3"/>
  <c r="H778" i="3"/>
  <c r="H777" i="3"/>
  <c r="N307" i="2"/>
  <c r="I306" i="2" s="1"/>
  <c r="U306" i="2" s="1"/>
  <c r="Z307" i="2" s="1"/>
  <c r="N306" i="2"/>
  <c r="I305" i="2" s="1"/>
  <c r="U305" i="2" s="1"/>
  <c r="Z306" i="2" s="1"/>
  <c r="N305" i="2"/>
  <c r="N304" i="2"/>
  <c r="N303" i="2"/>
  <c r="U307" i="2"/>
  <c r="I279" i="2"/>
  <c r="U279" i="2" s="1"/>
  <c r="Z289" i="2" s="1"/>
  <c r="N300" i="2"/>
  <c r="I299" i="2" s="1"/>
  <c r="U299" i="2" s="1"/>
  <c r="Z300" i="2" s="1"/>
  <c r="N299" i="2"/>
  <c r="I298" i="2" s="1"/>
  <c r="U298" i="2" s="1"/>
  <c r="Z299" i="2" s="1"/>
  <c r="N298" i="2"/>
  <c r="I297" i="2" s="1"/>
  <c r="U297" i="2" s="1"/>
  <c r="Z298" i="2" s="1"/>
  <c r="N297" i="2"/>
  <c r="I296" i="2" s="1"/>
  <c r="U296" i="2" s="1"/>
  <c r="Z297" i="2" s="1"/>
  <c r="N296" i="2"/>
  <c r="I293" i="2" s="1"/>
  <c r="U293" i="2" s="1"/>
  <c r="Z296" i="2" s="1"/>
  <c r="N293" i="2"/>
  <c r="I292" i="2" s="1"/>
  <c r="U292" i="2" s="1"/>
  <c r="Z293" i="2" s="1"/>
  <c r="N292" i="2"/>
  <c r="I291" i="2" s="1"/>
  <c r="U291" i="2" s="1"/>
  <c r="Z292" i="2" s="1"/>
  <c r="N291" i="2"/>
  <c r="I290" i="2" s="1"/>
  <c r="U290" i="2" s="1"/>
  <c r="Z291" i="2" s="1"/>
  <c r="N290" i="2"/>
  <c r="I289" i="2" s="1"/>
  <c r="U289" i="2" s="1"/>
  <c r="Z290" i="2" s="1"/>
  <c r="N289" i="2"/>
  <c r="N279" i="2"/>
  <c r="I278" i="2" s="1"/>
  <c r="U278" i="2" s="1"/>
  <c r="Z279" i="2" s="1"/>
  <c r="N278" i="2"/>
  <c r="I277" i="2" s="1"/>
  <c r="U277" i="2" s="1"/>
  <c r="N277" i="2"/>
  <c r="I276" i="2" s="1"/>
  <c r="U276" i="2" s="1"/>
  <c r="N276" i="2"/>
  <c r="I275" i="2" s="1"/>
  <c r="U275" i="2" s="1"/>
  <c r="N275" i="2"/>
  <c r="I272" i="2" s="1"/>
  <c r="U272" i="2" s="1"/>
  <c r="C781" i="1"/>
  <c r="AB792" i="1" s="1"/>
  <c r="C780" i="1"/>
  <c r="AB791" i="1" s="1"/>
  <c r="C802" i="1"/>
  <c r="AB806" i="1" s="1"/>
  <c r="C801" i="1"/>
  <c r="AB805" i="1" s="1"/>
  <c r="C800" i="1"/>
  <c r="AB802" i="1" s="1"/>
  <c r="C799" i="1"/>
  <c r="AB801" i="1" s="1"/>
  <c r="C798" i="1"/>
  <c r="AB800" i="1" s="1"/>
  <c r="C795" i="1"/>
  <c r="AB799" i="1" s="1"/>
  <c r="C794" i="1"/>
  <c r="AB798" i="1" s="1"/>
  <c r="C793" i="1"/>
  <c r="AB795" i="1" s="1"/>
  <c r="C792" i="1"/>
  <c r="AB794" i="1" s="1"/>
  <c r="C791" i="1"/>
  <c r="AB793" i="1" s="1"/>
  <c r="C779" i="1"/>
  <c r="AB781" i="1" s="1"/>
  <c r="C778" i="1"/>
  <c r="AB780" i="1" s="1"/>
  <c r="C777" i="1"/>
  <c r="AB779" i="1" s="1"/>
  <c r="D202" i="5"/>
  <c r="U202" i="5"/>
  <c r="Z213" i="5" s="1"/>
  <c r="D203" i="5"/>
  <c r="U203" i="5"/>
  <c r="Z214" i="5" s="1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G724" i="3"/>
  <c r="O697" i="3"/>
  <c r="AG195" i="2"/>
  <c r="AG194" i="2"/>
  <c r="AK774" i="1"/>
  <c r="AK767" i="1"/>
  <c r="AK760" i="1"/>
  <c r="AK753" i="1"/>
  <c r="AI272" i="2"/>
  <c r="AI265" i="2"/>
  <c r="AI258" i="2"/>
  <c r="AI251" i="2"/>
  <c r="AI244" i="2"/>
  <c r="Q774" i="3"/>
  <c r="Q767" i="3"/>
  <c r="Q760" i="3"/>
  <c r="Q753" i="3"/>
  <c r="Q774" i="4"/>
  <c r="Q767" i="4"/>
  <c r="Q760" i="4"/>
  <c r="Q753" i="4"/>
  <c r="Q746" i="4"/>
  <c r="AI196" i="5"/>
  <c r="AI189" i="5"/>
  <c r="AI182" i="5"/>
  <c r="AI175" i="5"/>
  <c r="Y581" i="7"/>
  <c r="Y574" i="7"/>
  <c r="Y567" i="7"/>
  <c r="Y560" i="7"/>
  <c r="Y553" i="7"/>
  <c r="Y546" i="7"/>
  <c r="Y539" i="7"/>
  <c r="Y532" i="7"/>
  <c r="Y525" i="7"/>
  <c r="C710" i="1"/>
  <c r="C711" i="1"/>
  <c r="C710" i="4"/>
  <c r="C711" i="4"/>
  <c r="D718" i="7"/>
  <c r="G334" i="5"/>
  <c r="D912" i="4"/>
  <c r="D912" i="3"/>
  <c r="G410" i="2"/>
  <c r="G411" i="2"/>
  <c r="D909" i="1"/>
  <c r="D910" i="1"/>
  <c r="D911" i="1"/>
  <c r="D912" i="1"/>
  <c r="O696" i="4"/>
  <c r="AG192" i="2"/>
  <c r="O693" i="3"/>
  <c r="AG191" i="2"/>
  <c r="AI693" i="1"/>
  <c r="AI694" i="1"/>
  <c r="AA689" i="1"/>
  <c r="AB711" i="1"/>
  <c r="C574" i="7"/>
  <c r="C573" i="7"/>
  <c r="H577" i="7" s="1"/>
  <c r="C572" i="7"/>
  <c r="C563" i="7"/>
  <c r="C560" i="7"/>
  <c r="C559" i="7"/>
  <c r="H563" i="7" s="1"/>
  <c r="C558" i="7"/>
  <c r="H560" i="7" s="1"/>
  <c r="C557" i="7"/>
  <c r="H559" i="7" s="1"/>
  <c r="C556" i="7"/>
  <c r="H558" i="7" s="1"/>
  <c r="C553" i="7"/>
  <c r="H557" i="7" s="1"/>
  <c r="C552" i="7"/>
  <c r="H556" i="7" s="1"/>
  <c r="C551" i="7"/>
  <c r="C550" i="7"/>
  <c r="C549" i="7"/>
  <c r="N196" i="5"/>
  <c r="I194" i="5" s="1"/>
  <c r="U194" i="5" s="1"/>
  <c r="Z196" i="5" s="1"/>
  <c r="N195" i="5"/>
  <c r="N194" i="5"/>
  <c r="N193" i="5"/>
  <c r="I189" i="5" s="1"/>
  <c r="U189" i="5" s="1"/>
  <c r="Z193" i="5" s="1"/>
  <c r="N192" i="5"/>
  <c r="I188" i="5" s="1"/>
  <c r="U188" i="5" s="1"/>
  <c r="Z192" i="5" s="1"/>
  <c r="N189" i="5"/>
  <c r="I187" i="5" s="1"/>
  <c r="U187" i="5" s="1"/>
  <c r="Z189" i="5" s="1"/>
  <c r="N188" i="5"/>
  <c r="I186" i="5" s="1"/>
  <c r="U186" i="5" s="1"/>
  <c r="Z188" i="5" s="1"/>
  <c r="N187" i="5"/>
  <c r="N186" i="5"/>
  <c r="U182" i="5" s="1"/>
  <c r="U181" i="5"/>
  <c r="Z186" i="5" s="1"/>
  <c r="N182" i="5"/>
  <c r="I180" i="5" s="1"/>
  <c r="U180" i="5" s="1"/>
  <c r="Z182" i="5" s="1"/>
  <c r="N181" i="5"/>
  <c r="I179" i="5" s="1"/>
  <c r="U179" i="5" s="1"/>
  <c r="Z181" i="5" s="1"/>
  <c r="N180" i="5"/>
  <c r="I178" i="5" s="1"/>
  <c r="U178" i="5" s="1"/>
  <c r="Z180" i="5" s="1"/>
  <c r="N179" i="5"/>
  <c r="I175" i="5" s="1"/>
  <c r="U175" i="5" s="1"/>
  <c r="Z179" i="5" s="1"/>
  <c r="N178" i="5"/>
  <c r="N175" i="5"/>
  <c r="I173" i="5" s="1"/>
  <c r="U173" i="5" s="1"/>
  <c r="Z175" i="5" s="1"/>
  <c r="N174" i="5"/>
  <c r="I172" i="5" s="1"/>
  <c r="U172" i="5" s="1"/>
  <c r="Z174" i="5" s="1"/>
  <c r="N173" i="5"/>
  <c r="I171" i="5" s="1"/>
  <c r="U171" i="5" s="1"/>
  <c r="Z173" i="5" s="1"/>
  <c r="N172" i="5"/>
  <c r="I168" i="5" s="1"/>
  <c r="N171" i="5"/>
  <c r="I167" i="5" s="1"/>
  <c r="C774" i="4"/>
  <c r="H778" i="4" s="1"/>
  <c r="C773" i="4"/>
  <c r="H777" i="4" s="1"/>
  <c r="C772" i="4"/>
  <c r="C771" i="4"/>
  <c r="C770" i="4"/>
  <c r="C767" i="4"/>
  <c r="C766" i="4"/>
  <c r="H770" i="4" s="1"/>
  <c r="C765" i="4"/>
  <c r="C764" i="4"/>
  <c r="H766" i="4" s="1"/>
  <c r="H765" i="4"/>
  <c r="C758" i="4"/>
  <c r="H760" i="4" s="1"/>
  <c r="C757" i="4"/>
  <c r="H759" i="4" s="1"/>
  <c r="C756" i="4"/>
  <c r="H758" i="4" s="1"/>
  <c r="C753" i="4"/>
  <c r="H757" i="4" s="1"/>
  <c r="C752" i="4"/>
  <c r="H756" i="4" s="1"/>
  <c r="C751" i="4"/>
  <c r="H753" i="4" s="1"/>
  <c r="C750" i="4"/>
  <c r="C749" i="4"/>
  <c r="C746" i="4"/>
  <c r="C745" i="4"/>
  <c r="H749" i="4" s="1"/>
  <c r="C744" i="4"/>
  <c r="C743" i="4"/>
  <c r="C742" i="4"/>
  <c r="H774" i="3"/>
  <c r="H773" i="3"/>
  <c r="H772" i="3"/>
  <c r="H771" i="3"/>
  <c r="H770" i="3"/>
  <c r="H767" i="3"/>
  <c r="H766" i="3"/>
  <c r="H765" i="3"/>
  <c r="H760" i="3"/>
  <c r="H759" i="3"/>
  <c r="H758" i="3"/>
  <c r="H757" i="3"/>
  <c r="H756" i="3"/>
  <c r="H753" i="3"/>
  <c r="H752" i="3"/>
  <c r="H751" i="3"/>
  <c r="H750" i="3"/>
  <c r="H749" i="3"/>
  <c r="N272" i="2"/>
  <c r="I271" i="2" s="1"/>
  <c r="U271" i="2" s="1"/>
  <c r="N271" i="2"/>
  <c r="I270" i="2" s="1"/>
  <c r="N270" i="2"/>
  <c r="I269" i="2" s="1"/>
  <c r="N269" i="2"/>
  <c r="N268" i="2"/>
  <c r="N265" i="2"/>
  <c r="I264" i="2" s="1"/>
  <c r="U264" i="2" s="1"/>
  <c r="Z265" i="2" s="1"/>
  <c r="N264" i="2"/>
  <c r="I263" i="2" s="1"/>
  <c r="U263" i="2" s="1"/>
  <c r="N263" i="2"/>
  <c r="I262" i="2" s="1"/>
  <c r="U262" i="2" s="1"/>
  <c r="N262" i="2"/>
  <c r="N258" i="2"/>
  <c r="I257" i="2" s="1"/>
  <c r="U257" i="2" s="1"/>
  <c r="N257" i="2"/>
  <c r="I256" i="2" s="1"/>
  <c r="U256" i="2" s="1"/>
  <c r="N256" i="2"/>
  <c r="I255" i="2" s="1"/>
  <c r="U255" i="2" s="1"/>
  <c r="Z256" i="2" s="1"/>
  <c r="N255" i="2"/>
  <c r="I254" i="2" s="1"/>
  <c r="U254" i="2" s="1"/>
  <c r="Z255" i="2" s="1"/>
  <c r="N254" i="2"/>
  <c r="I251" i="2" s="1"/>
  <c r="U251" i="2" s="1"/>
  <c r="N251" i="2"/>
  <c r="I250" i="2" s="1"/>
  <c r="U250" i="2" s="1"/>
  <c r="N250" i="2"/>
  <c r="I249" i="2" s="1"/>
  <c r="U249" i="2" s="1"/>
  <c r="N249" i="2"/>
  <c r="I248" i="2" s="1"/>
  <c r="U248" i="2" s="1"/>
  <c r="N248" i="2"/>
  <c r="I247" i="2" s="1"/>
  <c r="U247" i="2" s="1"/>
  <c r="N247" i="2"/>
  <c r="C774" i="1"/>
  <c r="AB778" i="1" s="1"/>
  <c r="C773" i="1"/>
  <c r="AB777" i="1" s="1"/>
  <c r="C772" i="1"/>
  <c r="C771" i="1"/>
  <c r="AB773" i="1" s="1"/>
  <c r="C770" i="1"/>
  <c r="AB772" i="1" s="1"/>
  <c r="C767" i="1"/>
  <c r="AB771" i="1" s="1"/>
  <c r="C766" i="1"/>
  <c r="AB770" i="1" s="1"/>
  <c r="C765" i="1"/>
  <c r="AB767" i="1" s="1"/>
  <c r="AB766" i="1"/>
  <c r="AB765" i="1"/>
  <c r="C758" i="1"/>
  <c r="AB760" i="1" s="1"/>
  <c r="C757" i="1"/>
  <c r="AB759" i="1" s="1"/>
  <c r="C756" i="1"/>
  <c r="AB758" i="1" s="1"/>
  <c r="C753" i="1"/>
  <c r="AB757" i="1" s="1"/>
  <c r="C752" i="1"/>
  <c r="AB756" i="1" s="1"/>
  <c r="C751" i="1"/>
  <c r="AB753" i="1" s="1"/>
  <c r="C750" i="1"/>
  <c r="AB752" i="1" s="1"/>
  <c r="C749" i="1"/>
  <c r="AB751" i="1" s="1"/>
  <c r="C746" i="1"/>
  <c r="AB750" i="1" s="1"/>
  <c r="C745" i="1"/>
  <c r="AB749" i="1" s="1"/>
  <c r="C744" i="1"/>
  <c r="C743" i="1"/>
  <c r="C742" i="1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AB702" i="1"/>
  <c r="AB703" i="1"/>
  <c r="AB704" i="1"/>
  <c r="Z77" i="6" l="1"/>
  <c r="W5" i="6"/>
  <c r="W6" i="6" s="1"/>
  <c r="W7" i="6" s="1"/>
  <c r="W8" i="6" s="1"/>
  <c r="W9" i="6" s="1"/>
  <c r="W10" i="6" s="1"/>
  <c r="W640" i="7"/>
  <c r="W641" i="7" s="1"/>
  <c r="W642" i="7" s="1"/>
  <c r="W643" i="7" s="1"/>
  <c r="W644" i="7" s="1"/>
  <c r="W645" i="7" s="1"/>
  <c r="W646" i="7" s="1"/>
  <c r="W647" i="7" s="1"/>
  <c r="W648" i="7" s="1"/>
  <c r="W649" i="7" s="1"/>
  <c r="W650" i="7" s="1"/>
  <c r="W651" i="7" s="1"/>
  <c r="W652" i="7" s="1"/>
  <c r="W653" i="7" s="1"/>
  <c r="W654" i="7" s="1"/>
  <c r="W655" i="7" s="1"/>
  <c r="W656" i="7" s="1"/>
  <c r="W657" i="7" s="1"/>
  <c r="W658" i="7" s="1"/>
  <c r="W659" i="7" s="1"/>
  <c r="W660" i="7" s="1"/>
  <c r="W661" i="7" s="1"/>
  <c r="W662" i="7" s="1"/>
  <c r="W663" i="7" s="1"/>
  <c r="W664" i="7" s="1"/>
  <c r="W665" i="7" s="1"/>
  <c r="W666" i="7" s="1"/>
  <c r="W667" i="7" s="1"/>
  <c r="W668" i="7" s="1"/>
  <c r="W669" i="7" s="1"/>
  <c r="W670" i="7" s="1"/>
  <c r="W671" i="7" s="1"/>
  <c r="W672" i="7" s="1"/>
  <c r="W673" i="7" s="1"/>
  <c r="W674" i="7" s="1"/>
  <c r="W675" i="7" s="1"/>
  <c r="W676" i="7" s="1"/>
  <c r="W677" i="7" s="1"/>
  <c r="W678" i="7" s="1"/>
  <c r="W679" i="7" s="1"/>
  <c r="W680" i="7" s="1"/>
  <c r="W681" i="7" s="1"/>
  <c r="W682" i="7" s="1"/>
  <c r="W683" i="7" s="1"/>
  <c r="W684" i="7" s="1"/>
  <c r="W685" i="7" s="1"/>
  <c r="W686" i="7" s="1"/>
  <c r="W687" i="7" s="1"/>
  <c r="W688" i="7" s="1"/>
  <c r="W689" i="7" s="1"/>
  <c r="W690" i="7" s="1"/>
  <c r="W691" i="7" s="1"/>
  <c r="W692" i="7" s="1"/>
  <c r="W693" i="7" s="1"/>
  <c r="W694" i="7" s="1"/>
  <c r="W695" i="7" s="1"/>
  <c r="W696" i="7" s="1"/>
  <c r="W697" i="7" s="1"/>
  <c r="W698" i="7" s="1"/>
  <c r="W699" i="7" s="1"/>
  <c r="W700" i="7" s="1"/>
  <c r="W701" i="7" s="1"/>
  <c r="W702" i="7" s="1"/>
  <c r="W703" i="7" s="1"/>
  <c r="W704" i="7" s="1"/>
  <c r="W705" i="7" s="1"/>
  <c r="W706" i="7" s="1"/>
  <c r="W707" i="7" s="1"/>
  <c r="K11" i="6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K101" i="6" s="1"/>
  <c r="K102" i="6" s="1"/>
  <c r="K103" i="6" s="1"/>
  <c r="K104" i="6" s="1"/>
  <c r="K105" i="6" s="1"/>
  <c r="K106" i="6" s="1"/>
  <c r="Z61" i="6"/>
  <c r="Z41" i="6"/>
  <c r="Z46" i="6"/>
  <c r="Z60" i="6"/>
  <c r="S32" i="6"/>
  <c r="S33" i="6" s="1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S51" i="6" s="1"/>
  <c r="S52" i="6" s="1"/>
  <c r="S53" i="6" s="1"/>
  <c r="S54" i="6" s="1"/>
  <c r="S55" i="6" s="1"/>
  <c r="S56" i="6" s="1"/>
  <c r="S57" i="6" s="1"/>
  <c r="S58" i="6" s="1"/>
  <c r="S59" i="6" s="1"/>
  <c r="S60" i="6" s="1"/>
  <c r="S61" i="6" s="1"/>
  <c r="S62" i="6" s="1"/>
  <c r="S63" i="6" s="1"/>
  <c r="S64" i="6" s="1"/>
  <c r="S65" i="6" s="1"/>
  <c r="S66" i="6" s="1"/>
  <c r="S67" i="6" s="1"/>
  <c r="S68" i="6" s="1"/>
  <c r="S69" i="6" s="1"/>
  <c r="S70" i="6" s="1"/>
  <c r="S71" i="6" s="1"/>
  <c r="S72" i="6" s="1"/>
  <c r="S73" i="6" s="1"/>
  <c r="S74" i="6" s="1"/>
  <c r="S75" i="6" s="1"/>
  <c r="S76" i="6" s="1"/>
  <c r="S77" i="6" s="1"/>
  <c r="S78" i="6" s="1"/>
  <c r="S79" i="6" s="1"/>
  <c r="S80" i="6" s="1"/>
  <c r="S81" i="6" s="1"/>
  <c r="S82" i="6" s="1"/>
  <c r="S83" i="6" s="1"/>
  <c r="S84" i="6" s="1"/>
  <c r="S85" i="6" s="1"/>
  <c r="S86" i="6" s="1"/>
  <c r="S87" i="6" s="1"/>
  <c r="S88" i="6" s="1"/>
  <c r="S89" i="6" s="1"/>
  <c r="S90" i="6" s="1"/>
  <c r="S91" i="6" s="1"/>
  <c r="S92" i="6" s="1"/>
  <c r="S93" i="6" s="1"/>
  <c r="S94" i="6" s="1"/>
  <c r="S95" i="6" s="1"/>
  <c r="S96" i="6" s="1"/>
  <c r="S97" i="6" s="1"/>
  <c r="S98" i="6" s="1"/>
  <c r="S99" i="6" s="1"/>
  <c r="S100" i="6" s="1"/>
  <c r="S101" i="6" s="1"/>
  <c r="S102" i="6" s="1"/>
  <c r="S103" i="6" s="1"/>
  <c r="S104" i="6" s="1"/>
  <c r="S105" i="6" s="1"/>
  <c r="S106" i="6" s="1"/>
  <c r="Z68" i="6"/>
  <c r="Z47" i="6"/>
  <c r="Z56" i="6"/>
  <c r="U63" i="6"/>
  <c r="U14" i="6"/>
  <c r="Z49" i="6"/>
  <c r="Z42" i="6"/>
  <c r="Z70" i="6"/>
  <c r="Z43" i="6"/>
  <c r="Z69" i="6"/>
  <c r="Z71" i="6"/>
  <c r="Z57" i="6"/>
  <c r="Z277" i="5"/>
  <c r="Z289" i="5"/>
  <c r="Z279" i="5"/>
  <c r="I223" i="5"/>
  <c r="U223" i="5" s="1"/>
  <c r="Z227" i="5" s="1"/>
  <c r="I224" i="5"/>
  <c r="U224" i="5" s="1"/>
  <c r="Z228" i="5" s="1"/>
  <c r="H812" i="4"/>
  <c r="H815" i="4"/>
  <c r="H813" i="4"/>
  <c r="H814" i="4"/>
  <c r="H816" i="4"/>
  <c r="I300" i="2"/>
  <c r="U300" i="2" s="1"/>
  <c r="Z303" i="2" s="1"/>
  <c r="I301" i="2"/>
  <c r="I302" i="2"/>
  <c r="I303" i="2"/>
  <c r="U303" i="2" s="1"/>
  <c r="Z304" i="2" s="1"/>
  <c r="I304" i="2"/>
  <c r="U304" i="2" s="1"/>
  <c r="Z305" i="2" s="1"/>
  <c r="Z311" i="2"/>
  <c r="Z312" i="2"/>
  <c r="Z313" i="2"/>
  <c r="Z314" i="2"/>
  <c r="Z310" i="2"/>
  <c r="I192" i="5"/>
  <c r="U192" i="5" s="1"/>
  <c r="Z194" i="5" s="1"/>
  <c r="I193" i="5"/>
  <c r="U193" i="5" s="1"/>
  <c r="Z195" i="5" s="1"/>
  <c r="Z187" i="5"/>
  <c r="H579" i="7"/>
  <c r="H586" i="7"/>
  <c r="H608" i="7"/>
  <c r="I268" i="2"/>
  <c r="U268" i="2" s="1"/>
  <c r="Z269" i="2" s="1"/>
  <c r="U269" i="2"/>
  <c r="Z278" i="2"/>
  <c r="H616" i="7"/>
  <c r="H614" i="7"/>
  <c r="H615" i="7"/>
  <c r="H613" i="7"/>
  <c r="H780" i="4"/>
  <c r="Z216" i="5"/>
  <c r="Z222" i="5"/>
  <c r="U270" i="2"/>
  <c r="Z271" i="2" s="1"/>
  <c r="H581" i="7"/>
  <c r="H580" i="7"/>
  <c r="H578" i="7"/>
  <c r="H779" i="4"/>
  <c r="Z277" i="2"/>
  <c r="Z276" i="2"/>
  <c r="Z275" i="2"/>
  <c r="H574" i="7"/>
  <c r="H572" i="7"/>
  <c r="H567" i="7"/>
  <c r="H573" i="7"/>
  <c r="H564" i="7"/>
  <c r="H565" i="7"/>
  <c r="H566" i="7"/>
  <c r="I174" i="5"/>
  <c r="U174" i="5" s="1"/>
  <c r="Z178" i="5" s="1"/>
  <c r="H772" i="4"/>
  <c r="H774" i="4"/>
  <c r="H771" i="4"/>
  <c r="H773" i="4"/>
  <c r="H767" i="4"/>
  <c r="H751" i="4"/>
  <c r="H752" i="4"/>
  <c r="H750" i="4"/>
  <c r="Z272" i="2"/>
  <c r="Z263" i="2"/>
  <c r="Z264" i="2"/>
  <c r="Z257" i="2"/>
  <c r="Z254" i="2"/>
  <c r="Z258" i="2"/>
  <c r="I265" i="2"/>
  <c r="U265" i="2" s="1"/>
  <c r="U258" i="2"/>
  <c r="Z262" i="2" s="1"/>
  <c r="I244" i="2"/>
  <c r="AB774" i="1"/>
  <c r="C739" i="4"/>
  <c r="C738" i="4"/>
  <c r="C737" i="4"/>
  <c r="C736" i="4"/>
  <c r="C735" i="4"/>
  <c r="C732" i="4"/>
  <c r="C731" i="4"/>
  <c r="C730" i="4"/>
  <c r="C729" i="4"/>
  <c r="C728" i="4"/>
  <c r="C725" i="4"/>
  <c r="C724" i="4"/>
  <c r="C723" i="4"/>
  <c r="C722" i="4"/>
  <c r="C721" i="4"/>
  <c r="C718" i="4"/>
  <c r="C717" i="4"/>
  <c r="C716" i="4"/>
  <c r="C715" i="4"/>
  <c r="C714" i="4"/>
  <c r="C709" i="4"/>
  <c r="C739" i="1"/>
  <c r="C738" i="1"/>
  <c r="C737" i="1"/>
  <c r="C736" i="1"/>
  <c r="C735" i="1"/>
  <c r="C732" i="1"/>
  <c r="C731" i="1"/>
  <c r="C730" i="1"/>
  <c r="C729" i="1"/>
  <c r="C728" i="1"/>
  <c r="C725" i="1"/>
  <c r="C724" i="1"/>
  <c r="C723" i="1"/>
  <c r="C722" i="1"/>
  <c r="C721" i="1"/>
  <c r="C718" i="1"/>
  <c r="C717" i="1"/>
  <c r="C716" i="1"/>
  <c r="C715" i="1"/>
  <c r="C714" i="1"/>
  <c r="AI690" i="1"/>
  <c r="AG179" i="2"/>
  <c r="AB689" i="1"/>
  <c r="AD111" i="5"/>
  <c r="AK112" i="5"/>
  <c r="L689" i="3"/>
  <c r="T690" i="4"/>
  <c r="V689" i="4"/>
  <c r="AN690" i="1"/>
  <c r="AP690" i="1" s="1"/>
  <c r="AN689" i="1"/>
  <c r="AP689" i="1" s="1"/>
  <c r="Q681" i="4"/>
  <c r="C680" i="1"/>
  <c r="AB681" i="1"/>
  <c r="AI675" i="1"/>
  <c r="C495" i="7"/>
  <c r="C487" i="7"/>
  <c r="H681" i="4"/>
  <c r="C680" i="4"/>
  <c r="C680" i="3"/>
  <c r="D323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C47" i="5"/>
  <c r="D51" i="5"/>
  <c r="D50" i="5"/>
  <c r="D46" i="5"/>
  <c r="D47" i="5"/>
  <c r="D48" i="5"/>
  <c r="D49" i="5"/>
  <c r="D45" i="5"/>
  <c r="D44" i="5"/>
  <c r="D43" i="5"/>
  <c r="D40" i="5"/>
  <c r="D41" i="5"/>
  <c r="D42" i="5"/>
  <c r="D39" i="5"/>
  <c r="W11" i="6" l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W84" i="6" s="1"/>
  <c r="W85" i="6" s="1"/>
  <c r="W86" i="6" s="1"/>
  <c r="W87" i="6" s="1"/>
  <c r="W88" i="6" s="1"/>
  <c r="W89" i="6" s="1"/>
  <c r="W90" i="6" s="1"/>
  <c r="W91" i="6" s="1"/>
  <c r="W92" i="6" s="1"/>
  <c r="W93" i="6" s="1"/>
  <c r="W94" i="6" s="1"/>
  <c r="W95" i="6" s="1"/>
  <c r="W96" i="6" s="1"/>
  <c r="W97" i="6" s="1"/>
  <c r="W98" i="6" s="1"/>
  <c r="W99" i="6" s="1"/>
  <c r="W100" i="6" s="1"/>
  <c r="W101" i="6" s="1"/>
  <c r="W102" i="6" s="1"/>
  <c r="W103" i="6" s="1"/>
  <c r="W104" i="6" s="1"/>
  <c r="W105" i="6" s="1"/>
  <c r="W106" i="6" s="1"/>
  <c r="Z67" i="6"/>
  <c r="Z270" i="2"/>
  <c r="Z268" i="2"/>
  <c r="V690" i="4"/>
  <c r="N244" i="2"/>
  <c r="I243" i="2" s="1"/>
  <c r="N243" i="2"/>
  <c r="I242" i="2" s="1"/>
  <c r="N242" i="2"/>
  <c r="I241" i="2" s="1"/>
  <c r="N241" i="2"/>
  <c r="I240" i="2" s="1"/>
  <c r="N240" i="2"/>
  <c r="N237" i="2"/>
  <c r="I236" i="2" s="1"/>
  <c r="N236" i="2"/>
  <c r="I235" i="2" s="1"/>
  <c r="N235" i="2"/>
  <c r="I234" i="2" s="1"/>
  <c r="N234" i="2"/>
  <c r="I233" i="2" s="1"/>
  <c r="N233" i="2"/>
  <c r="I230" i="2" s="1"/>
  <c r="N230" i="2"/>
  <c r="I229" i="2" s="1"/>
  <c r="N229" i="2"/>
  <c r="I228" i="2" s="1"/>
  <c r="I227" i="2"/>
  <c r="N227" i="2"/>
  <c r="I226" i="2" s="1"/>
  <c r="N226" i="2"/>
  <c r="I223" i="2" s="1"/>
  <c r="N223" i="2"/>
  <c r="I222" i="2" s="1"/>
  <c r="N222" i="2"/>
  <c r="I221" i="2" s="1"/>
  <c r="N221" i="2"/>
  <c r="I220" i="2" s="1"/>
  <c r="N220" i="2"/>
  <c r="I219" i="2" s="1"/>
  <c r="N219" i="2"/>
  <c r="I216" i="2" s="1"/>
  <c r="N216" i="2"/>
  <c r="I215" i="2" s="1"/>
  <c r="N215" i="2"/>
  <c r="I214" i="2" s="1"/>
  <c r="N214" i="2"/>
  <c r="I213" i="2" s="1"/>
  <c r="N213" i="2"/>
  <c r="I212" i="2" s="1"/>
  <c r="N212" i="2"/>
  <c r="I209" i="2" s="1"/>
  <c r="N209" i="2"/>
  <c r="I208" i="2" s="1"/>
  <c r="N208" i="2"/>
  <c r="I207" i="2" s="1"/>
  <c r="N207" i="2"/>
  <c r="I206" i="2" s="1"/>
  <c r="N206" i="2"/>
  <c r="I205" i="2" s="1"/>
  <c r="N205" i="2"/>
  <c r="I202" i="2" s="1"/>
  <c r="N202" i="2"/>
  <c r="I201" i="2" s="1"/>
  <c r="N201" i="2"/>
  <c r="I200" i="2" s="1"/>
  <c r="N200" i="2"/>
  <c r="I199" i="2" s="1"/>
  <c r="N199" i="2"/>
  <c r="I198" i="2" s="1"/>
  <c r="N198" i="2"/>
  <c r="I195" i="2" s="1"/>
  <c r="N195" i="2"/>
  <c r="I194" i="2" s="1"/>
  <c r="N194" i="2"/>
  <c r="I193" i="2" s="1"/>
  <c r="N193" i="2"/>
  <c r="I192" i="2" s="1"/>
  <c r="N192" i="2"/>
  <c r="I191" i="2" s="1"/>
  <c r="N191" i="2"/>
  <c r="I188" i="2" s="1"/>
  <c r="N188" i="2"/>
  <c r="I187" i="2" s="1"/>
  <c r="N187" i="2"/>
  <c r="I186" i="2" s="1"/>
  <c r="N186" i="2"/>
  <c r="I185" i="2" s="1"/>
  <c r="AB672" i="1"/>
  <c r="AB676" i="1"/>
  <c r="AB675" i="1"/>
  <c r="AB674" i="1"/>
  <c r="AB673" i="1"/>
  <c r="AB669" i="1"/>
  <c r="AB668" i="1"/>
  <c r="N167" i="2"/>
  <c r="N166" i="2"/>
  <c r="AE33" i="6" l="1"/>
  <c r="AE34" i="6" s="1"/>
  <c r="AE35" i="6" s="1"/>
  <c r="AE36" i="6" s="1"/>
  <c r="AE37" i="6" s="1"/>
  <c r="AE38" i="6" s="1"/>
  <c r="AE39" i="6" s="1"/>
  <c r="AE40" i="6" s="1"/>
  <c r="AE41" i="6" s="1"/>
  <c r="AE42" i="6" s="1"/>
  <c r="AE43" i="6" s="1"/>
  <c r="AE44" i="6" s="1"/>
  <c r="AE45" i="6" s="1"/>
  <c r="AE46" i="6" s="1"/>
  <c r="AE47" i="6" s="1"/>
  <c r="AE48" i="6" s="1"/>
  <c r="AE49" i="6" s="1"/>
  <c r="AE50" i="6" s="1"/>
  <c r="AE51" i="6" s="1"/>
  <c r="AE52" i="6" s="1"/>
  <c r="AE53" i="6" s="1"/>
  <c r="AE54" i="6" s="1"/>
  <c r="AE55" i="6" s="1"/>
  <c r="AE56" i="6" s="1"/>
  <c r="AE57" i="6" s="1"/>
  <c r="AE58" i="6" s="1"/>
  <c r="AE59" i="6" s="1"/>
  <c r="AE60" i="6" s="1"/>
  <c r="AE61" i="6" s="1"/>
  <c r="AE62" i="6" s="1"/>
  <c r="AE63" i="6" s="1"/>
  <c r="AE64" i="6" s="1"/>
  <c r="AE65" i="6" s="1"/>
  <c r="AE66" i="6" s="1"/>
  <c r="AE67" i="6" s="1"/>
  <c r="AE68" i="6" s="1"/>
  <c r="AE69" i="6" s="1"/>
  <c r="AE70" i="6" s="1"/>
  <c r="AE71" i="6" s="1"/>
  <c r="AE72" i="6" s="1"/>
  <c r="AE73" i="6" s="1"/>
  <c r="AE74" i="6" s="1"/>
  <c r="AE75" i="6" s="1"/>
  <c r="AE76" i="6" s="1"/>
  <c r="AE77" i="6" s="1"/>
  <c r="AE78" i="6" s="1"/>
  <c r="AE79" i="6" s="1"/>
  <c r="AE80" i="6" s="1"/>
  <c r="AE81" i="6" s="1"/>
  <c r="AE82" i="6" s="1"/>
  <c r="AE83" i="6" s="1"/>
  <c r="AE84" i="6" s="1"/>
  <c r="AE85" i="6" s="1"/>
  <c r="AE86" i="6" s="1"/>
  <c r="AE87" i="6" s="1"/>
  <c r="AE88" i="6" s="1"/>
  <c r="AE89" i="6" s="1"/>
  <c r="AE90" i="6" s="1"/>
  <c r="AE91" i="6" s="1"/>
  <c r="AE92" i="6" s="1"/>
  <c r="AE93" i="6" s="1"/>
  <c r="AE94" i="6" s="1"/>
  <c r="AE95" i="6" s="1"/>
  <c r="AE96" i="6" s="1"/>
  <c r="AE97" i="6" s="1"/>
  <c r="AE98" i="6" s="1"/>
  <c r="AE99" i="6" s="1"/>
  <c r="AE100" i="6" s="1"/>
  <c r="AE101" i="6" s="1"/>
  <c r="AE102" i="6" s="1"/>
  <c r="AE103" i="6" s="1"/>
  <c r="AE104" i="6" s="1"/>
  <c r="AE105" i="6" s="1"/>
  <c r="AE106" i="6" s="1"/>
  <c r="I237" i="2"/>
  <c r="U237" i="2" s="1"/>
  <c r="AI667" i="1"/>
  <c r="AB746" i="1"/>
  <c r="AB745" i="1"/>
  <c r="AB744" i="1"/>
  <c r="AB743" i="1"/>
  <c r="AB742" i="1"/>
  <c r="AB739" i="1"/>
  <c r="AB738" i="1"/>
  <c r="AB737" i="1"/>
  <c r="AB736" i="1"/>
  <c r="AB735" i="1"/>
  <c r="AB732" i="1"/>
  <c r="AB731" i="1"/>
  <c r="AB730" i="1"/>
  <c r="AB729" i="1"/>
  <c r="AB728" i="1"/>
  <c r="AB725" i="1"/>
  <c r="AB724" i="1"/>
  <c r="AB723" i="1"/>
  <c r="AB722" i="1"/>
  <c r="AB721" i="1"/>
  <c r="AB718" i="1"/>
  <c r="AB717" i="1"/>
  <c r="AB716" i="1"/>
  <c r="AB715" i="1"/>
  <c r="AB714" i="1"/>
  <c r="AB710" i="1"/>
  <c r="AB709" i="1"/>
  <c r="AB708" i="1"/>
  <c r="AB701" i="1"/>
  <c r="AB700" i="1"/>
  <c r="AB697" i="1"/>
  <c r="AB696" i="1"/>
  <c r="AB695" i="1"/>
  <c r="AB694" i="1"/>
  <c r="AB693" i="1"/>
  <c r="AB690" i="1"/>
  <c r="AB688" i="1"/>
  <c r="AB680" i="1"/>
  <c r="AB679" i="1"/>
  <c r="AB639" i="1"/>
  <c r="H665" i="3"/>
  <c r="H666" i="3"/>
  <c r="H667" i="3"/>
  <c r="H672" i="3"/>
  <c r="H673" i="3"/>
  <c r="H674" i="3"/>
  <c r="H651" i="3"/>
  <c r="U242" i="2"/>
  <c r="C546" i="7"/>
  <c r="H551" i="7" s="1"/>
  <c r="C545" i="7"/>
  <c r="H549" i="7" s="1"/>
  <c r="C544" i="7"/>
  <c r="H546" i="7" s="1"/>
  <c r="C543" i="7"/>
  <c r="H545" i="7" s="1"/>
  <c r="C542" i="7"/>
  <c r="H544" i="7" s="1"/>
  <c r="C539" i="7"/>
  <c r="H543" i="7" s="1"/>
  <c r="H542" i="7"/>
  <c r="H539" i="7"/>
  <c r="H536" i="7"/>
  <c r="C531" i="7"/>
  <c r="H535" i="7" s="1"/>
  <c r="C530" i="7"/>
  <c r="H532" i="7" s="1"/>
  <c r="C529" i="7"/>
  <c r="H531" i="7" s="1"/>
  <c r="C528" i="7"/>
  <c r="H530" i="7" s="1"/>
  <c r="C525" i="7"/>
  <c r="H529" i="7" s="1"/>
  <c r="C524" i="7"/>
  <c r="H528" i="7" s="1"/>
  <c r="C523" i="7"/>
  <c r="C522" i="7"/>
  <c r="C521" i="7"/>
  <c r="C518" i="7"/>
  <c r="C517" i="7"/>
  <c r="C516" i="7"/>
  <c r="C515" i="7"/>
  <c r="C514" i="7"/>
  <c r="C511" i="7"/>
  <c r="C510" i="7"/>
  <c r="C509" i="7"/>
  <c r="C508" i="7"/>
  <c r="C507" i="7"/>
  <c r="AI168" i="5"/>
  <c r="AI161" i="5"/>
  <c r="AI154" i="5"/>
  <c r="AI147" i="5"/>
  <c r="AI140" i="5"/>
  <c r="Q739" i="4"/>
  <c r="Q732" i="4"/>
  <c r="Q725" i="4"/>
  <c r="Q718" i="4"/>
  <c r="Q746" i="3"/>
  <c r="Q739" i="3"/>
  <c r="Q732" i="3"/>
  <c r="Q725" i="3"/>
  <c r="Q718" i="3"/>
  <c r="U241" i="2"/>
  <c r="U240" i="2"/>
  <c r="Z241" i="2" s="1"/>
  <c r="AK746" i="1"/>
  <c r="AK739" i="1"/>
  <c r="AK732" i="1"/>
  <c r="AK725" i="1"/>
  <c r="AK718" i="1"/>
  <c r="U244" i="2"/>
  <c r="U243" i="2"/>
  <c r="AI237" i="2"/>
  <c r="AI230" i="2"/>
  <c r="AI223" i="2"/>
  <c r="AI216" i="2"/>
  <c r="N138" i="5"/>
  <c r="I136" i="5" s="1"/>
  <c r="N139" i="5"/>
  <c r="I137" i="5" s="1"/>
  <c r="N140" i="5"/>
  <c r="I138" i="5" s="1"/>
  <c r="N143" i="5"/>
  <c r="I139" i="5" s="1"/>
  <c r="N144" i="5"/>
  <c r="I140" i="5" s="1"/>
  <c r="N145" i="5"/>
  <c r="I143" i="5" s="1"/>
  <c r="N146" i="5"/>
  <c r="I144" i="5" s="1"/>
  <c r="N147" i="5"/>
  <c r="I145" i="5" s="1"/>
  <c r="N150" i="5"/>
  <c r="I146" i="5" s="1"/>
  <c r="N151" i="5"/>
  <c r="I147" i="5" s="1"/>
  <c r="N152" i="5"/>
  <c r="I150" i="5" s="1"/>
  <c r="N153" i="5"/>
  <c r="I151" i="5" s="1"/>
  <c r="N154" i="5"/>
  <c r="I152" i="5" s="1"/>
  <c r="N157" i="5"/>
  <c r="I153" i="5" s="1"/>
  <c r="N158" i="5"/>
  <c r="I154" i="5" s="1"/>
  <c r="N159" i="5"/>
  <c r="I157" i="5" s="1"/>
  <c r="N160" i="5"/>
  <c r="I158" i="5" s="1"/>
  <c r="N161" i="5"/>
  <c r="I159" i="5" s="1"/>
  <c r="N164" i="5"/>
  <c r="I160" i="5" s="1"/>
  <c r="N165" i="5"/>
  <c r="I161" i="5" s="1"/>
  <c r="N166" i="5"/>
  <c r="I164" i="5" s="1"/>
  <c r="N167" i="5"/>
  <c r="I165" i="5" s="1"/>
  <c r="N168" i="5"/>
  <c r="I166" i="5" s="1"/>
  <c r="H716" i="3"/>
  <c r="H717" i="3"/>
  <c r="H718" i="3"/>
  <c r="H721" i="3"/>
  <c r="H722" i="3"/>
  <c r="H723" i="3"/>
  <c r="H724" i="3"/>
  <c r="H725" i="3"/>
  <c r="H728" i="3"/>
  <c r="H729" i="3"/>
  <c r="H730" i="3"/>
  <c r="H731" i="3"/>
  <c r="H732" i="3"/>
  <c r="H735" i="3"/>
  <c r="H736" i="3"/>
  <c r="H737" i="3"/>
  <c r="H738" i="3"/>
  <c r="H739" i="3"/>
  <c r="H742" i="3"/>
  <c r="H743" i="3"/>
  <c r="H744" i="3"/>
  <c r="H745" i="3"/>
  <c r="H746" i="3"/>
  <c r="D214" i="2"/>
  <c r="U213" i="2"/>
  <c r="D215" i="2"/>
  <c r="U214" i="2"/>
  <c r="D216" i="2"/>
  <c r="U215" i="2"/>
  <c r="D217" i="2"/>
  <c r="D218" i="2"/>
  <c r="D219" i="2"/>
  <c r="U216" i="2"/>
  <c r="Z219" i="2" s="1"/>
  <c r="D220" i="2"/>
  <c r="U219" i="2"/>
  <c r="Z220" i="2" s="1"/>
  <c r="D221" i="2"/>
  <c r="U220" i="2"/>
  <c r="Z221" i="2" s="1"/>
  <c r="D222" i="2"/>
  <c r="U221" i="2"/>
  <c r="Z222" i="2" s="1"/>
  <c r="D223" i="2"/>
  <c r="U222" i="2"/>
  <c r="Z223" i="2" s="1"/>
  <c r="D224" i="2"/>
  <c r="D225" i="2"/>
  <c r="D226" i="2"/>
  <c r="U223" i="2"/>
  <c r="Z226" i="2" s="1"/>
  <c r="D227" i="2"/>
  <c r="U226" i="2"/>
  <c r="D228" i="2"/>
  <c r="D229" i="2"/>
  <c r="U228" i="2"/>
  <c r="D230" i="2"/>
  <c r="U229" i="2"/>
  <c r="D231" i="2"/>
  <c r="D232" i="2"/>
  <c r="D233" i="2"/>
  <c r="U230" i="2"/>
  <c r="D234" i="2"/>
  <c r="U233" i="2"/>
  <c r="D235" i="2"/>
  <c r="U234" i="2"/>
  <c r="D236" i="2"/>
  <c r="U235" i="2"/>
  <c r="D237" i="2"/>
  <c r="U236" i="2"/>
  <c r="D238" i="2"/>
  <c r="D239" i="2"/>
  <c r="D240" i="2"/>
  <c r="D241" i="2"/>
  <c r="D242" i="2"/>
  <c r="D243" i="2"/>
  <c r="D244" i="2"/>
  <c r="D245" i="2"/>
  <c r="H716" i="4"/>
  <c r="H717" i="4"/>
  <c r="H718" i="4"/>
  <c r="H721" i="4"/>
  <c r="H722" i="4"/>
  <c r="H723" i="4"/>
  <c r="H724" i="4"/>
  <c r="H725" i="4"/>
  <c r="H728" i="4"/>
  <c r="H729" i="4"/>
  <c r="H730" i="4"/>
  <c r="H731" i="4"/>
  <c r="H732" i="4"/>
  <c r="H735" i="4"/>
  <c r="H736" i="4"/>
  <c r="H737" i="4"/>
  <c r="H738" i="4"/>
  <c r="H739" i="4"/>
  <c r="H742" i="4"/>
  <c r="H743" i="4"/>
  <c r="H744" i="4"/>
  <c r="H745" i="4"/>
  <c r="H746" i="4"/>
  <c r="AI653" i="1"/>
  <c r="D156" i="2"/>
  <c r="I151" i="2"/>
  <c r="O647" i="3"/>
  <c r="AG145" i="2"/>
  <c r="C146" i="2"/>
  <c r="C145" i="2"/>
  <c r="C144" i="2"/>
  <c r="C143" i="2"/>
  <c r="C142" i="2"/>
  <c r="AI646" i="1"/>
  <c r="U185" i="2"/>
  <c r="C476" i="7"/>
  <c r="C475" i="7"/>
  <c r="C474" i="7"/>
  <c r="C473" i="7"/>
  <c r="C472" i="7"/>
  <c r="H474" i="7" s="1"/>
  <c r="C469" i="7"/>
  <c r="C468" i="7"/>
  <c r="C462" i="7"/>
  <c r="C461" i="7"/>
  <c r="C458" i="7"/>
  <c r="Z248" i="2" l="1"/>
  <c r="Z249" i="2"/>
  <c r="Z250" i="2"/>
  <c r="Z247" i="2"/>
  <c r="Z251" i="2"/>
  <c r="U164" i="5"/>
  <c r="Z166" i="5" s="1"/>
  <c r="H550" i="7"/>
  <c r="H553" i="7"/>
  <c r="H552" i="7"/>
  <c r="H538" i="7"/>
  <c r="H537" i="7"/>
  <c r="Z236" i="2"/>
  <c r="Z242" i="2"/>
  <c r="Z240" i="2"/>
  <c r="Z244" i="2"/>
  <c r="Z243" i="2"/>
  <c r="Z235" i="2"/>
  <c r="Z234" i="2"/>
  <c r="Z237" i="2"/>
  <c r="Z233" i="2"/>
  <c r="Z227" i="2"/>
  <c r="Z230" i="2"/>
  <c r="Z228" i="2"/>
  <c r="Z229" i="2"/>
  <c r="H521" i="7"/>
  <c r="H517" i="7"/>
  <c r="H514" i="7"/>
  <c r="H511" i="7"/>
  <c r="H510" i="7"/>
  <c r="H509" i="7"/>
  <c r="C504" i="7"/>
  <c r="H508" i="7" s="1"/>
  <c r="C503" i="7"/>
  <c r="H507" i="7" s="1"/>
  <c r="C502" i="7"/>
  <c r="C501" i="7"/>
  <c r="C500" i="7"/>
  <c r="C497" i="7"/>
  <c r="C496" i="7"/>
  <c r="H500" i="7" s="1"/>
  <c r="H495" i="7"/>
  <c r="H654" i="3"/>
  <c r="U179" i="2"/>
  <c r="U151" i="2"/>
  <c r="Z153" i="2" s="1"/>
  <c r="AB557" i="1"/>
  <c r="AB583" i="1"/>
  <c r="O626" i="3"/>
  <c r="AI133" i="5"/>
  <c r="AI126" i="5"/>
  <c r="AI119" i="5"/>
  <c r="AI209" i="2"/>
  <c r="AI202" i="2"/>
  <c r="AI174" i="2"/>
  <c r="AI195" i="2"/>
  <c r="AI188" i="2"/>
  <c r="AI179" i="2"/>
  <c r="AI112" i="5"/>
  <c r="AI103" i="5"/>
  <c r="Y518" i="7"/>
  <c r="Y511" i="7"/>
  <c r="Y504" i="7"/>
  <c r="Y497" i="7"/>
  <c r="Y488" i="7"/>
  <c r="Q711" i="4"/>
  <c r="Q704" i="4"/>
  <c r="Q697" i="4"/>
  <c r="Q690" i="4"/>
  <c r="Q711" i="3"/>
  <c r="Q704" i="3"/>
  <c r="Q697" i="3"/>
  <c r="Q690" i="3"/>
  <c r="Q681" i="3"/>
  <c r="AK704" i="1"/>
  <c r="AK697" i="1"/>
  <c r="AK690" i="1"/>
  <c r="AK681" i="1"/>
  <c r="N110" i="5"/>
  <c r="N111" i="5"/>
  <c r="I109" i="5" s="1"/>
  <c r="N112" i="5"/>
  <c r="N115" i="5"/>
  <c r="I111" i="5" s="1"/>
  <c r="N116" i="5"/>
  <c r="I112" i="5" s="1"/>
  <c r="N117" i="5"/>
  <c r="I115" i="5" s="1"/>
  <c r="N118" i="5"/>
  <c r="I116" i="5" s="1"/>
  <c r="N119" i="5"/>
  <c r="I117" i="5" s="1"/>
  <c r="N122" i="5"/>
  <c r="I118" i="5" s="1"/>
  <c r="N123" i="5"/>
  <c r="I119" i="5" s="1"/>
  <c r="N124" i="5"/>
  <c r="I122" i="5" s="1"/>
  <c r="N125" i="5"/>
  <c r="I123" i="5" s="1"/>
  <c r="N126" i="5"/>
  <c r="I124" i="5" s="1"/>
  <c r="N129" i="5"/>
  <c r="I125" i="5" s="1"/>
  <c r="N130" i="5"/>
  <c r="I126" i="5" s="1"/>
  <c r="N131" i="5"/>
  <c r="N132" i="5"/>
  <c r="N133" i="5"/>
  <c r="N136" i="5"/>
  <c r="I132" i="5" s="1"/>
  <c r="N137" i="5"/>
  <c r="I133" i="5" s="1"/>
  <c r="H688" i="3"/>
  <c r="H689" i="3"/>
  <c r="H690" i="3"/>
  <c r="H693" i="3"/>
  <c r="H694" i="3"/>
  <c r="H695" i="3"/>
  <c r="H696" i="3"/>
  <c r="H697" i="3"/>
  <c r="H700" i="3"/>
  <c r="H701" i="3"/>
  <c r="H702" i="3"/>
  <c r="H703" i="3"/>
  <c r="H704" i="3"/>
  <c r="H707" i="3"/>
  <c r="H708" i="3"/>
  <c r="H709" i="3"/>
  <c r="H710" i="3"/>
  <c r="H711" i="3"/>
  <c r="H714" i="3"/>
  <c r="H715" i="3"/>
  <c r="D182" i="2"/>
  <c r="D183" i="2"/>
  <c r="D184" i="2"/>
  <c r="D185" i="2"/>
  <c r="D186" i="2"/>
  <c r="D187" i="2"/>
  <c r="U186" i="2"/>
  <c r="Z187" i="2" s="1"/>
  <c r="D188" i="2"/>
  <c r="U187" i="2"/>
  <c r="Z188" i="2" s="1"/>
  <c r="D189" i="2"/>
  <c r="D190" i="2"/>
  <c r="D191" i="2"/>
  <c r="U188" i="2"/>
  <c r="D192" i="2"/>
  <c r="U191" i="2"/>
  <c r="Z192" i="2" s="1"/>
  <c r="D193" i="2"/>
  <c r="U192" i="2"/>
  <c r="D194" i="2"/>
  <c r="U193" i="2"/>
  <c r="D195" i="2"/>
  <c r="U194" i="2"/>
  <c r="Z195" i="2" s="1"/>
  <c r="D196" i="2"/>
  <c r="D197" i="2"/>
  <c r="D198" i="2"/>
  <c r="U195" i="2"/>
  <c r="Z198" i="2" s="1"/>
  <c r="D199" i="2"/>
  <c r="U198" i="2"/>
  <c r="Z199" i="2" s="1"/>
  <c r="D200" i="2"/>
  <c r="U199" i="2"/>
  <c r="Z200" i="2" s="1"/>
  <c r="D201" i="2"/>
  <c r="U200" i="2"/>
  <c r="Z201" i="2" s="1"/>
  <c r="D202" i="2"/>
  <c r="U201" i="2"/>
  <c r="Z202" i="2" s="1"/>
  <c r="D203" i="2"/>
  <c r="D204" i="2"/>
  <c r="D205" i="2"/>
  <c r="U202" i="2"/>
  <c r="Z205" i="2" s="1"/>
  <c r="D206" i="2"/>
  <c r="D207" i="2"/>
  <c r="D208" i="2"/>
  <c r="D209" i="2"/>
  <c r="D210" i="2"/>
  <c r="D211" i="2"/>
  <c r="D212" i="2"/>
  <c r="U209" i="2"/>
  <c r="D213" i="2"/>
  <c r="U212" i="2"/>
  <c r="H688" i="4"/>
  <c r="H689" i="4"/>
  <c r="H690" i="4"/>
  <c r="H693" i="4"/>
  <c r="H694" i="4"/>
  <c r="H695" i="4"/>
  <c r="H696" i="4"/>
  <c r="H697" i="4"/>
  <c r="H700" i="4"/>
  <c r="H701" i="4"/>
  <c r="H702" i="4"/>
  <c r="H703" i="4"/>
  <c r="H704" i="4"/>
  <c r="H707" i="4"/>
  <c r="H708" i="4"/>
  <c r="H709" i="4"/>
  <c r="H710" i="4"/>
  <c r="H711" i="4"/>
  <c r="H714" i="4"/>
  <c r="O620" i="3"/>
  <c r="AG118" i="2"/>
  <c r="N45" i="5"/>
  <c r="AA86" i="2"/>
  <c r="AC117" i="2"/>
  <c r="AI98" i="5"/>
  <c r="AI91" i="5"/>
  <c r="AI84" i="5"/>
  <c r="AI77" i="5"/>
  <c r="Y483" i="7"/>
  <c r="Y476" i="7"/>
  <c r="Y469" i="7"/>
  <c r="Y462" i="7"/>
  <c r="Y455" i="7"/>
  <c r="Y448" i="7"/>
  <c r="Y441" i="7"/>
  <c r="Y434" i="7"/>
  <c r="Y427" i="7"/>
  <c r="Z35" i="5"/>
  <c r="AI70" i="5"/>
  <c r="AI63" i="5"/>
  <c r="AI56" i="5"/>
  <c r="AI49" i="5"/>
  <c r="AI42" i="5"/>
  <c r="C110" i="2"/>
  <c r="AJ103" i="2"/>
  <c r="H655" i="3"/>
  <c r="H658" i="3"/>
  <c r="H488" i="7"/>
  <c r="H486" i="7"/>
  <c r="H483" i="7"/>
  <c r="H482" i="7"/>
  <c r="H481" i="7"/>
  <c r="H480" i="7"/>
  <c r="H476" i="7"/>
  <c r="H475" i="7"/>
  <c r="H472" i="7"/>
  <c r="H469" i="7"/>
  <c r="H468" i="7"/>
  <c r="H467" i="7"/>
  <c r="H465" i="7"/>
  <c r="C455" i="7"/>
  <c r="H459" i="7" s="1"/>
  <c r="Q676" i="4"/>
  <c r="Q669" i="4"/>
  <c r="Q662" i="4"/>
  <c r="Q655" i="4"/>
  <c r="Q676" i="3"/>
  <c r="Q669" i="3"/>
  <c r="Q662" i="3"/>
  <c r="Q655" i="3"/>
  <c r="AI167" i="2"/>
  <c r="AI160" i="2"/>
  <c r="AI153" i="2"/>
  <c r="AK655" i="1"/>
  <c r="AK676" i="1"/>
  <c r="AK669" i="1"/>
  <c r="AK662" i="1"/>
  <c r="N74" i="5"/>
  <c r="I70" i="5" s="1"/>
  <c r="N75" i="5"/>
  <c r="I73" i="5" s="1"/>
  <c r="N77" i="5"/>
  <c r="I75" i="5" s="1"/>
  <c r="U75" i="5" s="1"/>
  <c r="Z77" i="5" s="1"/>
  <c r="N80" i="5"/>
  <c r="I76" i="5" s="1"/>
  <c r="N81" i="5"/>
  <c r="I77" i="5" s="1"/>
  <c r="N82" i="5"/>
  <c r="I80" i="5" s="1"/>
  <c r="N83" i="5"/>
  <c r="I81" i="5" s="1"/>
  <c r="N84" i="5"/>
  <c r="I82" i="5" s="1"/>
  <c r="N87" i="5"/>
  <c r="I83" i="5" s="1"/>
  <c r="N88" i="5"/>
  <c r="I84" i="5" s="1"/>
  <c r="N89" i="5"/>
  <c r="I87" i="5" s="1"/>
  <c r="N90" i="5"/>
  <c r="I88" i="5" s="1"/>
  <c r="N91" i="5"/>
  <c r="I89" i="5" s="1"/>
  <c r="U89" i="5" s="1"/>
  <c r="Z91" i="5" s="1"/>
  <c r="N94" i="5"/>
  <c r="I90" i="5" s="1"/>
  <c r="N95" i="5"/>
  <c r="I91" i="5" s="1"/>
  <c r="N96" i="5"/>
  <c r="I94" i="5" s="1"/>
  <c r="N97" i="5"/>
  <c r="I95" i="5" s="1"/>
  <c r="N98" i="5"/>
  <c r="I96" i="5" s="1"/>
  <c r="N101" i="5"/>
  <c r="I97" i="5" s="1"/>
  <c r="N102" i="5"/>
  <c r="N103" i="5"/>
  <c r="U103" i="5"/>
  <c r="H652" i="3"/>
  <c r="H653" i="3"/>
  <c r="H659" i="3"/>
  <c r="H660" i="3"/>
  <c r="H661" i="3"/>
  <c r="H662" i="3"/>
  <c r="H669" i="3"/>
  <c r="H675" i="3"/>
  <c r="H676" i="3"/>
  <c r="H679" i="3"/>
  <c r="H680" i="3"/>
  <c r="D150" i="2"/>
  <c r="N150" i="2"/>
  <c r="I149" i="2" s="1"/>
  <c r="D151" i="2"/>
  <c r="N151" i="2"/>
  <c r="I150" i="2" s="1"/>
  <c r="U150" i="2" s="1"/>
  <c r="Z151" i="2" s="1"/>
  <c r="D152" i="2"/>
  <c r="D153" i="2"/>
  <c r="N153" i="2"/>
  <c r="D154" i="2"/>
  <c r="D155" i="2"/>
  <c r="N156" i="2"/>
  <c r="I153" i="2" s="1"/>
  <c r="U153" i="2" s="1"/>
  <c r="Z156" i="2" s="1"/>
  <c r="D157" i="2"/>
  <c r="N157" i="2"/>
  <c r="I156" i="2" s="1"/>
  <c r="U156" i="2" s="1"/>
  <c r="Z157" i="2" s="1"/>
  <c r="D158" i="2"/>
  <c r="N158" i="2"/>
  <c r="I157" i="2" s="1"/>
  <c r="U157" i="2" s="1"/>
  <c r="Z158" i="2" s="1"/>
  <c r="D159" i="2"/>
  <c r="N159" i="2"/>
  <c r="I158" i="2" s="1"/>
  <c r="U158" i="2" s="1"/>
  <c r="D160" i="2"/>
  <c r="N160" i="2"/>
  <c r="I159" i="2" s="1"/>
  <c r="U159" i="2" s="1"/>
  <c r="Z160" i="2" s="1"/>
  <c r="D161" i="2"/>
  <c r="D162" i="2"/>
  <c r="D163" i="2"/>
  <c r="N163" i="2"/>
  <c r="I160" i="2" s="1"/>
  <c r="U160" i="2" s="1"/>
  <c r="Z163" i="2" s="1"/>
  <c r="D164" i="2"/>
  <c r="N164" i="2"/>
  <c r="I163" i="2" s="1"/>
  <c r="U163" i="2" s="1"/>
  <c r="D165" i="2"/>
  <c r="N165" i="2"/>
  <c r="I164" i="2" s="1"/>
  <c r="U164" i="2" s="1"/>
  <c r="D166" i="2"/>
  <c r="I165" i="2"/>
  <c r="U165" i="2" s="1"/>
  <c r="D167" i="2"/>
  <c r="I166" i="2"/>
  <c r="U166" i="2" s="1"/>
  <c r="Z167" i="2" s="1"/>
  <c r="D168" i="2"/>
  <c r="D169" i="2"/>
  <c r="D170" i="2"/>
  <c r="N170" i="2"/>
  <c r="I167" i="2" s="1"/>
  <c r="U167" i="2" s="1"/>
  <c r="Z170" i="2" s="1"/>
  <c r="D171" i="2"/>
  <c r="N171" i="2"/>
  <c r="I170" i="2" s="1"/>
  <c r="U170" i="2" s="1"/>
  <c r="D172" i="2"/>
  <c r="N172" i="2"/>
  <c r="I171" i="2" s="1"/>
  <c r="U171" i="2" s="1"/>
  <c r="Z172" i="2" s="1"/>
  <c r="D173" i="2"/>
  <c r="N173" i="2"/>
  <c r="I172" i="2" s="1"/>
  <c r="U172" i="2" s="1"/>
  <c r="Z173" i="2" s="1"/>
  <c r="D174" i="2"/>
  <c r="N174" i="2"/>
  <c r="I173" i="2" s="1"/>
  <c r="U173" i="2" s="1"/>
  <c r="Z174" i="2" s="1"/>
  <c r="D175" i="2"/>
  <c r="D176" i="2"/>
  <c r="D177" i="2"/>
  <c r="N177" i="2"/>
  <c r="I174" i="2" s="1"/>
  <c r="U174" i="2" s="1"/>
  <c r="Z177" i="2" s="1"/>
  <c r="D178" i="2"/>
  <c r="N178" i="2"/>
  <c r="I177" i="2" s="1"/>
  <c r="U177" i="2" s="1"/>
  <c r="Z178" i="2" s="1"/>
  <c r="D179" i="2"/>
  <c r="N179" i="2"/>
  <c r="I178" i="2" s="1"/>
  <c r="U178" i="2" s="1"/>
  <c r="Z179" i="2" s="1"/>
  <c r="D180" i="2"/>
  <c r="D181" i="2"/>
  <c r="H652" i="4"/>
  <c r="H653" i="4"/>
  <c r="H655" i="4"/>
  <c r="H658" i="4"/>
  <c r="H659" i="4"/>
  <c r="H660" i="4"/>
  <c r="H661" i="4"/>
  <c r="H662" i="4"/>
  <c r="H665" i="4"/>
  <c r="H666" i="4"/>
  <c r="H667" i="4"/>
  <c r="H668" i="4"/>
  <c r="H669" i="4"/>
  <c r="H672" i="4"/>
  <c r="H673" i="4"/>
  <c r="H674" i="4"/>
  <c r="H675" i="4"/>
  <c r="H676" i="4"/>
  <c r="H679" i="4"/>
  <c r="H680" i="4"/>
  <c r="AB645" i="1"/>
  <c r="AB644" i="1"/>
  <c r="D90" i="2"/>
  <c r="D89" i="2"/>
  <c r="D88" i="2"/>
  <c r="D87" i="2"/>
  <c r="D86" i="2"/>
  <c r="AA595" i="1"/>
  <c r="AB595" i="1"/>
  <c r="G333" i="5"/>
  <c r="G332" i="5"/>
  <c r="G331" i="5"/>
  <c r="G330" i="5"/>
  <c r="G329" i="5"/>
  <c r="G328" i="5"/>
  <c r="G327" i="5"/>
  <c r="N73" i="5"/>
  <c r="I69" i="5" s="1"/>
  <c r="N70" i="5"/>
  <c r="I68" i="5" s="1"/>
  <c r="N69" i="5"/>
  <c r="I67" i="5" s="1"/>
  <c r="N68" i="5"/>
  <c r="I66" i="5" s="1"/>
  <c r="N67" i="5"/>
  <c r="N66" i="5"/>
  <c r="N63" i="5"/>
  <c r="I63" i="5"/>
  <c r="N62" i="5"/>
  <c r="I62" i="5"/>
  <c r="N61" i="5"/>
  <c r="I61" i="5"/>
  <c r="N60" i="5"/>
  <c r="I60" i="5"/>
  <c r="N59" i="5"/>
  <c r="I59" i="5"/>
  <c r="N56" i="5"/>
  <c r="I56" i="5"/>
  <c r="N55" i="5"/>
  <c r="I55" i="5"/>
  <c r="N54" i="5"/>
  <c r="I54" i="5"/>
  <c r="N53" i="5"/>
  <c r="I53" i="5"/>
  <c r="N52" i="5"/>
  <c r="I52" i="5"/>
  <c r="N49" i="5"/>
  <c r="I49" i="5"/>
  <c r="N48" i="5"/>
  <c r="I48" i="5"/>
  <c r="N47" i="5"/>
  <c r="I47" i="5"/>
  <c r="N46" i="5"/>
  <c r="I46" i="5"/>
  <c r="I45" i="5"/>
  <c r="N42" i="5"/>
  <c r="I42" i="5"/>
  <c r="N41" i="5"/>
  <c r="I41" i="5"/>
  <c r="N40" i="5"/>
  <c r="I40" i="5"/>
  <c r="N39" i="5"/>
  <c r="I39" i="5"/>
  <c r="N38" i="5"/>
  <c r="I38" i="5"/>
  <c r="N35" i="5"/>
  <c r="I35" i="5"/>
  <c r="N34" i="5"/>
  <c r="I34" i="5"/>
  <c r="U34" i="5" s="1"/>
  <c r="Z38" i="5" s="1"/>
  <c r="N33" i="5"/>
  <c r="I33" i="5"/>
  <c r="N32" i="5"/>
  <c r="I32" i="5"/>
  <c r="N31" i="5"/>
  <c r="I31" i="5"/>
  <c r="N28" i="5"/>
  <c r="I28" i="5"/>
  <c r="N27" i="5"/>
  <c r="I27" i="5"/>
  <c r="N26" i="5"/>
  <c r="I26" i="5"/>
  <c r="N25" i="5"/>
  <c r="I25" i="5"/>
  <c r="N24" i="5"/>
  <c r="I24" i="5"/>
  <c r="N21" i="5"/>
  <c r="I21" i="5"/>
  <c r="N20" i="5"/>
  <c r="I20" i="5"/>
  <c r="N19" i="5"/>
  <c r="I19" i="5"/>
  <c r="N18" i="5"/>
  <c r="I18" i="5"/>
  <c r="N17" i="5"/>
  <c r="I17" i="5"/>
  <c r="N14" i="5"/>
  <c r="I14" i="5"/>
  <c r="N13" i="5"/>
  <c r="I13" i="5"/>
  <c r="N12" i="5"/>
  <c r="I12" i="5"/>
  <c r="N11" i="5"/>
  <c r="I11" i="5"/>
  <c r="N10" i="5"/>
  <c r="I10" i="5"/>
  <c r="N7" i="5"/>
  <c r="I7" i="5"/>
  <c r="N6" i="5"/>
  <c r="I6" i="5"/>
  <c r="N5" i="5"/>
  <c r="I5" i="5"/>
  <c r="N4" i="5"/>
  <c r="I4" i="5"/>
  <c r="N3" i="5"/>
  <c r="I3" i="5"/>
  <c r="AD4" i="5"/>
  <c r="AD5" i="5" s="1"/>
  <c r="AD6" i="5" s="1"/>
  <c r="AD7" i="5" s="1"/>
  <c r="AD8" i="5" s="1"/>
  <c r="AD9" i="5" s="1"/>
  <c r="AD10" i="5" s="1"/>
  <c r="AD11" i="5" s="1"/>
  <c r="AD12" i="5" s="1"/>
  <c r="AD13" i="5" s="1"/>
  <c r="AD14" i="5" s="1"/>
  <c r="AD15" i="5" s="1"/>
  <c r="AD16" i="5" s="1"/>
  <c r="AD17" i="5" s="1"/>
  <c r="AD18" i="5" s="1"/>
  <c r="AD19" i="5" s="1"/>
  <c r="AD20" i="5" s="1"/>
  <c r="AD21" i="5" s="1"/>
  <c r="AD22" i="5" s="1"/>
  <c r="AD23" i="5" s="1"/>
  <c r="AD24" i="5" s="1"/>
  <c r="AD25" i="5" s="1"/>
  <c r="AD26" i="5" s="1"/>
  <c r="AD27" i="5" s="1"/>
  <c r="AD28" i="5" s="1"/>
  <c r="AD29" i="5" s="1"/>
  <c r="AD30" i="5" s="1"/>
  <c r="AD31" i="5" s="1"/>
  <c r="AD32" i="5" s="1"/>
  <c r="AD33" i="5" s="1"/>
  <c r="AD34" i="5" s="1"/>
  <c r="AD35" i="5" s="1"/>
  <c r="AD36" i="5" s="1"/>
  <c r="AD37" i="5" s="1"/>
  <c r="AD38" i="5" s="1"/>
  <c r="AD39" i="5" s="1"/>
  <c r="AD40" i="5" s="1"/>
  <c r="AD41" i="5" s="1"/>
  <c r="AD42" i="5" s="1"/>
  <c r="AD43" i="5" s="1"/>
  <c r="AD44" i="5" s="1"/>
  <c r="AD45" i="5" s="1"/>
  <c r="AD46" i="5" s="1"/>
  <c r="AD47" i="5" s="1"/>
  <c r="AD48" i="5" s="1"/>
  <c r="AD49" i="5" s="1"/>
  <c r="AD50" i="5" s="1"/>
  <c r="AD51" i="5" s="1"/>
  <c r="AD52" i="5" s="1"/>
  <c r="AD53" i="5" s="1"/>
  <c r="AD54" i="5" s="1"/>
  <c r="AD55" i="5" s="1"/>
  <c r="AD56" i="5" s="1"/>
  <c r="AD57" i="5" s="1"/>
  <c r="AD58" i="5" s="1"/>
  <c r="AD59" i="5" s="1"/>
  <c r="AD60" i="5" s="1"/>
  <c r="AD61" i="5" s="1"/>
  <c r="AD62" i="5" s="1"/>
  <c r="AD63" i="5" s="1"/>
  <c r="AD64" i="5" s="1"/>
  <c r="AD65" i="5" s="1"/>
  <c r="AD66" i="5" s="1"/>
  <c r="AD67" i="5" s="1"/>
  <c r="AD68" i="5" s="1"/>
  <c r="AD69" i="5" s="1"/>
  <c r="AD70" i="5" s="1"/>
  <c r="AD71" i="5" s="1"/>
  <c r="AD72" i="5" s="1"/>
  <c r="AD73" i="5" s="1"/>
  <c r="AD74" i="5" s="1"/>
  <c r="AD75" i="5" s="1"/>
  <c r="AD76" i="5" s="1"/>
  <c r="AD77" i="5" s="1"/>
  <c r="AD78" i="5" s="1"/>
  <c r="AD79" i="5" s="1"/>
  <c r="AD80" i="5" s="1"/>
  <c r="AD81" i="5" s="1"/>
  <c r="AD82" i="5" s="1"/>
  <c r="AD83" i="5" s="1"/>
  <c r="AD84" i="5" s="1"/>
  <c r="AD85" i="5" s="1"/>
  <c r="AD86" i="5" s="1"/>
  <c r="AD87" i="5" s="1"/>
  <c r="AD88" i="5" s="1"/>
  <c r="AD89" i="5" s="1"/>
  <c r="AD90" i="5" s="1"/>
  <c r="AD91" i="5" s="1"/>
  <c r="AD92" i="5" s="1"/>
  <c r="AD93" i="5" s="1"/>
  <c r="AD94" i="5" s="1"/>
  <c r="AD95" i="5" s="1"/>
  <c r="AD96" i="5" s="1"/>
  <c r="AD97" i="5" s="1"/>
  <c r="AD98" i="5" s="1"/>
  <c r="AD99" i="5" s="1"/>
  <c r="AD100" i="5" s="1"/>
  <c r="AD101" i="5" s="1"/>
  <c r="AD102" i="5" s="1"/>
  <c r="AD103" i="5" s="1"/>
  <c r="AD104" i="5" s="1"/>
  <c r="AD105" i="5" s="1"/>
  <c r="AD106" i="5" s="1"/>
  <c r="AD107" i="5" s="1"/>
  <c r="AD108" i="5" s="1"/>
  <c r="AD109" i="5" s="1"/>
  <c r="AD112" i="5" s="1"/>
  <c r="AD113" i="5" s="1"/>
  <c r="AD114" i="5" s="1"/>
  <c r="AD115" i="5" s="1"/>
  <c r="AD116" i="5" s="1"/>
  <c r="AD117" i="5" s="1"/>
  <c r="AD118" i="5" s="1"/>
  <c r="AD119" i="5" s="1"/>
  <c r="AD120" i="5" s="1"/>
  <c r="AD121" i="5" s="1"/>
  <c r="AD122" i="5" s="1"/>
  <c r="AD123" i="5" s="1"/>
  <c r="AD124" i="5" s="1"/>
  <c r="AD125" i="5" s="1"/>
  <c r="AD126" i="5" s="1"/>
  <c r="AD127" i="5" s="1"/>
  <c r="AD128" i="5" s="1"/>
  <c r="AD129" i="5" s="1"/>
  <c r="AD130" i="5" s="1"/>
  <c r="AD131" i="5" s="1"/>
  <c r="AD132" i="5" s="1"/>
  <c r="AD133" i="5" s="1"/>
  <c r="AD134" i="5" s="1"/>
  <c r="AD135" i="5" s="1"/>
  <c r="AD136" i="5" s="1"/>
  <c r="AD137" i="5" s="1"/>
  <c r="AD138" i="5" s="1"/>
  <c r="AD139" i="5" s="1"/>
  <c r="AD140" i="5" s="1"/>
  <c r="AD141" i="5" s="1"/>
  <c r="AD142" i="5" s="1"/>
  <c r="AD143" i="5" s="1"/>
  <c r="AD144" i="5" s="1"/>
  <c r="AD145" i="5" s="1"/>
  <c r="AD146" i="5" s="1"/>
  <c r="AD147" i="5" s="1"/>
  <c r="AD148" i="5" s="1"/>
  <c r="AD149" i="5" s="1"/>
  <c r="AD150" i="5" s="1"/>
  <c r="AD151" i="5" s="1"/>
  <c r="AD152" i="5" s="1"/>
  <c r="AD153" i="5" s="1"/>
  <c r="AD154" i="5" s="1"/>
  <c r="AD155" i="5" s="1"/>
  <c r="AD156" i="5" s="1"/>
  <c r="AD157" i="5" s="1"/>
  <c r="AD158" i="5" s="1"/>
  <c r="AD159" i="5" s="1"/>
  <c r="AD160" i="5" s="1"/>
  <c r="AD161" i="5" s="1"/>
  <c r="AD162" i="5" s="1"/>
  <c r="AD163" i="5" s="1"/>
  <c r="AD164" i="5" s="1"/>
  <c r="AD165" i="5" s="1"/>
  <c r="AD166" i="5" s="1"/>
  <c r="AD167" i="5" s="1"/>
  <c r="AD168" i="5" s="1"/>
  <c r="AD169" i="5" s="1"/>
  <c r="AD170" i="5" s="1"/>
  <c r="AD171" i="5" s="1"/>
  <c r="AD172" i="5" s="1"/>
  <c r="AD173" i="5" s="1"/>
  <c r="AD174" i="5" s="1"/>
  <c r="AD175" i="5" s="1"/>
  <c r="AD176" i="5" s="1"/>
  <c r="AD177" i="5" s="1"/>
  <c r="AD178" i="5" s="1"/>
  <c r="AD179" i="5" s="1"/>
  <c r="AD180" i="5" s="1"/>
  <c r="AD181" i="5" s="1"/>
  <c r="AD182" i="5" s="1"/>
  <c r="AD183" i="5" s="1"/>
  <c r="AD184" i="5" s="1"/>
  <c r="AD185" i="5" s="1"/>
  <c r="AD186" i="5" s="1"/>
  <c r="AD187" i="5" s="1"/>
  <c r="AD188" i="5" s="1"/>
  <c r="AD189" i="5" s="1"/>
  <c r="AD190" i="5" s="1"/>
  <c r="AD191" i="5" s="1"/>
  <c r="AD192" i="5" s="1"/>
  <c r="AD193" i="5" s="1"/>
  <c r="AD194" i="5" s="1"/>
  <c r="AD195" i="5" s="1"/>
  <c r="AD196" i="5" s="1"/>
  <c r="AD197" i="5" s="1"/>
  <c r="AD198" i="5" s="1"/>
  <c r="AD199" i="5" s="1"/>
  <c r="AD200" i="5" s="1"/>
  <c r="AD201" i="5" s="1"/>
  <c r="AD202" i="5" s="1"/>
  <c r="AD203" i="5" s="1"/>
  <c r="AD204" i="5" s="1"/>
  <c r="AD205" i="5" s="1"/>
  <c r="AD206" i="5" s="1"/>
  <c r="AD207" i="5" s="1"/>
  <c r="AD208" i="5" s="1"/>
  <c r="AD209" i="5" s="1"/>
  <c r="AD210" i="5" s="1"/>
  <c r="AD211" i="5" s="1"/>
  <c r="AD212" i="5" s="1"/>
  <c r="AD213" i="5" s="1"/>
  <c r="AD214" i="5" s="1"/>
  <c r="AD215" i="5" s="1"/>
  <c r="AD216" i="5" s="1"/>
  <c r="AD217" i="5" s="1"/>
  <c r="AD218" i="5" s="1"/>
  <c r="AD219" i="5" s="1"/>
  <c r="AD220" i="5" s="1"/>
  <c r="AD221" i="5" s="1"/>
  <c r="AD222" i="5" s="1"/>
  <c r="AD223" i="5" s="1"/>
  <c r="AD224" i="5" s="1"/>
  <c r="AD225" i="5" s="1"/>
  <c r="AD226" i="5" s="1"/>
  <c r="AD227" i="5" s="1"/>
  <c r="AD228" i="5" s="1"/>
  <c r="AD229" i="5" s="1"/>
  <c r="AD230" i="5" s="1"/>
  <c r="AD231" i="5" s="1"/>
  <c r="AD232" i="5" s="1"/>
  <c r="AD233" i="5" s="1"/>
  <c r="AD234" i="5" s="1"/>
  <c r="AD235" i="5" s="1"/>
  <c r="AD236" i="5" s="1"/>
  <c r="AD237" i="5" s="1"/>
  <c r="AD238" i="5" s="1"/>
  <c r="AD239" i="5" s="1"/>
  <c r="AD240" i="5" s="1"/>
  <c r="AD241" i="5" s="1"/>
  <c r="AD242" i="5" s="1"/>
  <c r="AD243" i="5" s="1"/>
  <c r="AD244" i="5" s="1"/>
  <c r="AD245" i="5" s="1"/>
  <c r="AD246" i="5" s="1"/>
  <c r="AD247" i="5" s="1"/>
  <c r="AD248" i="5" s="1"/>
  <c r="AD249" i="5" s="1"/>
  <c r="AD250" i="5" s="1"/>
  <c r="AD251" i="5" s="1"/>
  <c r="AD252" i="5" s="1"/>
  <c r="AD253" i="5" s="1"/>
  <c r="AD254" i="5" s="1"/>
  <c r="AD255" i="5" s="1"/>
  <c r="AD256" i="5" s="1"/>
  <c r="AD257" i="5" s="1"/>
  <c r="AD258" i="5" s="1"/>
  <c r="AD259" i="5" s="1"/>
  <c r="AD260" i="5" s="1"/>
  <c r="AD261" i="5" s="1"/>
  <c r="AD262" i="5" s="1"/>
  <c r="AD263" i="5" s="1"/>
  <c r="AD264" i="5" s="1"/>
  <c r="AD265" i="5" s="1"/>
  <c r="R4" i="5"/>
  <c r="R5" i="5" s="1"/>
  <c r="R6" i="5" s="1"/>
  <c r="R7" i="5" s="1"/>
  <c r="R8" i="5" s="1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R84" i="5" s="1"/>
  <c r="R85" i="5" s="1"/>
  <c r="R86" i="5" s="1"/>
  <c r="R87" i="5" s="1"/>
  <c r="R88" i="5" s="1"/>
  <c r="R89" i="5" s="1"/>
  <c r="R90" i="5" s="1"/>
  <c r="R91" i="5" s="1"/>
  <c r="R92" i="5" s="1"/>
  <c r="R93" i="5" s="1"/>
  <c r="R94" i="5" s="1"/>
  <c r="R95" i="5" s="1"/>
  <c r="R96" i="5" s="1"/>
  <c r="R97" i="5" s="1"/>
  <c r="R98" i="5" s="1"/>
  <c r="R99" i="5" s="1"/>
  <c r="R100" i="5" s="1"/>
  <c r="R101" i="5" s="1"/>
  <c r="R102" i="5" s="1"/>
  <c r="R103" i="5" s="1"/>
  <c r="R104" i="5" s="1"/>
  <c r="R105" i="5" s="1"/>
  <c r="R106" i="5" s="1"/>
  <c r="R107" i="5" s="1"/>
  <c r="R108" i="5" s="1"/>
  <c r="R109" i="5" s="1"/>
  <c r="R110" i="5" s="1"/>
  <c r="R111" i="5" s="1"/>
  <c r="R112" i="5" s="1"/>
  <c r="R113" i="5" s="1"/>
  <c r="R114" i="5" s="1"/>
  <c r="R115" i="5" s="1"/>
  <c r="R116" i="5" s="1"/>
  <c r="R117" i="5" s="1"/>
  <c r="R118" i="5" s="1"/>
  <c r="R119" i="5" s="1"/>
  <c r="R120" i="5" s="1"/>
  <c r="R121" i="5" s="1"/>
  <c r="R122" i="5" s="1"/>
  <c r="R123" i="5" s="1"/>
  <c r="R124" i="5" s="1"/>
  <c r="R125" i="5" s="1"/>
  <c r="R126" i="5" s="1"/>
  <c r="R127" i="5" s="1"/>
  <c r="R128" i="5" s="1"/>
  <c r="R129" i="5" s="1"/>
  <c r="R130" i="5" s="1"/>
  <c r="R131" i="5" s="1"/>
  <c r="R132" i="5" s="1"/>
  <c r="R133" i="5" s="1"/>
  <c r="R134" i="5" s="1"/>
  <c r="R135" i="5" s="1"/>
  <c r="R136" i="5" s="1"/>
  <c r="R137" i="5" s="1"/>
  <c r="R138" i="5" s="1"/>
  <c r="R139" i="5" s="1"/>
  <c r="R140" i="5" s="1"/>
  <c r="R141" i="5" s="1"/>
  <c r="R142" i="5" s="1"/>
  <c r="R143" i="5" s="1"/>
  <c r="R144" i="5" s="1"/>
  <c r="R145" i="5" s="1"/>
  <c r="R146" i="5" s="1"/>
  <c r="R147" i="5" s="1"/>
  <c r="R148" i="5" s="1"/>
  <c r="R149" i="5" s="1"/>
  <c r="R150" i="5" s="1"/>
  <c r="R151" i="5" s="1"/>
  <c r="R152" i="5" s="1"/>
  <c r="R153" i="5" s="1"/>
  <c r="R154" i="5" s="1"/>
  <c r="R155" i="5" s="1"/>
  <c r="R156" i="5" s="1"/>
  <c r="R157" i="5" s="1"/>
  <c r="R158" i="5" s="1"/>
  <c r="R159" i="5" s="1"/>
  <c r="R160" i="5" s="1"/>
  <c r="R161" i="5" s="1"/>
  <c r="R162" i="5" s="1"/>
  <c r="R163" i="5" s="1"/>
  <c r="R164" i="5" s="1"/>
  <c r="R165" i="5" s="1"/>
  <c r="R166" i="5" s="1"/>
  <c r="R167" i="5" s="1"/>
  <c r="R168" i="5" s="1"/>
  <c r="R169" i="5" s="1"/>
  <c r="R170" i="5" s="1"/>
  <c r="R171" i="5" s="1"/>
  <c r="R172" i="5" s="1"/>
  <c r="R173" i="5" s="1"/>
  <c r="R174" i="5" s="1"/>
  <c r="R175" i="5" s="1"/>
  <c r="R176" i="5" s="1"/>
  <c r="R177" i="5" s="1"/>
  <c r="R178" i="5" s="1"/>
  <c r="R179" i="5" s="1"/>
  <c r="R180" i="5" s="1"/>
  <c r="R181" i="5" s="1"/>
  <c r="R182" i="5" s="1"/>
  <c r="R183" i="5" s="1"/>
  <c r="R184" i="5" s="1"/>
  <c r="R185" i="5" s="1"/>
  <c r="R186" i="5" s="1"/>
  <c r="R187" i="5" s="1"/>
  <c r="R188" i="5" s="1"/>
  <c r="R189" i="5" s="1"/>
  <c r="R190" i="5" s="1"/>
  <c r="R191" i="5" s="1"/>
  <c r="R192" i="5" s="1"/>
  <c r="R193" i="5" s="1"/>
  <c r="R194" i="5" s="1"/>
  <c r="R195" i="5" s="1"/>
  <c r="R196" i="5" s="1"/>
  <c r="R197" i="5" s="1"/>
  <c r="R198" i="5" s="1"/>
  <c r="R199" i="5" s="1"/>
  <c r="R200" i="5" s="1"/>
  <c r="R201" i="5" s="1"/>
  <c r="R202" i="5" s="1"/>
  <c r="R203" i="5" s="1"/>
  <c r="R204" i="5" s="1"/>
  <c r="R205" i="5" s="1"/>
  <c r="R206" i="5" s="1"/>
  <c r="R207" i="5" s="1"/>
  <c r="R208" i="5" s="1"/>
  <c r="R209" i="5" s="1"/>
  <c r="R210" i="5" s="1"/>
  <c r="R211" i="5" s="1"/>
  <c r="R212" i="5" s="1"/>
  <c r="R213" i="5" s="1"/>
  <c r="R214" i="5" s="1"/>
  <c r="R215" i="5" s="1"/>
  <c r="R216" i="5" s="1"/>
  <c r="R217" i="5" s="1"/>
  <c r="R218" i="5" s="1"/>
  <c r="R219" i="5" s="1"/>
  <c r="R220" i="5" s="1"/>
  <c r="R221" i="5" s="1"/>
  <c r="R222" i="5" s="1"/>
  <c r="R223" i="5" s="1"/>
  <c r="R224" i="5" s="1"/>
  <c r="R225" i="5" s="1"/>
  <c r="R226" i="5" s="1"/>
  <c r="R227" i="5" s="1"/>
  <c r="R228" i="5" s="1"/>
  <c r="R229" i="5" s="1"/>
  <c r="R230" i="5" s="1"/>
  <c r="R231" i="5" s="1"/>
  <c r="R232" i="5" s="1"/>
  <c r="R233" i="5" s="1"/>
  <c r="R234" i="5" s="1"/>
  <c r="R235" i="5" s="1"/>
  <c r="R236" i="5" s="1"/>
  <c r="R237" i="5" s="1"/>
  <c r="R238" i="5" s="1"/>
  <c r="R239" i="5" s="1"/>
  <c r="R240" i="5" s="1"/>
  <c r="R241" i="5" s="1"/>
  <c r="R242" i="5" s="1"/>
  <c r="R243" i="5" s="1"/>
  <c r="R244" i="5" s="1"/>
  <c r="R245" i="5" s="1"/>
  <c r="R246" i="5" s="1"/>
  <c r="R247" i="5" s="1"/>
  <c r="R248" i="5" s="1"/>
  <c r="R249" i="5" s="1"/>
  <c r="R250" i="5" s="1"/>
  <c r="R251" i="5" s="1"/>
  <c r="R252" i="5" s="1"/>
  <c r="R253" i="5" s="1"/>
  <c r="R254" i="5" s="1"/>
  <c r="R255" i="5" s="1"/>
  <c r="R256" i="5" s="1"/>
  <c r="R257" i="5" s="1"/>
  <c r="R258" i="5" s="1"/>
  <c r="R259" i="5" s="1"/>
  <c r="R260" i="5" s="1"/>
  <c r="R261" i="5" s="1"/>
  <c r="R262" i="5" s="1"/>
  <c r="R263" i="5" s="1"/>
  <c r="R264" i="5" s="1"/>
  <c r="R265" i="5" s="1"/>
  <c r="R266" i="5" s="1"/>
  <c r="R267" i="5" s="1"/>
  <c r="R268" i="5" s="1"/>
  <c r="R269" i="5" s="1"/>
  <c r="R270" i="5" s="1"/>
  <c r="R271" i="5" s="1"/>
  <c r="R272" i="5" s="1"/>
  <c r="R273" i="5" s="1"/>
  <c r="R274" i="5" s="1"/>
  <c r="R275" i="5" s="1"/>
  <c r="R276" i="5" s="1"/>
  <c r="R277" i="5" s="1"/>
  <c r="R278" i="5" s="1"/>
  <c r="R279" i="5" s="1"/>
  <c r="R280" i="5" s="1"/>
  <c r="R281" i="5" s="1"/>
  <c r="R282" i="5" s="1"/>
  <c r="R283" i="5" s="1"/>
  <c r="R284" i="5" s="1"/>
  <c r="R285" i="5" s="1"/>
  <c r="R286" i="5" s="1"/>
  <c r="R287" i="5" s="1"/>
  <c r="R288" i="5" s="1"/>
  <c r="R289" i="5" s="1"/>
  <c r="R290" i="5" s="1"/>
  <c r="R291" i="5" s="1"/>
  <c r="R292" i="5" s="1"/>
  <c r="R293" i="5" s="1"/>
  <c r="R294" i="5" s="1"/>
  <c r="R295" i="5" s="1"/>
  <c r="R296" i="5" s="1"/>
  <c r="R297" i="5" s="1"/>
  <c r="R298" i="5" s="1"/>
  <c r="R299" i="5" s="1"/>
  <c r="R300" i="5" s="1"/>
  <c r="R301" i="5" s="1"/>
  <c r="R302" i="5" s="1"/>
  <c r="R303" i="5" s="1"/>
  <c r="R304" i="5" s="1"/>
  <c r="R305" i="5" s="1"/>
  <c r="R306" i="5" s="1"/>
  <c r="R307" i="5" s="1"/>
  <c r="R308" i="5" s="1"/>
  <c r="R309" i="5" s="1"/>
  <c r="R310" i="5" s="1"/>
  <c r="R311" i="5" s="1"/>
  <c r="R312" i="5" s="1"/>
  <c r="R313" i="5" s="1"/>
  <c r="R314" i="5" s="1"/>
  <c r="R315" i="5" s="1"/>
  <c r="R316" i="5" s="1"/>
  <c r="R317" i="5" s="1"/>
  <c r="R318" i="5" s="1"/>
  <c r="R319" i="5" s="1"/>
  <c r="R320" i="5" s="1"/>
  <c r="R321" i="5" s="1"/>
  <c r="R322" i="5" s="1"/>
  <c r="E4" i="5"/>
  <c r="D53" i="2"/>
  <c r="D54" i="2"/>
  <c r="D55" i="2"/>
  <c r="AD266" i="5" l="1"/>
  <c r="AD267" i="5" s="1"/>
  <c r="AD268" i="5" s="1"/>
  <c r="AD269" i="5" s="1"/>
  <c r="AD270" i="5" s="1"/>
  <c r="AD271" i="5" s="1"/>
  <c r="AD272" i="5" s="1"/>
  <c r="AD273" i="5" s="1"/>
  <c r="AD274" i="5" s="1"/>
  <c r="AD275" i="5" s="1"/>
  <c r="AD276" i="5" s="1"/>
  <c r="AD277" i="5" s="1"/>
  <c r="AD278" i="5" s="1"/>
  <c r="AD279" i="5" s="1"/>
  <c r="AD280" i="5" s="1"/>
  <c r="AD281" i="5" s="1"/>
  <c r="AD282" i="5" s="1"/>
  <c r="AD283" i="5" s="1"/>
  <c r="AD284" i="5" s="1"/>
  <c r="AD285" i="5" s="1"/>
  <c r="AD286" i="5" s="1"/>
  <c r="AD287" i="5" s="1"/>
  <c r="AD288" i="5" s="1"/>
  <c r="AD289" i="5" s="1"/>
  <c r="AD290" i="5" s="1"/>
  <c r="AD291" i="5" s="1"/>
  <c r="AD292" i="5" s="1"/>
  <c r="AD293" i="5" s="1"/>
  <c r="AD294" i="5" s="1"/>
  <c r="AD295" i="5" s="1"/>
  <c r="AD296" i="5" s="1"/>
  <c r="AD297" i="5" s="1"/>
  <c r="AD298" i="5" s="1"/>
  <c r="AD299" i="5" s="1"/>
  <c r="AD300" i="5" s="1"/>
  <c r="AD301" i="5" s="1"/>
  <c r="AD302" i="5" s="1"/>
  <c r="AD303" i="5" s="1"/>
  <c r="AD304" i="5" s="1"/>
  <c r="AD305" i="5" s="1"/>
  <c r="AD306" i="5" s="1"/>
  <c r="AD307" i="5" s="1"/>
  <c r="AD308" i="5" s="1"/>
  <c r="AD309" i="5" s="1"/>
  <c r="AD310" i="5" s="1"/>
  <c r="AD311" i="5" s="1"/>
  <c r="AD312" i="5" s="1"/>
  <c r="AD313" i="5" s="1"/>
  <c r="AD314" i="5" s="1"/>
  <c r="AD315" i="5" s="1"/>
  <c r="AD316" i="5" s="1"/>
  <c r="AD317" i="5" s="1"/>
  <c r="AD318" i="5" s="1"/>
  <c r="AD319" i="5" s="1"/>
  <c r="AD320" i="5" s="1"/>
  <c r="AD321" i="5" s="1"/>
  <c r="AD322" i="5" s="1"/>
  <c r="U165" i="5"/>
  <c r="Z167" i="5" s="1"/>
  <c r="U77" i="5"/>
  <c r="Z81" i="5" s="1"/>
  <c r="U35" i="5"/>
  <c r="Z39" i="5" s="1"/>
  <c r="U90" i="5"/>
  <c r="Z94" i="5" s="1"/>
  <c r="U91" i="5" s="1"/>
  <c r="Z95" i="5" s="1"/>
  <c r="U76" i="5"/>
  <c r="Z80" i="5" s="1"/>
  <c r="I131" i="5"/>
  <c r="I101" i="5"/>
  <c r="I130" i="5"/>
  <c r="I129" i="5"/>
  <c r="H523" i="7"/>
  <c r="H524" i="7"/>
  <c r="H525" i="7"/>
  <c r="U208" i="2"/>
  <c r="Z209" i="2" s="1"/>
  <c r="U206" i="2"/>
  <c r="Z207" i="2" s="1"/>
  <c r="U205" i="2"/>
  <c r="Z206" i="2" s="1"/>
  <c r="U207" i="2"/>
  <c r="Z208" i="2" s="1"/>
  <c r="Z216" i="2"/>
  <c r="Z214" i="2"/>
  <c r="Z215" i="2"/>
  <c r="H522" i="7"/>
  <c r="H516" i="7"/>
  <c r="H515" i="7"/>
  <c r="Z193" i="2"/>
  <c r="Z191" i="2"/>
  <c r="Z213" i="2"/>
  <c r="Z212" i="2"/>
  <c r="H518" i="7"/>
  <c r="H503" i="7"/>
  <c r="H504" i="7"/>
  <c r="H501" i="7"/>
  <c r="H497" i="7"/>
  <c r="H502" i="7"/>
  <c r="Z194" i="2"/>
  <c r="AB667" i="1"/>
  <c r="AB653" i="1"/>
  <c r="C660" i="1"/>
  <c r="AB662" i="1" s="1"/>
  <c r="AB661" i="1"/>
  <c r="AB660" i="1"/>
  <c r="AB659" i="1"/>
  <c r="AB658" i="1"/>
  <c r="AB655" i="1"/>
  <c r="C662" i="1"/>
  <c r="AB666" i="1" s="1"/>
  <c r="C661" i="1"/>
  <c r="AB665" i="1" s="1"/>
  <c r="H496" i="7"/>
  <c r="Z186" i="2"/>
  <c r="H479" i="7"/>
  <c r="H487" i="7"/>
  <c r="H466" i="7"/>
  <c r="I98" i="5"/>
  <c r="H473" i="7"/>
  <c r="H462" i="7"/>
  <c r="H460" i="7"/>
  <c r="Z171" i="2"/>
  <c r="Z159" i="2"/>
  <c r="Z164" i="2"/>
  <c r="S4" i="5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S84" i="5" s="1"/>
  <c r="S85" i="5" s="1"/>
  <c r="S86" i="5" s="1"/>
  <c r="S87" i="5" s="1"/>
  <c r="S88" i="5" s="1"/>
  <c r="S89" i="5" s="1"/>
  <c r="S90" i="5" s="1"/>
  <c r="S91" i="5" s="1"/>
  <c r="S92" i="5" s="1"/>
  <c r="S93" i="5" s="1"/>
  <c r="S94" i="5" s="1"/>
  <c r="S95" i="5" s="1"/>
  <c r="S96" i="5" s="1"/>
  <c r="S97" i="5" s="1"/>
  <c r="S98" i="5" s="1"/>
  <c r="S99" i="5" s="1"/>
  <c r="S100" i="5" s="1"/>
  <c r="S101" i="5" s="1"/>
  <c r="S102" i="5" s="1"/>
  <c r="S103" i="5" s="1"/>
  <c r="S104" i="5" s="1"/>
  <c r="S105" i="5" s="1"/>
  <c r="S106" i="5" s="1"/>
  <c r="S107" i="5" s="1"/>
  <c r="S108" i="5" s="1"/>
  <c r="S109" i="5" s="1"/>
  <c r="S110" i="5" s="1"/>
  <c r="S111" i="5" s="1"/>
  <c r="S112" i="5" s="1"/>
  <c r="S113" i="5" s="1"/>
  <c r="S114" i="5" s="1"/>
  <c r="S115" i="5" s="1"/>
  <c r="S116" i="5" s="1"/>
  <c r="S117" i="5" s="1"/>
  <c r="S118" i="5" s="1"/>
  <c r="S119" i="5" s="1"/>
  <c r="S120" i="5" s="1"/>
  <c r="S121" i="5" s="1"/>
  <c r="S122" i="5" s="1"/>
  <c r="S123" i="5" s="1"/>
  <c r="S124" i="5" s="1"/>
  <c r="S125" i="5" s="1"/>
  <c r="S126" i="5" s="1"/>
  <c r="S127" i="5" s="1"/>
  <c r="S128" i="5" s="1"/>
  <c r="S129" i="5" s="1"/>
  <c r="S130" i="5" s="1"/>
  <c r="S131" i="5" s="1"/>
  <c r="S132" i="5" s="1"/>
  <c r="S133" i="5" s="1"/>
  <c r="S134" i="5" s="1"/>
  <c r="S135" i="5" s="1"/>
  <c r="S136" i="5" s="1"/>
  <c r="S137" i="5" s="1"/>
  <c r="S138" i="5" s="1"/>
  <c r="S139" i="5" s="1"/>
  <c r="S140" i="5" s="1"/>
  <c r="S141" i="5" s="1"/>
  <c r="S142" i="5" s="1"/>
  <c r="S143" i="5" s="1"/>
  <c r="S144" i="5" s="1"/>
  <c r="S145" i="5" s="1"/>
  <c r="S146" i="5" s="1"/>
  <c r="S147" i="5" s="1"/>
  <c r="S148" i="5" s="1"/>
  <c r="S149" i="5" s="1"/>
  <c r="S150" i="5" s="1"/>
  <c r="S151" i="5" s="1"/>
  <c r="S152" i="5" s="1"/>
  <c r="S153" i="5" s="1"/>
  <c r="S154" i="5" s="1"/>
  <c r="S155" i="5" s="1"/>
  <c r="S156" i="5" s="1"/>
  <c r="S157" i="5" s="1"/>
  <c r="S158" i="5" s="1"/>
  <c r="S159" i="5" s="1"/>
  <c r="S160" i="5" s="1"/>
  <c r="S161" i="5" s="1"/>
  <c r="S162" i="5" s="1"/>
  <c r="S163" i="5" s="1"/>
  <c r="S164" i="5" s="1"/>
  <c r="S165" i="5" s="1"/>
  <c r="S166" i="5" s="1"/>
  <c r="S167" i="5" s="1"/>
  <c r="S168" i="5" s="1"/>
  <c r="S169" i="5" s="1"/>
  <c r="S170" i="5" s="1"/>
  <c r="S171" i="5" s="1"/>
  <c r="S172" i="5" s="1"/>
  <c r="S173" i="5" s="1"/>
  <c r="S174" i="5" s="1"/>
  <c r="S175" i="5" s="1"/>
  <c r="S176" i="5" s="1"/>
  <c r="S177" i="5" s="1"/>
  <c r="S178" i="5" s="1"/>
  <c r="S179" i="5" s="1"/>
  <c r="S180" i="5" s="1"/>
  <c r="S181" i="5" s="1"/>
  <c r="S182" i="5" s="1"/>
  <c r="S183" i="5" s="1"/>
  <c r="S184" i="5" s="1"/>
  <c r="S185" i="5" s="1"/>
  <c r="S186" i="5" s="1"/>
  <c r="S187" i="5" s="1"/>
  <c r="S188" i="5" s="1"/>
  <c r="S189" i="5" s="1"/>
  <c r="S190" i="5" s="1"/>
  <c r="S191" i="5" s="1"/>
  <c r="S192" i="5" s="1"/>
  <c r="S193" i="5" s="1"/>
  <c r="S194" i="5" s="1"/>
  <c r="S195" i="5" s="1"/>
  <c r="S196" i="5" s="1"/>
  <c r="S197" i="5" s="1"/>
  <c r="S198" i="5" s="1"/>
  <c r="S199" i="5" s="1"/>
  <c r="S200" i="5" s="1"/>
  <c r="S201" i="5" s="1"/>
  <c r="S202" i="5" s="1"/>
  <c r="S203" i="5" s="1"/>
  <c r="S204" i="5" s="1"/>
  <c r="S205" i="5" s="1"/>
  <c r="S206" i="5" s="1"/>
  <c r="S207" i="5" s="1"/>
  <c r="S208" i="5" s="1"/>
  <c r="S209" i="5" s="1"/>
  <c r="S210" i="5" s="1"/>
  <c r="S211" i="5" s="1"/>
  <c r="S212" i="5" s="1"/>
  <c r="S213" i="5" s="1"/>
  <c r="S214" i="5" s="1"/>
  <c r="S215" i="5" s="1"/>
  <c r="S216" i="5" s="1"/>
  <c r="S217" i="5" s="1"/>
  <c r="S218" i="5" s="1"/>
  <c r="S219" i="5" s="1"/>
  <c r="S220" i="5" s="1"/>
  <c r="S221" i="5" s="1"/>
  <c r="S222" i="5" s="1"/>
  <c r="S223" i="5" s="1"/>
  <c r="S224" i="5" s="1"/>
  <c r="S225" i="5" s="1"/>
  <c r="S226" i="5" s="1"/>
  <c r="S227" i="5" s="1"/>
  <c r="S228" i="5" s="1"/>
  <c r="S229" i="5" s="1"/>
  <c r="S230" i="5" s="1"/>
  <c r="S231" i="5" s="1"/>
  <c r="S232" i="5" s="1"/>
  <c r="S233" i="5" s="1"/>
  <c r="S234" i="5" s="1"/>
  <c r="S235" i="5" s="1"/>
  <c r="S236" i="5" s="1"/>
  <c r="S237" i="5" s="1"/>
  <c r="S238" i="5" s="1"/>
  <c r="S239" i="5" s="1"/>
  <c r="S240" i="5" s="1"/>
  <c r="S241" i="5" s="1"/>
  <c r="S242" i="5" s="1"/>
  <c r="S243" i="5" s="1"/>
  <c r="S244" i="5" s="1"/>
  <c r="S245" i="5" s="1"/>
  <c r="S246" i="5" s="1"/>
  <c r="S247" i="5" s="1"/>
  <c r="S248" i="5" s="1"/>
  <c r="S249" i="5" s="1"/>
  <c r="S250" i="5" s="1"/>
  <c r="S251" i="5" s="1"/>
  <c r="S252" i="5" s="1"/>
  <c r="S253" i="5" s="1"/>
  <c r="S254" i="5" s="1"/>
  <c r="S255" i="5" s="1"/>
  <c r="S256" i="5" s="1"/>
  <c r="S257" i="5" s="1"/>
  <c r="S258" i="5" s="1"/>
  <c r="S259" i="5" s="1"/>
  <c r="S260" i="5" s="1"/>
  <c r="S261" i="5" s="1"/>
  <c r="S262" i="5" s="1"/>
  <c r="S263" i="5" s="1"/>
  <c r="S264" i="5" s="1"/>
  <c r="S265" i="5" s="1"/>
  <c r="S266" i="5" s="1"/>
  <c r="S267" i="5" s="1"/>
  <c r="S268" i="5" s="1"/>
  <c r="S269" i="5" s="1"/>
  <c r="S270" i="5" s="1"/>
  <c r="S271" i="5" s="1"/>
  <c r="S272" i="5" s="1"/>
  <c r="S273" i="5" s="1"/>
  <c r="S274" i="5" s="1"/>
  <c r="S275" i="5" s="1"/>
  <c r="S276" i="5" s="1"/>
  <c r="S277" i="5" s="1"/>
  <c r="S278" i="5" s="1"/>
  <c r="S279" i="5" s="1"/>
  <c r="S280" i="5" s="1"/>
  <c r="S281" i="5" s="1"/>
  <c r="S282" i="5" s="1"/>
  <c r="S283" i="5" s="1"/>
  <c r="S284" i="5" s="1"/>
  <c r="S285" i="5" s="1"/>
  <c r="S286" i="5" s="1"/>
  <c r="S287" i="5" s="1"/>
  <c r="S288" i="5" s="1"/>
  <c r="S289" i="5" s="1"/>
  <c r="S290" i="5" s="1"/>
  <c r="S291" i="5" s="1"/>
  <c r="S292" i="5" s="1"/>
  <c r="S293" i="5" s="1"/>
  <c r="S294" i="5" s="1"/>
  <c r="S295" i="5" s="1"/>
  <c r="S296" i="5" s="1"/>
  <c r="S297" i="5" s="1"/>
  <c r="S298" i="5" s="1"/>
  <c r="S299" i="5" s="1"/>
  <c r="S300" i="5" s="1"/>
  <c r="S301" i="5" s="1"/>
  <c r="S302" i="5" s="1"/>
  <c r="S303" i="5" s="1"/>
  <c r="S304" i="5" s="1"/>
  <c r="S305" i="5" s="1"/>
  <c r="S306" i="5" s="1"/>
  <c r="S307" i="5" s="1"/>
  <c r="S308" i="5" s="1"/>
  <c r="S309" i="5" s="1"/>
  <c r="S310" i="5" s="1"/>
  <c r="S311" i="5" s="1"/>
  <c r="S312" i="5" s="1"/>
  <c r="S313" i="5" s="1"/>
  <c r="S314" i="5" s="1"/>
  <c r="S315" i="5" s="1"/>
  <c r="S316" i="5" s="1"/>
  <c r="S317" i="5" s="1"/>
  <c r="S318" i="5" s="1"/>
  <c r="S319" i="5" s="1"/>
  <c r="S320" i="5" s="1"/>
  <c r="S321" i="5" s="1"/>
  <c r="S322" i="5" s="1"/>
  <c r="K4" i="5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U4" i="5"/>
  <c r="U7" i="5"/>
  <c r="U3" i="5"/>
  <c r="AA89" i="2"/>
  <c r="AA83" i="2"/>
  <c r="AA82" i="2"/>
  <c r="AB585" i="1"/>
  <c r="O575" i="3"/>
  <c r="AG73" i="2"/>
  <c r="U149" i="2"/>
  <c r="Z150" i="2" s="1"/>
  <c r="H651" i="4"/>
  <c r="H648" i="4"/>
  <c r="H647" i="4"/>
  <c r="H646" i="4"/>
  <c r="H645" i="4"/>
  <c r="H644" i="4"/>
  <c r="H648" i="3"/>
  <c r="H647" i="3"/>
  <c r="H646" i="3"/>
  <c r="H645" i="3"/>
  <c r="H644" i="3"/>
  <c r="N149" i="2"/>
  <c r="I146" i="2" s="1"/>
  <c r="C454" i="7"/>
  <c r="H458" i="7" s="1"/>
  <c r="C453" i="7"/>
  <c r="H455" i="7" s="1"/>
  <c r="C452" i="7"/>
  <c r="H454" i="7" s="1"/>
  <c r="C451" i="7"/>
  <c r="H453" i="7" s="1"/>
  <c r="C448" i="7"/>
  <c r="H452" i="7" s="1"/>
  <c r="C447" i="7"/>
  <c r="H451" i="7" s="1"/>
  <c r="C446" i="7"/>
  <c r="C445" i="7"/>
  <c r="C444" i="7"/>
  <c r="C441" i="7"/>
  <c r="C440" i="7"/>
  <c r="C433" i="7"/>
  <c r="C431" i="7"/>
  <c r="C427" i="7"/>
  <c r="C426" i="7"/>
  <c r="C417" i="7"/>
  <c r="C416" i="7"/>
  <c r="C413" i="7"/>
  <c r="C412" i="7"/>
  <c r="C411" i="7"/>
  <c r="C410" i="7"/>
  <c r="C409" i="7"/>
  <c r="H385" i="7"/>
  <c r="Q576" i="1"/>
  <c r="C571" i="1"/>
  <c r="AB576" i="1" s="1"/>
  <c r="AB571" i="1"/>
  <c r="AB569" i="1"/>
  <c r="AB570" i="1"/>
  <c r="G382" i="7"/>
  <c r="U80" i="5" l="1"/>
  <c r="Z82" i="5" s="1"/>
  <c r="U81" i="5" s="1"/>
  <c r="Z83" i="5" s="1"/>
  <c r="U38" i="5"/>
  <c r="Z40" i="5" s="1"/>
  <c r="U39" i="5" s="1"/>
  <c r="Z41" i="5" s="1"/>
  <c r="U94" i="5"/>
  <c r="Z96" i="5" s="1"/>
  <c r="U166" i="5"/>
  <c r="Z168" i="5" s="1"/>
  <c r="K98" i="5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Z5" i="5"/>
  <c r="Z6" i="5"/>
  <c r="AE4" i="5"/>
  <c r="W4" i="5"/>
  <c r="Z11" i="5"/>
  <c r="D910" i="4"/>
  <c r="D911" i="4"/>
  <c r="D907" i="3"/>
  <c r="D908" i="3"/>
  <c r="D909" i="3"/>
  <c r="D910" i="3"/>
  <c r="D911" i="3"/>
  <c r="G408" i="2"/>
  <c r="G409" i="2"/>
  <c r="D905" i="1"/>
  <c r="D906" i="1"/>
  <c r="D907" i="1"/>
  <c r="D908" i="1"/>
  <c r="H448" i="7"/>
  <c r="H447" i="7"/>
  <c r="H446" i="7"/>
  <c r="H445" i="7"/>
  <c r="H444" i="7"/>
  <c r="H441" i="7"/>
  <c r="H440" i="7"/>
  <c r="H439" i="7"/>
  <c r="H438" i="7"/>
  <c r="H437" i="7"/>
  <c r="H434" i="7"/>
  <c r="H433" i="7"/>
  <c r="H432" i="7"/>
  <c r="H431" i="7"/>
  <c r="H430" i="7"/>
  <c r="H427" i="7"/>
  <c r="H426" i="7"/>
  <c r="H425" i="7"/>
  <c r="H424" i="7"/>
  <c r="H423" i="7"/>
  <c r="H420" i="7"/>
  <c r="H419" i="7"/>
  <c r="H418" i="7"/>
  <c r="H417" i="7"/>
  <c r="H416" i="7"/>
  <c r="H413" i="7"/>
  <c r="H412" i="7"/>
  <c r="H411" i="7"/>
  <c r="H410" i="7"/>
  <c r="H409" i="7"/>
  <c r="Q648" i="4"/>
  <c r="Q641" i="4"/>
  <c r="Q634" i="4"/>
  <c r="Q627" i="4"/>
  <c r="H641" i="4"/>
  <c r="H640" i="4"/>
  <c r="H639" i="4"/>
  <c r="H638" i="4"/>
  <c r="H637" i="4"/>
  <c r="H634" i="4"/>
  <c r="H633" i="4"/>
  <c r="H632" i="4"/>
  <c r="H631" i="4"/>
  <c r="H630" i="4"/>
  <c r="H627" i="4"/>
  <c r="H626" i="4"/>
  <c r="H625" i="4"/>
  <c r="H624" i="4"/>
  <c r="H623" i="4"/>
  <c r="H641" i="3"/>
  <c r="H640" i="3"/>
  <c r="H639" i="3"/>
  <c r="H638" i="3"/>
  <c r="H637" i="3"/>
  <c r="H634" i="3"/>
  <c r="H633" i="3"/>
  <c r="H632" i="3"/>
  <c r="H631" i="3"/>
  <c r="H630" i="3"/>
  <c r="H627" i="3"/>
  <c r="H626" i="3"/>
  <c r="H625" i="3"/>
  <c r="H624" i="3"/>
  <c r="H623" i="3"/>
  <c r="Q648" i="3"/>
  <c r="Q641" i="3"/>
  <c r="Q634" i="3"/>
  <c r="Q627" i="3"/>
  <c r="N146" i="2"/>
  <c r="I145" i="2" s="1"/>
  <c r="U145" i="2" s="1"/>
  <c r="N145" i="2"/>
  <c r="I144" i="2" s="1"/>
  <c r="U144" i="2" s="1"/>
  <c r="N144" i="2"/>
  <c r="I143" i="2" s="1"/>
  <c r="U143" i="2" s="1"/>
  <c r="N143" i="2"/>
  <c r="I142" i="2" s="1"/>
  <c r="U142" i="2" s="1"/>
  <c r="N142" i="2"/>
  <c r="N139" i="2"/>
  <c r="N138" i="2"/>
  <c r="N137" i="2"/>
  <c r="N136" i="2"/>
  <c r="N135" i="2"/>
  <c r="N132" i="2"/>
  <c r="N131" i="2"/>
  <c r="N130" i="2"/>
  <c r="N129" i="2"/>
  <c r="N128" i="2"/>
  <c r="N125" i="2"/>
  <c r="N124" i="2"/>
  <c r="N123" i="2"/>
  <c r="N122" i="2"/>
  <c r="N121" i="2"/>
  <c r="U146" i="2"/>
  <c r="Z149" i="2" s="1"/>
  <c r="I139" i="2"/>
  <c r="U139" i="2" s="1"/>
  <c r="Z142" i="2" s="1"/>
  <c r="I138" i="2"/>
  <c r="U138" i="2" s="1"/>
  <c r="Z139" i="2" s="1"/>
  <c r="I137" i="2"/>
  <c r="U137" i="2" s="1"/>
  <c r="Z138" i="2" s="1"/>
  <c r="I136" i="2"/>
  <c r="U136" i="2" s="1"/>
  <c r="Z137" i="2" s="1"/>
  <c r="I135" i="2"/>
  <c r="U135" i="2" s="1"/>
  <c r="Z136" i="2" s="1"/>
  <c r="I132" i="2"/>
  <c r="U132" i="2" s="1"/>
  <c r="Z135" i="2" s="1"/>
  <c r="I131" i="2"/>
  <c r="U131" i="2" s="1"/>
  <c r="Z132" i="2" s="1"/>
  <c r="I130" i="2"/>
  <c r="U130" i="2" s="1"/>
  <c r="Z131" i="2" s="1"/>
  <c r="I129" i="2"/>
  <c r="U129" i="2" s="1"/>
  <c r="Z130" i="2" s="1"/>
  <c r="I128" i="2"/>
  <c r="U128" i="2" s="1"/>
  <c r="Z129" i="2" s="1"/>
  <c r="I125" i="2"/>
  <c r="U125" i="2" s="1"/>
  <c r="Z128" i="2" s="1"/>
  <c r="I124" i="2"/>
  <c r="U124" i="2" s="1"/>
  <c r="Z125" i="2" s="1"/>
  <c r="I123" i="2"/>
  <c r="U123" i="2" s="1"/>
  <c r="Z124" i="2" s="1"/>
  <c r="I122" i="2"/>
  <c r="U122" i="2" s="1"/>
  <c r="Z123" i="2" s="1"/>
  <c r="I121" i="2"/>
  <c r="U121" i="2" s="1"/>
  <c r="Z122" i="2" s="1"/>
  <c r="AI146" i="2"/>
  <c r="AI139" i="2"/>
  <c r="AI132" i="2"/>
  <c r="AI125" i="2"/>
  <c r="AB641" i="1"/>
  <c r="AB640" i="1"/>
  <c r="AB638" i="1"/>
  <c r="AB637" i="1"/>
  <c r="AB634" i="1"/>
  <c r="AB633" i="1"/>
  <c r="AB632" i="1"/>
  <c r="AB631" i="1"/>
  <c r="AB630" i="1"/>
  <c r="AB627" i="1"/>
  <c r="AB626" i="1"/>
  <c r="AB625" i="1"/>
  <c r="AB624" i="1"/>
  <c r="AB623" i="1"/>
  <c r="AK648" i="1"/>
  <c r="AK641" i="1"/>
  <c r="AK634" i="1"/>
  <c r="AK627" i="1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711" i="7"/>
  <c r="D712" i="7"/>
  <c r="D713" i="7"/>
  <c r="D714" i="7"/>
  <c r="D715" i="7"/>
  <c r="D716" i="7"/>
  <c r="D717" i="7"/>
  <c r="Y549" i="1"/>
  <c r="K266" i="5" l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U10" i="5"/>
  <c r="Z12" i="5" s="1"/>
  <c r="U11" i="5" s="1"/>
  <c r="Z13" i="5" s="1"/>
  <c r="U95" i="5"/>
  <c r="Z97" i="5" s="1"/>
  <c r="U96" i="5" s="1"/>
  <c r="Z98" i="5" s="1"/>
  <c r="U97" i="5" s="1"/>
  <c r="Z101" i="5" s="1"/>
  <c r="U98" i="5" s="1"/>
  <c r="Z102" i="5" s="1"/>
  <c r="U82" i="5"/>
  <c r="Z84" i="5" s="1"/>
  <c r="U40" i="5"/>
  <c r="Z42" i="5" s="1"/>
  <c r="U167" i="5"/>
  <c r="Z171" i="5" s="1"/>
  <c r="E5" i="5"/>
  <c r="E6" i="5" s="1"/>
  <c r="E7" i="5" s="1"/>
  <c r="E8" i="5" s="1"/>
  <c r="E9" i="5" s="1"/>
  <c r="E10" i="5" s="1"/>
  <c r="U5" i="5"/>
  <c r="Z7" i="5" s="1"/>
  <c r="U6" i="5" s="1"/>
  <c r="Z10" i="5" s="1"/>
  <c r="AB648" i="1"/>
  <c r="AB651" i="1"/>
  <c r="AB652" i="1"/>
  <c r="AB647" i="1"/>
  <c r="AE5" i="5"/>
  <c r="AE6" i="5" s="1"/>
  <c r="C548" i="1"/>
  <c r="H406" i="7"/>
  <c r="H405" i="7"/>
  <c r="H404" i="7"/>
  <c r="H403" i="7"/>
  <c r="H402" i="7"/>
  <c r="W5" i="5" l="1"/>
  <c r="W6" i="5" s="1"/>
  <c r="W7" i="5" s="1"/>
  <c r="W8" i="5" s="1"/>
  <c r="W9" i="5" s="1"/>
  <c r="W10" i="5" s="1"/>
  <c r="W11" i="5" s="1"/>
  <c r="AE7" i="5"/>
  <c r="AE8" i="5" s="1"/>
  <c r="AE9" i="5" s="1"/>
  <c r="AE10" i="5" s="1"/>
  <c r="AE11" i="5" s="1"/>
  <c r="AE12" i="5" s="1"/>
  <c r="AE13" i="5" s="1"/>
  <c r="E11" i="5"/>
  <c r="U101" i="5"/>
  <c r="Z103" i="5" s="1"/>
  <c r="U102" i="5" s="1"/>
  <c r="Z110" i="5" s="1"/>
  <c r="U168" i="5"/>
  <c r="Z172" i="5" s="1"/>
  <c r="U12" i="5"/>
  <c r="Z14" i="5" s="1"/>
  <c r="U41" i="5"/>
  <c r="Z45" i="5" s="1"/>
  <c r="U42" i="5" s="1"/>
  <c r="Z46" i="5" s="1"/>
  <c r="U83" i="5"/>
  <c r="Z87" i="5" s="1"/>
  <c r="U84" i="5" s="1"/>
  <c r="Z88" i="5" s="1"/>
  <c r="S553" i="1"/>
  <c r="R553" i="1" s="1"/>
  <c r="AB553" i="1" s="1"/>
  <c r="R554" i="1"/>
  <c r="AB554" i="1" s="1"/>
  <c r="AB555" i="1"/>
  <c r="R542" i="1"/>
  <c r="U219" i="1"/>
  <c r="R548" i="1"/>
  <c r="AB548" i="1" s="1"/>
  <c r="AI118" i="2"/>
  <c r="AI111" i="2"/>
  <c r="AI104" i="2"/>
  <c r="AI97" i="2"/>
  <c r="I118" i="2"/>
  <c r="U118" i="2" s="1"/>
  <c r="Z121" i="2" s="1"/>
  <c r="I117" i="2"/>
  <c r="U117" i="2" s="1"/>
  <c r="Z118" i="2" s="1"/>
  <c r="I116" i="2"/>
  <c r="U116" i="2" s="1"/>
  <c r="Z117" i="2" s="1"/>
  <c r="I115" i="2"/>
  <c r="U115" i="2" s="1"/>
  <c r="Z116" i="2" s="1"/>
  <c r="I114" i="2"/>
  <c r="U114" i="2" s="1"/>
  <c r="Z115" i="2" s="1"/>
  <c r="I111" i="2"/>
  <c r="U111" i="2" s="1"/>
  <c r="Z114" i="2" s="1"/>
  <c r="I110" i="2"/>
  <c r="U110" i="2" s="1"/>
  <c r="Z111" i="2" s="1"/>
  <c r="I109" i="2"/>
  <c r="U109" i="2" s="1"/>
  <c r="Z110" i="2" s="1"/>
  <c r="I108" i="2"/>
  <c r="U108" i="2" s="1"/>
  <c r="Z109" i="2" s="1"/>
  <c r="I107" i="2"/>
  <c r="U107" i="2" s="1"/>
  <c r="Z108" i="2" s="1"/>
  <c r="I104" i="2"/>
  <c r="U104" i="2" s="1"/>
  <c r="Z107" i="2" s="1"/>
  <c r="I103" i="2"/>
  <c r="U103" i="2" s="1"/>
  <c r="Z104" i="2" s="1"/>
  <c r="I102" i="2"/>
  <c r="U102" i="2" s="1"/>
  <c r="Z103" i="2" s="1"/>
  <c r="I101" i="2"/>
  <c r="I100" i="2"/>
  <c r="I97" i="2"/>
  <c r="U97" i="2" s="1"/>
  <c r="Z100" i="2" s="1"/>
  <c r="I96" i="2"/>
  <c r="U96" i="2" s="1"/>
  <c r="Z97" i="2" s="1"/>
  <c r="I95" i="2"/>
  <c r="I94" i="2"/>
  <c r="I93" i="2"/>
  <c r="U93" i="2" s="1"/>
  <c r="Z94" i="2" s="1"/>
  <c r="I90" i="2"/>
  <c r="I89" i="2"/>
  <c r="I88" i="2"/>
  <c r="I87" i="2"/>
  <c r="I86" i="2"/>
  <c r="N118" i="2"/>
  <c r="N117" i="2"/>
  <c r="N116" i="2"/>
  <c r="N115" i="2"/>
  <c r="N114" i="2"/>
  <c r="N111" i="2"/>
  <c r="N110" i="2"/>
  <c r="N109" i="2"/>
  <c r="N108" i="2"/>
  <c r="N107" i="2"/>
  <c r="N104" i="2"/>
  <c r="N103" i="2"/>
  <c r="N102" i="2"/>
  <c r="N101" i="2"/>
  <c r="N100" i="2"/>
  <c r="N97" i="2"/>
  <c r="N96" i="2"/>
  <c r="N95" i="2"/>
  <c r="N94" i="2"/>
  <c r="N93" i="2"/>
  <c r="AK620" i="1"/>
  <c r="AK613" i="1"/>
  <c r="AK606" i="1"/>
  <c r="AK599" i="1"/>
  <c r="AB620" i="1"/>
  <c r="AB619" i="1"/>
  <c r="AB618" i="1"/>
  <c r="AB617" i="1"/>
  <c r="AB616" i="1"/>
  <c r="AB613" i="1"/>
  <c r="AB612" i="1"/>
  <c r="AB611" i="1"/>
  <c r="AB610" i="1"/>
  <c r="AB609" i="1"/>
  <c r="AB606" i="1"/>
  <c r="AB605" i="1"/>
  <c r="AB604" i="1"/>
  <c r="AB603" i="1"/>
  <c r="AB602" i="1"/>
  <c r="AB599" i="1"/>
  <c r="AB598" i="1"/>
  <c r="AB597" i="1"/>
  <c r="AB596" i="1"/>
  <c r="H620" i="4"/>
  <c r="H619" i="4"/>
  <c r="H618" i="4"/>
  <c r="H617" i="4"/>
  <c r="H616" i="4"/>
  <c r="H613" i="4"/>
  <c r="H612" i="4"/>
  <c r="H611" i="4"/>
  <c r="H610" i="4"/>
  <c r="H609" i="4"/>
  <c r="H606" i="4"/>
  <c r="H605" i="4"/>
  <c r="H604" i="4"/>
  <c r="H603" i="4"/>
  <c r="H602" i="4"/>
  <c r="H599" i="4"/>
  <c r="H598" i="4"/>
  <c r="H597" i="4"/>
  <c r="H596" i="4"/>
  <c r="H595" i="4"/>
  <c r="Q620" i="4"/>
  <c r="Q613" i="4"/>
  <c r="Q606" i="4"/>
  <c r="Q599" i="4"/>
  <c r="Q620" i="3"/>
  <c r="Q613" i="3"/>
  <c r="Q606" i="3"/>
  <c r="Q599" i="3"/>
  <c r="H620" i="3"/>
  <c r="H619" i="3"/>
  <c r="H618" i="3"/>
  <c r="H617" i="3"/>
  <c r="H616" i="3"/>
  <c r="H613" i="3"/>
  <c r="H612" i="3"/>
  <c r="H611" i="3"/>
  <c r="H610" i="3"/>
  <c r="H609" i="3"/>
  <c r="H606" i="3"/>
  <c r="H605" i="3"/>
  <c r="H604" i="3"/>
  <c r="H603" i="3"/>
  <c r="H602" i="3"/>
  <c r="H599" i="3"/>
  <c r="H598" i="3"/>
  <c r="H597" i="3"/>
  <c r="H596" i="3"/>
  <c r="H595" i="3"/>
  <c r="G541" i="4"/>
  <c r="D91" i="2"/>
  <c r="U91" i="2"/>
  <c r="D92" i="2"/>
  <c r="U92" i="2"/>
  <c r="D93" i="2"/>
  <c r="D94" i="2"/>
  <c r="D95" i="2"/>
  <c r="D96" i="2"/>
  <c r="D97" i="2"/>
  <c r="D98" i="2"/>
  <c r="U98" i="2"/>
  <c r="D99" i="2"/>
  <c r="U99" i="2"/>
  <c r="D100" i="2"/>
  <c r="D101" i="2"/>
  <c r="D102" i="2"/>
  <c r="D103" i="2"/>
  <c r="D104" i="2"/>
  <c r="D105" i="2"/>
  <c r="U105" i="2"/>
  <c r="D106" i="2"/>
  <c r="U106" i="2"/>
  <c r="D107" i="2"/>
  <c r="D108" i="2"/>
  <c r="D109" i="2"/>
  <c r="D110" i="2"/>
  <c r="D111" i="2"/>
  <c r="D112" i="2"/>
  <c r="U112" i="2"/>
  <c r="D113" i="2"/>
  <c r="U113" i="2"/>
  <c r="D114" i="2"/>
  <c r="D115" i="2"/>
  <c r="D116" i="2"/>
  <c r="D117" i="2"/>
  <c r="D118" i="2"/>
  <c r="D119" i="2"/>
  <c r="Q541" i="1"/>
  <c r="C539" i="1"/>
  <c r="C539" i="4"/>
  <c r="C548" i="3"/>
  <c r="G550" i="3"/>
  <c r="U45" i="5" l="1"/>
  <c r="Z47" i="5" s="1"/>
  <c r="U46" i="5" s="1"/>
  <c r="Z48" i="5" s="1"/>
  <c r="U87" i="5"/>
  <c r="Z89" i="5" s="1"/>
  <c r="U13" i="5"/>
  <c r="Z17" i="5" s="1"/>
  <c r="U14" i="5" s="1"/>
  <c r="Z18" i="5" s="1"/>
  <c r="AE14" i="5"/>
  <c r="AE15" i="5" s="1"/>
  <c r="AE16" i="5" s="1"/>
  <c r="U109" i="5"/>
  <c r="Z111" i="5" s="1"/>
  <c r="W12" i="5"/>
  <c r="E12" i="5"/>
  <c r="U100" i="2"/>
  <c r="Z101" i="2" s="1"/>
  <c r="U94" i="2"/>
  <c r="Z95" i="2" s="1"/>
  <c r="U101" i="2"/>
  <c r="Z102" i="2" s="1"/>
  <c r="U95" i="2"/>
  <c r="Z96" i="2" s="1"/>
  <c r="C576" i="4"/>
  <c r="H578" i="4" s="1"/>
  <c r="Q578" i="4"/>
  <c r="R549" i="1"/>
  <c r="AB549" i="1" s="1"/>
  <c r="AK550" i="1"/>
  <c r="AK543" i="1"/>
  <c r="AK536" i="1"/>
  <c r="AK522" i="1"/>
  <c r="Q526" i="1"/>
  <c r="Q525" i="1"/>
  <c r="G407" i="2"/>
  <c r="G406" i="2"/>
  <c r="G405" i="2"/>
  <c r="AI90" i="2"/>
  <c r="N90" i="2"/>
  <c r="U90" i="2"/>
  <c r="Z93" i="2" s="1"/>
  <c r="N89" i="2"/>
  <c r="U89" i="2"/>
  <c r="Z90" i="2" s="1"/>
  <c r="N88" i="2"/>
  <c r="U88" i="2"/>
  <c r="Z89" i="2" s="1"/>
  <c r="N87" i="2"/>
  <c r="U87" i="2"/>
  <c r="Z88" i="2" s="1"/>
  <c r="N86" i="2"/>
  <c r="U86" i="2"/>
  <c r="D85" i="2"/>
  <c r="AI83" i="2"/>
  <c r="N83" i="2"/>
  <c r="I83" i="2"/>
  <c r="U83" i="2" s="1"/>
  <c r="Z86" i="2" s="1"/>
  <c r="D83" i="2"/>
  <c r="N82" i="2"/>
  <c r="I82" i="2"/>
  <c r="U82" i="2" s="1"/>
  <c r="D82" i="2"/>
  <c r="N81" i="2"/>
  <c r="I81" i="2"/>
  <c r="D81" i="2"/>
  <c r="N80" i="2"/>
  <c r="I80" i="2"/>
  <c r="U80" i="2" s="1"/>
  <c r="D80" i="2"/>
  <c r="N79" i="2"/>
  <c r="I79" i="2"/>
  <c r="U79" i="2" s="1"/>
  <c r="Z80" i="2" s="1"/>
  <c r="D79" i="2"/>
  <c r="D78" i="2"/>
  <c r="D77" i="2"/>
  <c r="AI76" i="2"/>
  <c r="N76" i="2"/>
  <c r="I76" i="2"/>
  <c r="U76" i="2" s="1"/>
  <c r="Z79" i="2" s="1"/>
  <c r="D76" i="2"/>
  <c r="N75" i="2"/>
  <c r="I75" i="2"/>
  <c r="U75" i="2" s="1"/>
  <c r="Z76" i="2" s="1"/>
  <c r="D75" i="2"/>
  <c r="N74" i="2"/>
  <c r="I74" i="2"/>
  <c r="U74" i="2" s="1"/>
  <c r="Z75" i="2" s="1"/>
  <c r="D74" i="2"/>
  <c r="N73" i="2"/>
  <c r="I73" i="2"/>
  <c r="U73" i="2" s="1"/>
  <c r="Z74" i="2" s="1"/>
  <c r="D73" i="2"/>
  <c r="D72" i="2"/>
  <c r="D71" i="2"/>
  <c r="D70" i="2"/>
  <c r="AI69" i="2"/>
  <c r="N69" i="2"/>
  <c r="I69" i="2"/>
  <c r="U69" i="2" s="1"/>
  <c r="Z73" i="2" s="1"/>
  <c r="D69" i="2"/>
  <c r="N68" i="2"/>
  <c r="I68" i="2"/>
  <c r="D68" i="2"/>
  <c r="N67" i="2"/>
  <c r="I67" i="2"/>
  <c r="U67" i="2" s="1"/>
  <c r="Z68" i="2" s="1"/>
  <c r="D67" i="2"/>
  <c r="N66" i="2"/>
  <c r="I66" i="2"/>
  <c r="D66" i="2"/>
  <c r="N65" i="2"/>
  <c r="I65" i="2"/>
  <c r="U65" i="2" s="1"/>
  <c r="Z66" i="2" s="1"/>
  <c r="D65" i="2"/>
  <c r="D64" i="2"/>
  <c r="D63" i="2"/>
  <c r="D62" i="2"/>
  <c r="D61" i="2"/>
  <c r="D60" i="2"/>
  <c r="D59" i="2"/>
  <c r="D58" i="2"/>
  <c r="D57" i="2"/>
  <c r="D56" i="2"/>
  <c r="N55" i="2"/>
  <c r="I55" i="2"/>
  <c r="U55" i="2" s="1"/>
  <c r="N54" i="2"/>
  <c r="I54" i="2"/>
  <c r="U54" i="2" s="1"/>
  <c r="Z55" i="2" s="1"/>
  <c r="N53" i="2"/>
  <c r="I53" i="2"/>
  <c r="U53" i="2" s="1"/>
  <c r="Z54" i="2" s="1"/>
  <c r="N52" i="2"/>
  <c r="AI55" i="2"/>
  <c r="I52" i="2"/>
  <c r="U52" i="2" s="1"/>
  <c r="Z53" i="2" s="1"/>
  <c r="D52" i="2"/>
  <c r="N51" i="2"/>
  <c r="I51" i="2"/>
  <c r="D51" i="2"/>
  <c r="D50" i="2"/>
  <c r="D49" i="2"/>
  <c r="AI48" i="2"/>
  <c r="N48" i="2"/>
  <c r="I48" i="2"/>
  <c r="U48" i="2" s="1"/>
  <c r="D48" i="2"/>
  <c r="N47" i="2"/>
  <c r="I47" i="2"/>
  <c r="D47" i="2"/>
  <c r="N46" i="2"/>
  <c r="I46" i="2"/>
  <c r="D46" i="2"/>
  <c r="N45" i="2"/>
  <c r="I45" i="2"/>
  <c r="U45" i="2" s="1"/>
  <c r="D45" i="2"/>
  <c r="N44" i="2"/>
  <c r="I44" i="2"/>
  <c r="U44" i="2" s="1"/>
  <c r="D44" i="2"/>
  <c r="D43" i="2"/>
  <c r="D42" i="2"/>
  <c r="AI41" i="2"/>
  <c r="N41" i="2"/>
  <c r="I41" i="2"/>
  <c r="U41" i="2" s="1"/>
  <c r="D41" i="2"/>
  <c r="N40" i="2"/>
  <c r="I40" i="2"/>
  <c r="U40" i="2" s="1"/>
  <c r="Z41" i="2" s="1"/>
  <c r="D40" i="2"/>
  <c r="N39" i="2"/>
  <c r="I39" i="2"/>
  <c r="U39" i="2" s="1"/>
  <c r="Z40" i="2" s="1"/>
  <c r="D39" i="2"/>
  <c r="N38" i="2"/>
  <c r="I38" i="2"/>
  <c r="U38" i="2" s="1"/>
  <c r="D38" i="2"/>
  <c r="N37" i="2"/>
  <c r="I37" i="2"/>
  <c r="U37" i="2" s="1"/>
  <c r="D37" i="2"/>
  <c r="D36" i="2"/>
  <c r="D35" i="2"/>
  <c r="AI34" i="2"/>
  <c r="N34" i="2"/>
  <c r="I34" i="2"/>
  <c r="D34" i="2"/>
  <c r="N33" i="2"/>
  <c r="I33" i="2"/>
  <c r="U33" i="2" s="1"/>
  <c r="Z34" i="2" s="1"/>
  <c r="D33" i="2"/>
  <c r="N32" i="2"/>
  <c r="I32" i="2"/>
  <c r="U32" i="2" s="1"/>
  <c r="Z33" i="2" s="1"/>
  <c r="D32" i="2"/>
  <c r="N31" i="2"/>
  <c r="I31" i="2"/>
  <c r="U31" i="2" s="1"/>
  <c r="Z32" i="2" s="1"/>
  <c r="D31" i="2"/>
  <c r="N30" i="2"/>
  <c r="I30" i="2"/>
  <c r="U30" i="2" s="1"/>
  <c r="Z31" i="2" s="1"/>
  <c r="D30" i="2"/>
  <c r="D29" i="2"/>
  <c r="D28" i="2"/>
  <c r="AI27" i="2"/>
  <c r="N27" i="2"/>
  <c r="I27" i="2"/>
  <c r="U27" i="2" s="1"/>
  <c r="Z30" i="2" s="1"/>
  <c r="D27" i="2"/>
  <c r="N26" i="2"/>
  <c r="I26" i="2"/>
  <c r="U26" i="2" s="1"/>
  <c r="Z27" i="2" s="1"/>
  <c r="D26" i="2"/>
  <c r="N25" i="2"/>
  <c r="I25" i="2"/>
  <c r="U25" i="2" s="1"/>
  <c r="Z26" i="2" s="1"/>
  <c r="D25" i="2"/>
  <c r="N24" i="2"/>
  <c r="I24" i="2"/>
  <c r="D24" i="2"/>
  <c r="N23" i="2"/>
  <c r="I23" i="2"/>
  <c r="D23" i="2"/>
  <c r="D22" i="2"/>
  <c r="D21" i="2"/>
  <c r="AI20" i="2"/>
  <c r="N20" i="2"/>
  <c r="I20" i="2"/>
  <c r="U20" i="2" s="1"/>
  <c r="Z23" i="2" s="1"/>
  <c r="D20" i="2"/>
  <c r="N19" i="2"/>
  <c r="I19" i="2"/>
  <c r="U19" i="2" s="1"/>
  <c r="Z20" i="2" s="1"/>
  <c r="D19" i="2"/>
  <c r="N18" i="2"/>
  <c r="I18" i="2"/>
  <c r="U18" i="2" s="1"/>
  <c r="D18" i="2"/>
  <c r="N17" i="2"/>
  <c r="I17" i="2"/>
  <c r="U17" i="2" s="1"/>
  <c r="Z18" i="2" s="1"/>
  <c r="D17" i="2"/>
  <c r="N16" i="2"/>
  <c r="I16" i="2"/>
  <c r="U16" i="2" s="1"/>
  <c r="Z17" i="2" s="1"/>
  <c r="D16" i="2"/>
  <c r="D15" i="2"/>
  <c r="D14" i="2"/>
  <c r="N13" i="2"/>
  <c r="I13" i="2"/>
  <c r="U13" i="2" s="1"/>
  <c r="D13" i="2"/>
  <c r="N12" i="2"/>
  <c r="I12" i="2"/>
  <c r="U12" i="2" s="1"/>
  <c r="Z13" i="2" s="1"/>
  <c r="D12" i="2"/>
  <c r="N11" i="2"/>
  <c r="I11" i="2"/>
  <c r="U11" i="2" s="1"/>
  <c r="Z12" i="2" s="1"/>
  <c r="D11" i="2"/>
  <c r="N10" i="2"/>
  <c r="I10" i="2"/>
  <c r="U10" i="2" s="1"/>
  <c r="D10" i="2"/>
  <c r="N9" i="2"/>
  <c r="I9" i="2"/>
  <c r="U9" i="2" s="1"/>
  <c r="Z10" i="2" s="1"/>
  <c r="D9" i="2"/>
  <c r="D8" i="2"/>
  <c r="D7" i="2"/>
  <c r="AI6" i="2"/>
  <c r="N6" i="2"/>
  <c r="D6" i="2"/>
  <c r="N5" i="2"/>
  <c r="I5" i="2"/>
  <c r="D5" i="2"/>
  <c r="N4" i="2"/>
  <c r="I4" i="2"/>
  <c r="U4" i="2" s="1"/>
  <c r="Z5" i="2" s="1"/>
  <c r="D4" i="2"/>
  <c r="N3" i="2"/>
  <c r="I3" i="2"/>
  <c r="U3" i="2" s="1"/>
  <c r="Z4" i="2" s="1"/>
  <c r="D3" i="2"/>
  <c r="R4" i="2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42" i="2" s="1"/>
  <c r="R143" i="2" s="1"/>
  <c r="R144" i="2" s="1"/>
  <c r="R145" i="2" s="1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157" i="2" s="1"/>
  <c r="R158" i="2" s="1"/>
  <c r="R159" i="2" s="1"/>
  <c r="R160" i="2" s="1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72" i="2" s="1"/>
  <c r="R173" i="2" s="1"/>
  <c r="R174" i="2" s="1"/>
  <c r="R175" i="2" s="1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7" i="2" s="1"/>
  <c r="R188" i="2" s="1"/>
  <c r="R189" i="2" s="1"/>
  <c r="R190" i="2" s="1"/>
  <c r="R191" i="2" s="1"/>
  <c r="R192" i="2" s="1"/>
  <c r="R193" i="2" s="1"/>
  <c r="R194" i="2" s="1"/>
  <c r="R195" i="2" s="1"/>
  <c r="R196" i="2" s="1"/>
  <c r="R197" i="2" s="1"/>
  <c r="R198" i="2" s="1"/>
  <c r="R199" i="2" s="1"/>
  <c r="R200" i="2" s="1"/>
  <c r="R201" i="2" s="1"/>
  <c r="R202" i="2" s="1"/>
  <c r="R203" i="2" s="1"/>
  <c r="R204" i="2" s="1"/>
  <c r="R205" i="2" s="1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217" i="2" s="1"/>
  <c r="R218" i="2" s="1"/>
  <c r="R219" i="2" s="1"/>
  <c r="R220" i="2" s="1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R231" i="2" s="1"/>
  <c r="R232" i="2" s="1"/>
  <c r="R233" i="2" s="1"/>
  <c r="R234" i="2" s="1"/>
  <c r="R235" i="2" s="1"/>
  <c r="R236" i="2" s="1"/>
  <c r="R237" i="2" s="1"/>
  <c r="R238" i="2" s="1"/>
  <c r="R239" i="2" s="1"/>
  <c r="R240" i="2" s="1"/>
  <c r="R241" i="2" s="1"/>
  <c r="R242" i="2" s="1"/>
  <c r="R243" i="2" s="1"/>
  <c r="R244" i="2" s="1"/>
  <c r="R245" i="2" s="1"/>
  <c r="R246" i="2" s="1"/>
  <c r="R247" i="2" s="1"/>
  <c r="R248" i="2" s="1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 s="1"/>
  <c r="R279" i="2" s="1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307" i="2" s="1"/>
  <c r="R308" i="2" s="1"/>
  <c r="R309" i="2" s="1"/>
  <c r="R310" i="2" s="1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322" i="2" s="1"/>
  <c r="R323" i="2" s="1"/>
  <c r="R324" i="2" s="1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337" i="2" s="1"/>
  <c r="R338" i="2" s="1"/>
  <c r="R339" i="2" s="1"/>
  <c r="R340" i="2" s="1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352" i="2" s="1"/>
  <c r="R353" i="2" s="1"/>
  <c r="R354" i="2" s="1"/>
  <c r="R355" i="2" s="1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67" i="2" s="1"/>
  <c r="R368" i="2" s="1"/>
  <c r="R369" i="2" s="1"/>
  <c r="R370" i="2" s="1"/>
  <c r="R371" i="2" s="1"/>
  <c r="R372" i="2" s="1"/>
  <c r="R373" i="2" s="1"/>
  <c r="R374" i="2" s="1"/>
  <c r="R375" i="2" s="1"/>
  <c r="R376" i="2" s="1"/>
  <c r="R377" i="2" s="1"/>
  <c r="R378" i="2" s="1"/>
  <c r="R379" i="2" s="1"/>
  <c r="R380" i="2" s="1"/>
  <c r="R381" i="2" s="1"/>
  <c r="R382" i="2" s="1"/>
  <c r="R383" i="2" s="1"/>
  <c r="R384" i="2" s="1"/>
  <c r="R385" i="2" s="1"/>
  <c r="R386" i="2" s="1"/>
  <c r="R387" i="2" s="1"/>
  <c r="R388" i="2" s="1"/>
  <c r="R389" i="2" s="1"/>
  <c r="R390" i="2" s="1"/>
  <c r="R391" i="2" s="1"/>
  <c r="R392" i="2" s="1"/>
  <c r="R393" i="2" s="1"/>
  <c r="R394" i="2" s="1"/>
  <c r="R395" i="2" s="1"/>
  <c r="R396" i="2" s="1"/>
  <c r="R397" i="2" s="1"/>
  <c r="R398" i="2" s="1"/>
  <c r="R399" i="2" s="1"/>
  <c r="AD4" i="2"/>
  <c r="AD5" i="2" s="1"/>
  <c r="AD6" i="2" s="1"/>
  <c r="AD7" i="2" s="1"/>
  <c r="AD8" i="2" s="1"/>
  <c r="AB556" i="1"/>
  <c r="R547" i="1"/>
  <c r="AB547" i="1" s="1"/>
  <c r="R546" i="1"/>
  <c r="AB546" i="1" s="1"/>
  <c r="R543" i="1"/>
  <c r="AB543" i="1" s="1"/>
  <c r="AB542" i="1"/>
  <c r="R541" i="1"/>
  <c r="AB541" i="1" s="1"/>
  <c r="R540" i="1"/>
  <c r="AB540" i="1" s="1"/>
  <c r="R539" i="1"/>
  <c r="AB539" i="1" s="1"/>
  <c r="R535" i="1"/>
  <c r="AB535" i="1" s="1"/>
  <c r="R536" i="1"/>
  <c r="AB536" i="1" s="1"/>
  <c r="R534" i="1"/>
  <c r="AB534" i="1" s="1"/>
  <c r="R533" i="1"/>
  <c r="AB533" i="1" s="1"/>
  <c r="R532" i="1"/>
  <c r="AB532" i="1" s="1"/>
  <c r="R527" i="1"/>
  <c r="AB527" i="1" s="1"/>
  <c r="R526" i="1"/>
  <c r="AB526" i="1" s="1"/>
  <c r="R525" i="1"/>
  <c r="AB525" i="1" s="1"/>
  <c r="R522" i="1"/>
  <c r="AB522" i="1" s="1"/>
  <c r="AL513" i="1"/>
  <c r="AM518" i="1" s="1"/>
  <c r="R520" i="1"/>
  <c r="AB520" i="1" s="1"/>
  <c r="R518" i="1"/>
  <c r="AB518" i="1" s="1"/>
  <c r="R519" i="1"/>
  <c r="AB519" i="1" s="1"/>
  <c r="R505" i="1"/>
  <c r="R470" i="1"/>
  <c r="R465" i="1"/>
  <c r="AB592" i="1"/>
  <c r="AB591" i="1"/>
  <c r="AB590" i="1"/>
  <c r="AB589" i="1"/>
  <c r="AB588" i="1"/>
  <c r="AB584" i="1"/>
  <c r="AB582" i="1"/>
  <c r="AB581" i="1"/>
  <c r="AB578" i="1"/>
  <c r="AB577" i="1"/>
  <c r="AB575" i="1"/>
  <c r="AB568" i="1"/>
  <c r="AB567" i="1"/>
  <c r="AK592" i="1"/>
  <c r="AK585" i="1"/>
  <c r="AK578" i="1"/>
  <c r="AK571" i="1"/>
  <c r="AK557" i="1"/>
  <c r="R521" i="1"/>
  <c r="AB521" i="1" s="1"/>
  <c r="AF514" i="1"/>
  <c r="AF515" i="1" s="1"/>
  <c r="AF516" i="1" s="1"/>
  <c r="AF517" i="1" s="1"/>
  <c r="AF518" i="1" s="1"/>
  <c r="AF519" i="1" s="1"/>
  <c r="AF520" i="1" s="1"/>
  <c r="AF521" i="1" s="1"/>
  <c r="AF522" i="1" s="1"/>
  <c r="AF523" i="1" s="1"/>
  <c r="AF524" i="1" s="1"/>
  <c r="AF525" i="1" s="1"/>
  <c r="AF526" i="1" s="1"/>
  <c r="AF527" i="1" s="1"/>
  <c r="AF528" i="1" s="1"/>
  <c r="AF529" i="1" s="1"/>
  <c r="AF530" i="1" s="1"/>
  <c r="AF531" i="1" s="1"/>
  <c r="AF532" i="1" s="1"/>
  <c r="AF533" i="1" s="1"/>
  <c r="AF534" i="1" s="1"/>
  <c r="AF535" i="1" s="1"/>
  <c r="AF536" i="1" s="1"/>
  <c r="AF537" i="1" s="1"/>
  <c r="AF538" i="1" s="1"/>
  <c r="AF539" i="1" s="1"/>
  <c r="AF540" i="1" s="1"/>
  <c r="AF541" i="1" s="1"/>
  <c r="AF542" i="1" s="1"/>
  <c r="AF543" i="1" s="1"/>
  <c r="AF544" i="1" s="1"/>
  <c r="AF545" i="1" s="1"/>
  <c r="AF546" i="1" s="1"/>
  <c r="AF547" i="1" s="1"/>
  <c r="AF548" i="1" s="1"/>
  <c r="AF549" i="1" s="1"/>
  <c r="AF550" i="1" s="1"/>
  <c r="AF551" i="1" s="1"/>
  <c r="AF552" i="1" s="1"/>
  <c r="AF553" i="1" s="1"/>
  <c r="AF554" i="1" s="1"/>
  <c r="AF555" i="1" s="1"/>
  <c r="AF556" i="1" s="1"/>
  <c r="AF557" i="1" s="1"/>
  <c r="AF558" i="1" s="1"/>
  <c r="AF559" i="1" s="1"/>
  <c r="AF560" i="1" s="1"/>
  <c r="AF561" i="1" s="1"/>
  <c r="AF562" i="1" s="1"/>
  <c r="AF563" i="1" s="1"/>
  <c r="AF564" i="1" s="1"/>
  <c r="AF565" i="1" s="1"/>
  <c r="AF566" i="1" s="1"/>
  <c r="AF567" i="1" s="1"/>
  <c r="AF568" i="1" s="1"/>
  <c r="AF569" i="1" s="1"/>
  <c r="AF570" i="1" s="1"/>
  <c r="AF571" i="1" s="1"/>
  <c r="AF572" i="1" s="1"/>
  <c r="AF573" i="1" s="1"/>
  <c r="AF574" i="1" s="1"/>
  <c r="AF575" i="1" s="1"/>
  <c r="AF576" i="1" s="1"/>
  <c r="AF577" i="1" s="1"/>
  <c r="AF578" i="1" s="1"/>
  <c r="AF579" i="1" s="1"/>
  <c r="AF580" i="1" s="1"/>
  <c r="AF581" i="1" s="1"/>
  <c r="AF582" i="1" s="1"/>
  <c r="AF583" i="1" s="1"/>
  <c r="AF584" i="1" s="1"/>
  <c r="AF585" i="1" s="1"/>
  <c r="AF586" i="1" s="1"/>
  <c r="AF587" i="1" s="1"/>
  <c r="AF588" i="1" s="1"/>
  <c r="AF589" i="1" s="1"/>
  <c r="AF590" i="1" s="1"/>
  <c r="AF591" i="1" s="1"/>
  <c r="AF592" i="1" s="1"/>
  <c r="AF593" i="1" s="1"/>
  <c r="AF594" i="1" s="1"/>
  <c r="AF595" i="1" s="1"/>
  <c r="AF596" i="1" s="1"/>
  <c r="AF597" i="1" s="1"/>
  <c r="AF598" i="1" s="1"/>
  <c r="AF599" i="1" s="1"/>
  <c r="AF600" i="1" s="1"/>
  <c r="AF601" i="1" s="1"/>
  <c r="AF602" i="1" s="1"/>
  <c r="AF603" i="1" s="1"/>
  <c r="AF604" i="1" s="1"/>
  <c r="AF605" i="1" s="1"/>
  <c r="AF606" i="1" s="1"/>
  <c r="AF607" i="1" s="1"/>
  <c r="AF608" i="1" s="1"/>
  <c r="AF609" i="1" s="1"/>
  <c r="AF610" i="1" s="1"/>
  <c r="AF611" i="1" s="1"/>
  <c r="AF612" i="1" s="1"/>
  <c r="AF613" i="1" s="1"/>
  <c r="AF614" i="1" s="1"/>
  <c r="AF615" i="1" s="1"/>
  <c r="AF616" i="1" s="1"/>
  <c r="AF617" i="1" s="1"/>
  <c r="AF618" i="1" s="1"/>
  <c r="AF619" i="1" s="1"/>
  <c r="AF620" i="1" s="1"/>
  <c r="AF621" i="1" s="1"/>
  <c r="AF622" i="1" s="1"/>
  <c r="AF623" i="1" s="1"/>
  <c r="AF624" i="1" s="1"/>
  <c r="AF625" i="1" s="1"/>
  <c r="AF626" i="1" s="1"/>
  <c r="AF627" i="1" s="1"/>
  <c r="AF628" i="1" s="1"/>
  <c r="AF629" i="1" s="1"/>
  <c r="AF630" i="1" s="1"/>
  <c r="AF631" i="1" s="1"/>
  <c r="AF632" i="1" s="1"/>
  <c r="AF633" i="1" s="1"/>
  <c r="AF634" i="1" s="1"/>
  <c r="AF635" i="1" s="1"/>
  <c r="AF636" i="1" s="1"/>
  <c r="AF637" i="1" s="1"/>
  <c r="AF638" i="1" s="1"/>
  <c r="AF639" i="1" s="1"/>
  <c r="AF640" i="1" s="1"/>
  <c r="AF641" i="1" s="1"/>
  <c r="AF642" i="1" s="1"/>
  <c r="AF643" i="1" s="1"/>
  <c r="AF644" i="1" s="1"/>
  <c r="AF645" i="1" s="1"/>
  <c r="AF646" i="1" s="1"/>
  <c r="AF647" i="1" s="1"/>
  <c r="AF648" i="1" s="1"/>
  <c r="AF649" i="1" s="1"/>
  <c r="AF650" i="1" s="1"/>
  <c r="AF651" i="1" s="1"/>
  <c r="AF652" i="1" s="1"/>
  <c r="AF653" i="1" s="1"/>
  <c r="AF654" i="1" s="1"/>
  <c r="AF655" i="1" s="1"/>
  <c r="AF656" i="1" s="1"/>
  <c r="AF657" i="1" s="1"/>
  <c r="AF658" i="1" s="1"/>
  <c r="AF659" i="1" s="1"/>
  <c r="AF660" i="1" s="1"/>
  <c r="AF661" i="1" s="1"/>
  <c r="AF662" i="1" s="1"/>
  <c r="AF663" i="1" s="1"/>
  <c r="AF664" i="1" s="1"/>
  <c r="AF665" i="1" s="1"/>
  <c r="AF666" i="1" s="1"/>
  <c r="AF667" i="1" s="1"/>
  <c r="AF668" i="1" s="1"/>
  <c r="AF669" i="1" s="1"/>
  <c r="AF670" i="1" s="1"/>
  <c r="AF671" i="1" s="1"/>
  <c r="AF672" i="1" s="1"/>
  <c r="AF673" i="1" s="1"/>
  <c r="AF674" i="1" s="1"/>
  <c r="AF675" i="1" s="1"/>
  <c r="AF676" i="1" s="1"/>
  <c r="AF677" i="1" s="1"/>
  <c r="AF678" i="1" s="1"/>
  <c r="AF679" i="1" s="1"/>
  <c r="H392" i="7"/>
  <c r="H391" i="7"/>
  <c r="H390" i="7"/>
  <c r="H389" i="7"/>
  <c r="H388" i="7"/>
  <c r="H399" i="7"/>
  <c r="H398" i="7"/>
  <c r="H397" i="7"/>
  <c r="H396" i="7"/>
  <c r="H395" i="7"/>
  <c r="H384" i="7"/>
  <c r="H383" i="7"/>
  <c r="H378" i="7"/>
  <c r="H377" i="7"/>
  <c r="H376" i="7"/>
  <c r="H375" i="7"/>
  <c r="H374" i="7"/>
  <c r="Q592" i="4"/>
  <c r="Q585" i="4"/>
  <c r="Q571" i="4"/>
  <c r="Q557" i="4"/>
  <c r="Q550" i="4"/>
  <c r="Q543" i="4"/>
  <c r="Q536" i="4"/>
  <c r="H592" i="4"/>
  <c r="H591" i="4"/>
  <c r="H590" i="4"/>
  <c r="H589" i="4"/>
  <c r="H588" i="4"/>
  <c r="H585" i="4"/>
  <c r="H584" i="4"/>
  <c r="H583" i="4"/>
  <c r="H582" i="4"/>
  <c r="H581" i="4"/>
  <c r="H577" i="4"/>
  <c r="H576" i="4"/>
  <c r="H575" i="4"/>
  <c r="H571" i="4"/>
  <c r="H570" i="4"/>
  <c r="H569" i="4"/>
  <c r="H568" i="4"/>
  <c r="H567" i="4"/>
  <c r="Q592" i="3"/>
  <c r="Q585" i="3"/>
  <c r="Q578" i="3"/>
  <c r="Q571" i="3"/>
  <c r="Q557" i="3"/>
  <c r="Q550" i="3"/>
  <c r="Q543" i="3"/>
  <c r="Q536" i="3"/>
  <c r="H592" i="3"/>
  <c r="H591" i="3"/>
  <c r="H590" i="3"/>
  <c r="H589" i="3"/>
  <c r="H588" i="3"/>
  <c r="H585" i="3"/>
  <c r="H584" i="3"/>
  <c r="H583" i="3"/>
  <c r="H582" i="3"/>
  <c r="H581" i="3"/>
  <c r="H578" i="3"/>
  <c r="H577" i="3"/>
  <c r="H576" i="3"/>
  <c r="H575" i="3"/>
  <c r="H571" i="3"/>
  <c r="H570" i="3"/>
  <c r="H569" i="3"/>
  <c r="H568" i="3"/>
  <c r="H567" i="3"/>
  <c r="AF680" i="1" l="1"/>
  <c r="AF681" i="1" s="1"/>
  <c r="AF682" i="1" s="1"/>
  <c r="AF683" i="1" s="1"/>
  <c r="AF684" i="1" s="1"/>
  <c r="AF685" i="1" s="1"/>
  <c r="AF686" i="1" s="1"/>
  <c r="AF687" i="1" s="1"/>
  <c r="AF689" i="1"/>
  <c r="AF690" i="1" s="1"/>
  <c r="AF691" i="1" s="1"/>
  <c r="AF692" i="1" s="1"/>
  <c r="AF693" i="1" s="1"/>
  <c r="U17" i="5"/>
  <c r="Z19" i="5" s="1"/>
  <c r="U18" i="5" s="1"/>
  <c r="Z20" i="5" s="1"/>
  <c r="U47" i="5"/>
  <c r="Z49" i="5" s="1"/>
  <c r="U110" i="5"/>
  <c r="Z112" i="5" s="1"/>
  <c r="AE17" i="5"/>
  <c r="AE18" i="5" s="1"/>
  <c r="E13" i="5"/>
  <c r="E14" i="5" s="1"/>
  <c r="E15" i="5" s="1"/>
  <c r="E16" i="5" s="1"/>
  <c r="U88" i="5"/>
  <c r="W13" i="5"/>
  <c r="W14" i="5" s="1"/>
  <c r="W15" i="5" s="1"/>
  <c r="W16" i="5" s="1"/>
  <c r="AK529" i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I6" i="2"/>
  <c r="U6" i="2" s="1"/>
  <c r="Z9" i="2" s="1"/>
  <c r="AI13" i="2"/>
  <c r="AD9" i="2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AD63" i="2" s="1"/>
  <c r="AD64" i="2" s="1"/>
  <c r="AD65" i="2" s="1"/>
  <c r="AD66" i="2" s="1"/>
  <c r="AD67" i="2" s="1"/>
  <c r="AD68" i="2" s="1"/>
  <c r="AD69" i="2" s="1"/>
  <c r="AD70" i="2" s="1"/>
  <c r="AD71" i="2" s="1"/>
  <c r="AD72" i="2" s="1"/>
  <c r="AD73" i="2" s="1"/>
  <c r="AD74" i="2" s="1"/>
  <c r="AD75" i="2" s="1"/>
  <c r="AD76" i="2" s="1"/>
  <c r="AD77" i="2" s="1"/>
  <c r="AD78" i="2" s="1"/>
  <c r="AD79" i="2" s="1"/>
  <c r="AD80" i="2" s="1"/>
  <c r="AD81" i="2" s="1"/>
  <c r="AD82" i="2" s="1"/>
  <c r="AD83" i="2" s="1"/>
  <c r="AD84" i="2" s="1"/>
  <c r="AD85" i="2" s="1"/>
  <c r="AD86" i="2" s="1"/>
  <c r="AD87" i="2" s="1"/>
  <c r="AD88" i="2" s="1"/>
  <c r="AD89" i="2" s="1"/>
  <c r="AD90" i="2" s="1"/>
  <c r="AD91" i="2" s="1"/>
  <c r="AD92" i="2" s="1"/>
  <c r="AD93" i="2" s="1"/>
  <c r="AD94" i="2" s="1"/>
  <c r="AD95" i="2" s="1"/>
  <c r="AD96" i="2" s="1"/>
  <c r="AD97" i="2" s="1"/>
  <c r="AD98" i="2" s="1"/>
  <c r="AD99" i="2" s="1"/>
  <c r="AD100" i="2" s="1"/>
  <c r="AD101" i="2" s="1"/>
  <c r="AD102" i="2" s="1"/>
  <c r="AD103" i="2" s="1"/>
  <c r="AD104" i="2" s="1"/>
  <c r="AD105" i="2" s="1"/>
  <c r="AD106" i="2" s="1"/>
  <c r="AD107" i="2" s="1"/>
  <c r="AD108" i="2" s="1"/>
  <c r="AD109" i="2" s="1"/>
  <c r="AD110" i="2" s="1"/>
  <c r="AD111" i="2" s="1"/>
  <c r="AD112" i="2" s="1"/>
  <c r="AD113" i="2" s="1"/>
  <c r="AD114" i="2" s="1"/>
  <c r="AD115" i="2" s="1"/>
  <c r="AD116" i="2" s="1"/>
  <c r="AD117" i="2" s="1"/>
  <c r="AD118" i="2" s="1"/>
  <c r="AD119" i="2" s="1"/>
  <c r="AD120" i="2" s="1"/>
  <c r="AD121" i="2" s="1"/>
  <c r="AD122" i="2" s="1"/>
  <c r="AD123" i="2" s="1"/>
  <c r="AD124" i="2" s="1"/>
  <c r="AD125" i="2" s="1"/>
  <c r="AD126" i="2" s="1"/>
  <c r="AD127" i="2" s="1"/>
  <c r="AD128" i="2" s="1"/>
  <c r="AD129" i="2" s="1"/>
  <c r="AD130" i="2" s="1"/>
  <c r="AD131" i="2" s="1"/>
  <c r="AD132" i="2" s="1"/>
  <c r="AD133" i="2" s="1"/>
  <c r="AD134" i="2" s="1"/>
  <c r="AD135" i="2" s="1"/>
  <c r="AD136" i="2" s="1"/>
  <c r="AD137" i="2" s="1"/>
  <c r="AD138" i="2" s="1"/>
  <c r="AD139" i="2" s="1"/>
  <c r="AD140" i="2" s="1"/>
  <c r="AD141" i="2" s="1"/>
  <c r="AD142" i="2" s="1"/>
  <c r="AD143" i="2" s="1"/>
  <c r="AD144" i="2" s="1"/>
  <c r="AD145" i="2" s="1"/>
  <c r="AD146" i="2" s="1"/>
  <c r="AD147" i="2" s="1"/>
  <c r="AD148" i="2" s="1"/>
  <c r="AD149" i="2" s="1"/>
  <c r="AD150" i="2" s="1"/>
  <c r="AD151" i="2" s="1"/>
  <c r="AD152" i="2" s="1"/>
  <c r="AD153" i="2" s="1"/>
  <c r="AD154" i="2" s="1"/>
  <c r="AD155" i="2" s="1"/>
  <c r="AD156" i="2" s="1"/>
  <c r="AD157" i="2" s="1"/>
  <c r="AD158" i="2" s="1"/>
  <c r="AD159" i="2" s="1"/>
  <c r="AD160" i="2" s="1"/>
  <c r="AD161" i="2" s="1"/>
  <c r="AD162" i="2" s="1"/>
  <c r="AD163" i="2" s="1"/>
  <c r="AD164" i="2" s="1"/>
  <c r="AD165" i="2" s="1"/>
  <c r="AD166" i="2" s="1"/>
  <c r="AD167" i="2" s="1"/>
  <c r="AD168" i="2" s="1"/>
  <c r="AD169" i="2" s="1"/>
  <c r="AD170" i="2" s="1"/>
  <c r="AD171" i="2" s="1"/>
  <c r="AD172" i="2" s="1"/>
  <c r="AD173" i="2" s="1"/>
  <c r="AD174" i="2" s="1"/>
  <c r="AD175" i="2" s="1"/>
  <c r="AD176" i="2" s="1"/>
  <c r="AD177" i="2" s="1"/>
  <c r="AD178" i="2" s="1"/>
  <c r="AD179" i="2" s="1"/>
  <c r="AD180" i="2" s="1"/>
  <c r="AD181" i="2" s="1"/>
  <c r="AD182" i="2" s="1"/>
  <c r="AD183" i="2" s="1"/>
  <c r="AD184" i="2" s="1"/>
  <c r="AD185" i="2" s="1"/>
  <c r="AD187" i="2" s="1"/>
  <c r="AD188" i="2" s="1"/>
  <c r="AD189" i="2" s="1"/>
  <c r="AD190" i="2" s="1"/>
  <c r="AD191" i="2" s="1"/>
  <c r="AD192" i="2" s="1"/>
  <c r="AD193" i="2" s="1"/>
  <c r="AD194" i="2" s="1"/>
  <c r="AD195" i="2" s="1"/>
  <c r="AD196" i="2" s="1"/>
  <c r="AD197" i="2" s="1"/>
  <c r="AD198" i="2" s="1"/>
  <c r="AD199" i="2" s="1"/>
  <c r="AD200" i="2" s="1"/>
  <c r="AD201" i="2" s="1"/>
  <c r="AD202" i="2" s="1"/>
  <c r="AD203" i="2" s="1"/>
  <c r="AD204" i="2" s="1"/>
  <c r="AD205" i="2" s="1"/>
  <c r="AD206" i="2" s="1"/>
  <c r="AD207" i="2" s="1"/>
  <c r="AD208" i="2" s="1"/>
  <c r="AD209" i="2" s="1"/>
  <c r="AD210" i="2" s="1"/>
  <c r="AD211" i="2" s="1"/>
  <c r="AD212" i="2" s="1"/>
  <c r="AD213" i="2" s="1"/>
  <c r="AD214" i="2" s="1"/>
  <c r="AD215" i="2" s="1"/>
  <c r="AD216" i="2" s="1"/>
  <c r="AD217" i="2" s="1"/>
  <c r="AD218" i="2" s="1"/>
  <c r="AD219" i="2" s="1"/>
  <c r="AD220" i="2" s="1"/>
  <c r="AD221" i="2" s="1"/>
  <c r="AD222" i="2" s="1"/>
  <c r="AD223" i="2" s="1"/>
  <c r="AD224" i="2" s="1"/>
  <c r="AD225" i="2" s="1"/>
  <c r="AD226" i="2" s="1"/>
  <c r="AD227" i="2" s="1"/>
  <c r="AD228" i="2" s="1"/>
  <c r="AD229" i="2" s="1"/>
  <c r="AD230" i="2" s="1"/>
  <c r="AD231" i="2" s="1"/>
  <c r="AD232" i="2" s="1"/>
  <c r="AD233" i="2" s="1"/>
  <c r="AD234" i="2" s="1"/>
  <c r="AD235" i="2" s="1"/>
  <c r="AD236" i="2" s="1"/>
  <c r="AD237" i="2" s="1"/>
  <c r="AD238" i="2" s="1"/>
  <c r="AD239" i="2" s="1"/>
  <c r="AD240" i="2" s="1"/>
  <c r="AD241" i="2" s="1"/>
  <c r="AD242" i="2" s="1"/>
  <c r="AD243" i="2" s="1"/>
  <c r="AD244" i="2" s="1"/>
  <c r="AD245" i="2" s="1"/>
  <c r="AD246" i="2" s="1"/>
  <c r="AD247" i="2" s="1"/>
  <c r="AD248" i="2" s="1"/>
  <c r="AD249" i="2" s="1"/>
  <c r="AD250" i="2" s="1"/>
  <c r="AD251" i="2" s="1"/>
  <c r="AD252" i="2" s="1"/>
  <c r="AD253" i="2" s="1"/>
  <c r="AD254" i="2" s="1"/>
  <c r="AD255" i="2" s="1"/>
  <c r="AD256" i="2" s="1"/>
  <c r="AD257" i="2" s="1"/>
  <c r="AD258" i="2" s="1"/>
  <c r="AD259" i="2" s="1"/>
  <c r="AD260" i="2" s="1"/>
  <c r="AD261" i="2" s="1"/>
  <c r="AD262" i="2" s="1"/>
  <c r="AD263" i="2" s="1"/>
  <c r="AD264" i="2" s="1"/>
  <c r="AD265" i="2" s="1"/>
  <c r="AD266" i="2" s="1"/>
  <c r="AD267" i="2" s="1"/>
  <c r="AD268" i="2" s="1"/>
  <c r="AD269" i="2" s="1"/>
  <c r="AD270" i="2" s="1"/>
  <c r="AD271" i="2" s="1"/>
  <c r="AD272" i="2" s="1"/>
  <c r="AD273" i="2" s="1"/>
  <c r="AD274" i="2" s="1"/>
  <c r="AD275" i="2" s="1"/>
  <c r="AD276" i="2" s="1"/>
  <c r="AD277" i="2" s="1"/>
  <c r="AD278" i="2" s="1"/>
  <c r="AD279" i="2" s="1"/>
  <c r="AD280" i="2" s="1"/>
  <c r="AD281" i="2" s="1"/>
  <c r="AD282" i="2" s="1"/>
  <c r="AD283" i="2" s="1"/>
  <c r="AD284" i="2" s="1"/>
  <c r="AD285" i="2" s="1"/>
  <c r="AD286" i="2" s="1"/>
  <c r="AD287" i="2" s="1"/>
  <c r="AD288" i="2" s="1"/>
  <c r="AD289" i="2" s="1"/>
  <c r="AD290" i="2" s="1"/>
  <c r="AD291" i="2" s="1"/>
  <c r="AD292" i="2" s="1"/>
  <c r="AD293" i="2" s="1"/>
  <c r="AD294" i="2" s="1"/>
  <c r="AD295" i="2" s="1"/>
  <c r="AD296" i="2" s="1"/>
  <c r="AD297" i="2" s="1"/>
  <c r="AD298" i="2" s="1"/>
  <c r="AD299" i="2" s="1"/>
  <c r="AD300" i="2" s="1"/>
  <c r="AD301" i="2" s="1"/>
  <c r="AD302" i="2" s="1"/>
  <c r="AD303" i="2" s="1"/>
  <c r="AD304" i="2" s="1"/>
  <c r="AD305" i="2" s="1"/>
  <c r="AD306" i="2" s="1"/>
  <c r="AD307" i="2" s="1"/>
  <c r="AD308" i="2" s="1"/>
  <c r="AD309" i="2" s="1"/>
  <c r="AD310" i="2" s="1"/>
  <c r="AD311" i="2" s="1"/>
  <c r="AD312" i="2" s="1"/>
  <c r="AD313" i="2" s="1"/>
  <c r="AD314" i="2" s="1"/>
  <c r="AD315" i="2" s="1"/>
  <c r="AD316" i="2" s="1"/>
  <c r="AD317" i="2" s="1"/>
  <c r="AD318" i="2" s="1"/>
  <c r="AD319" i="2" s="1"/>
  <c r="AD320" i="2" s="1"/>
  <c r="AD321" i="2" s="1"/>
  <c r="AD322" i="2" s="1"/>
  <c r="AD323" i="2" s="1"/>
  <c r="AD324" i="2" s="1"/>
  <c r="AD325" i="2" s="1"/>
  <c r="AD326" i="2" s="1"/>
  <c r="AD327" i="2" s="1"/>
  <c r="AD328" i="2" s="1"/>
  <c r="AD329" i="2" s="1"/>
  <c r="AD330" i="2" s="1"/>
  <c r="AD331" i="2" s="1"/>
  <c r="AD332" i="2" s="1"/>
  <c r="AD333" i="2" s="1"/>
  <c r="AD334" i="2" s="1"/>
  <c r="AD335" i="2" s="1"/>
  <c r="AD336" i="2" s="1"/>
  <c r="AD337" i="2" s="1"/>
  <c r="AD338" i="2" s="1"/>
  <c r="AD339" i="2" s="1"/>
  <c r="AD340" i="2" s="1"/>
  <c r="AD341" i="2" s="1"/>
  <c r="AD342" i="2" s="1"/>
  <c r="AD343" i="2" s="1"/>
  <c r="AD344" i="2" s="1"/>
  <c r="AD345" i="2" s="1"/>
  <c r="AD346" i="2" s="1"/>
  <c r="AD347" i="2" s="1"/>
  <c r="AD348" i="2" s="1"/>
  <c r="AD349" i="2" s="1"/>
  <c r="AD350" i="2" s="1"/>
  <c r="AD351" i="2" s="1"/>
  <c r="AD352" i="2" s="1"/>
  <c r="AD353" i="2" s="1"/>
  <c r="AD354" i="2" s="1"/>
  <c r="AD355" i="2" s="1"/>
  <c r="AD356" i="2" s="1"/>
  <c r="AD357" i="2" s="1"/>
  <c r="AD358" i="2" s="1"/>
  <c r="AD359" i="2" s="1"/>
  <c r="AD360" i="2" s="1"/>
  <c r="AD361" i="2" s="1"/>
  <c r="AD362" i="2" s="1"/>
  <c r="AD363" i="2" s="1"/>
  <c r="AD364" i="2" s="1"/>
  <c r="AD365" i="2" s="1"/>
  <c r="AD366" i="2" s="1"/>
  <c r="AD367" i="2" s="1"/>
  <c r="AD368" i="2" s="1"/>
  <c r="AD369" i="2" s="1"/>
  <c r="AD370" i="2" s="1"/>
  <c r="AD371" i="2" s="1"/>
  <c r="AD372" i="2" s="1"/>
  <c r="AD373" i="2" s="1"/>
  <c r="AD374" i="2" s="1"/>
  <c r="AD375" i="2" s="1"/>
  <c r="AD376" i="2" s="1"/>
  <c r="AD377" i="2" s="1"/>
  <c r="AD378" i="2" s="1"/>
  <c r="AD379" i="2" s="1"/>
  <c r="AD380" i="2" s="1"/>
  <c r="AD381" i="2" s="1"/>
  <c r="AD382" i="2" s="1"/>
  <c r="AD383" i="2" s="1"/>
  <c r="AD384" i="2" s="1"/>
  <c r="AD385" i="2" s="1"/>
  <c r="AD386" i="2" s="1"/>
  <c r="AD387" i="2" s="1"/>
  <c r="AD388" i="2" s="1"/>
  <c r="AD389" i="2" s="1"/>
  <c r="AD390" i="2" s="1"/>
  <c r="AD391" i="2" s="1"/>
  <c r="AD392" i="2" s="1"/>
  <c r="AD393" i="2" s="1"/>
  <c r="AD394" i="2" s="1"/>
  <c r="AD395" i="2" s="1"/>
  <c r="AD396" i="2" s="1"/>
  <c r="AD397" i="2" s="1"/>
  <c r="AD398" i="2" s="1"/>
  <c r="AD399" i="2" s="1"/>
  <c r="U68" i="2"/>
  <c r="U34" i="2"/>
  <c r="Z45" i="2"/>
  <c r="U5" i="2"/>
  <c r="Z39" i="2"/>
  <c r="U47" i="2"/>
  <c r="U24" i="2"/>
  <c r="Z46" i="2"/>
  <c r="Z19" i="2"/>
  <c r="U51" i="2"/>
  <c r="U46" i="2"/>
  <c r="Z51" i="2"/>
  <c r="Z11" i="2"/>
  <c r="Z16" i="2"/>
  <c r="Z65" i="2"/>
  <c r="Z81" i="2"/>
  <c r="U23" i="2"/>
  <c r="S4" i="2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U66" i="2"/>
  <c r="Z38" i="2"/>
  <c r="U81" i="2"/>
  <c r="Z82" i="2" s="1"/>
  <c r="Z87" i="2"/>
  <c r="Z44" i="2"/>
  <c r="O499" i="4"/>
  <c r="Y499" i="1"/>
  <c r="G511" i="3"/>
  <c r="H364" i="7"/>
  <c r="H363" i="7"/>
  <c r="H362" i="7"/>
  <c r="H361" i="7"/>
  <c r="H360" i="7"/>
  <c r="H357" i="7"/>
  <c r="H356" i="7"/>
  <c r="H355" i="7"/>
  <c r="H354" i="7"/>
  <c r="H353" i="7"/>
  <c r="H350" i="7"/>
  <c r="H349" i="7"/>
  <c r="H348" i="7"/>
  <c r="H347" i="7"/>
  <c r="H346" i="7"/>
  <c r="H343" i="7"/>
  <c r="H342" i="7"/>
  <c r="H341" i="7"/>
  <c r="H340" i="7"/>
  <c r="H339" i="7"/>
  <c r="H557" i="4"/>
  <c r="H556" i="4"/>
  <c r="H555" i="4"/>
  <c r="H554" i="4"/>
  <c r="H553" i="4"/>
  <c r="H550" i="4"/>
  <c r="H549" i="4"/>
  <c r="H548" i="4"/>
  <c r="H547" i="4"/>
  <c r="H546" i="4"/>
  <c r="H543" i="4"/>
  <c r="H542" i="4"/>
  <c r="H541" i="4"/>
  <c r="H540" i="4"/>
  <c r="H539" i="4"/>
  <c r="H536" i="4"/>
  <c r="H535" i="4"/>
  <c r="H534" i="4"/>
  <c r="H533" i="4"/>
  <c r="H532" i="4"/>
  <c r="H557" i="3"/>
  <c r="H556" i="3"/>
  <c r="H555" i="3"/>
  <c r="H554" i="3"/>
  <c r="H553" i="3"/>
  <c r="H550" i="3"/>
  <c r="H549" i="3"/>
  <c r="H548" i="3"/>
  <c r="H547" i="3"/>
  <c r="H546" i="3"/>
  <c r="H543" i="3"/>
  <c r="H542" i="3"/>
  <c r="H541" i="3"/>
  <c r="H540" i="3"/>
  <c r="H539" i="3"/>
  <c r="H536" i="3"/>
  <c r="H535" i="3"/>
  <c r="H534" i="3"/>
  <c r="H533" i="3"/>
  <c r="H532" i="3"/>
  <c r="C477" i="3"/>
  <c r="H479" i="3" s="1"/>
  <c r="C480" i="3"/>
  <c r="C476" i="3"/>
  <c r="C480" i="4"/>
  <c r="C479" i="4"/>
  <c r="C478" i="4"/>
  <c r="C477" i="4"/>
  <c r="C476" i="4"/>
  <c r="C479" i="3"/>
  <c r="C478" i="3"/>
  <c r="C480" i="1"/>
  <c r="C479" i="1"/>
  <c r="C478" i="1"/>
  <c r="C477" i="1"/>
  <c r="C476" i="1"/>
  <c r="C471" i="1"/>
  <c r="C473" i="1"/>
  <c r="C472" i="1"/>
  <c r="C470" i="1"/>
  <c r="R472" i="1" s="1"/>
  <c r="C469" i="1"/>
  <c r="AF694" i="1" l="1"/>
  <c r="AF695" i="1" s="1"/>
  <c r="AF696" i="1" s="1"/>
  <c r="AF697" i="1" s="1"/>
  <c r="AF698" i="1" s="1"/>
  <c r="AF699" i="1" s="1"/>
  <c r="AF700" i="1" s="1"/>
  <c r="AF701" i="1" s="1"/>
  <c r="AF702" i="1" s="1"/>
  <c r="AF703" i="1" s="1"/>
  <c r="AF704" i="1" s="1"/>
  <c r="AF705" i="1" s="1"/>
  <c r="AF706" i="1" s="1"/>
  <c r="W17" i="5"/>
  <c r="W18" i="5" s="1"/>
  <c r="E17" i="5"/>
  <c r="E18" i="5" s="1"/>
  <c r="AE19" i="5"/>
  <c r="AE20" i="5" s="1"/>
  <c r="U111" i="5"/>
  <c r="Z115" i="5" s="1"/>
  <c r="U112" i="5" s="1"/>
  <c r="Z116" i="5" s="1"/>
  <c r="U48" i="5"/>
  <c r="Z52" i="5" s="1"/>
  <c r="U49" i="5" s="1"/>
  <c r="Z53" i="5" s="1"/>
  <c r="U19" i="5"/>
  <c r="Z21" i="5" s="1"/>
  <c r="E156" i="2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S131" i="2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S204" i="2" s="1"/>
  <c r="S205" i="2" s="1"/>
  <c r="S206" i="2" s="1"/>
  <c r="S207" i="2" s="1"/>
  <c r="S208" i="2" s="1"/>
  <c r="S209" i="2" s="1"/>
  <c r="S210" i="2" s="1"/>
  <c r="S211" i="2" s="1"/>
  <c r="S212" i="2" s="1"/>
  <c r="S213" i="2" s="1"/>
  <c r="S214" i="2" s="1"/>
  <c r="S215" i="2" s="1"/>
  <c r="S216" i="2" s="1"/>
  <c r="S217" i="2" s="1"/>
  <c r="S218" i="2" s="1"/>
  <c r="S219" i="2" s="1"/>
  <c r="S220" i="2" s="1"/>
  <c r="S221" i="2" s="1"/>
  <c r="S222" i="2" s="1"/>
  <c r="S223" i="2" s="1"/>
  <c r="S224" i="2" s="1"/>
  <c r="S225" i="2" s="1"/>
  <c r="S226" i="2" s="1"/>
  <c r="S227" i="2" s="1"/>
  <c r="S228" i="2" s="1"/>
  <c r="S229" i="2" s="1"/>
  <c r="S230" i="2" s="1"/>
  <c r="S231" i="2" s="1"/>
  <c r="S232" i="2" s="1"/>
  <c r="S233" i="2" s="1"/>
  <c r="S234" i="2" s="1"/>
  <c r="S235" i="2" s="1"/>
  <c r="S236" i="2" s="1"/>
  <c r="S237" i="2" s="1"/>
  <c r="S238" i="2" s="1"/>
  <c r="S239" i="2" s="1"/>
  <c r="S240" i="2" s="1"/>
  <c r="S241" i="2" s="1"/>
  <c r="S242" i="2" s="1"/>
  <c r="S243" i="2" s="1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S307" i="2" s="1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S344" i="2" s="1"/>
  <c r="S345" i="2" s="1"/>
  <c r="S346" i="2" s="1"/>
  <c r="S347" i="2" s="1"/>
  <c r="S348" i="2" s="1"/>
  <c r="S349" i="2" s="1"/>
  <c r="S350" i="2" s="1"/>
  <c r="S351" i="2" s="1"/>
  <c r="S352" i="2" s="1"/>
  <c r="S353" i="2" s="1"/>
  <c r="S354" i="2" s="1"/>
  <c r="S355" i="2" s="1"/>
  <c r="S356" i="2" s="1"/>
  <c r="S357" i="2" s="1"/>
  <c r="S358" i="2" s="1"/>
  <c r="S359" i="2" s="1"/>
  <c r="S360" i="2" s="1"/>
  <c r="S361" i="2" s="1"/>
  <c r="S362" i="2" s="1"/>
  <c r="S363" i="2" s="1"/>
  <c r="S364" i="2" s="1"/>
  <c r="S365" i="2" s="1"/>
  <c r="S366" i="2" s="1"/>
  <c r="S367" i="2" s="1"/>
  <c r="S368" i="2" s="1"/>
  <c r="S369" i="2" s="1"/>
  <c r="S370" i="2" s="1"/>
  <c r="S371" i="2" s="1"/>
  <c r="S372" i="2" s="1"/>
  <c r="S373" i="2" s="1"/>
  <c r="S374" i="2" s="1"/>
  <c r="S375" i="2" s="1"/>
  <c r="S376" i="2" s="1"/>
  <c r="S377" i="2" s="1"/>
  <c r="S378" i="2" s="1"/>
  <c r="S379" i="2" s="1"/>
  <c r="S380" i="2" s="1"/>
  <c r="S381" i="2" s="1"/>
  <c r="S382" i="2" s="1"/>
  <c r="S383" i="2" s="1"/>
  <c r="S384" i="2" s="1"/>
  <c r="S385" i="2" s="1"/>
  <c r="S386" i="2" s="1"/>
  <c r="S387" i="2" s="1"/>
  <c r="S388" i="2" s="1"/>
  <c r="S389" i="2" s="1"/>
  <c r="S390" i="2" s="1"/>
  <c r="S391" i="2" s="1"/>
  <c r="S392" i="2" s="1"/>
  <c r="S393" i="2" s="1"/>
  <c r="S394" i="2" s="1"/>
  <c r="S395" i="2" s="1"/>
  <c r="S396" i="2" s="1"/>
  <c r="S397" i="2" s="1"/>
  <c r="S398" i="2" s="1"/>
  <c r="S399" i="2" s="1"/>
  <c r="Z6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Z25" i="2"/>
  <c r="Z67" i="2"/>
  <c r="Z69" i="2"/>
  <c r="Z48" i="2"/>
  <c r="Z52" i="2"/>
  <c r="Z47" i="2"/>
  <c r="Z37" i="2"/>
  <c r="Z24" i="2"/>
  <c r="G465" i="4"/>
  <c r="G465" i="3"/>
  <c r="C463" i="4"/>
  <c r="H465" i="4" s="1"/>
  <c r="H434" i="4"/>
  <c r="U115" i="5" l="1"/>
  <c r="Z117" i="5" s="1"/>
  <c r="U20" i="5"/>
  <c r="Z24" i="5" s="1"/>
  <c r="U21" i="5" s="1"/>
  <c r="Z25" i="5" s="1"/>
  <c r="U52" i="5"/>
  <c r="Z54" i="5" s="1"/>
  <c r="W19" i="5"/>
  <c r="AE21" i="5"/>
  <c r="AE22" i="5" s="1"/>
  <c r="AE23" i="5" s="1"/>
  <c r="E19" i="5"/>
  <c r="E20" i="5" s="1"/>
  <c r="E21" i="5" s="1"/>
  <c r="E22" i="5" s="1"/>
  <c r="E23" i="5" s="1"/>
  <c r="AE4" i="2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E54" i="2" s="1"/>
  <c r="AE55" i="2" s="1"/>
  <c r="AE56" i="2" s="1"/>
  <c r="AE57" i="2" s="1"/>
  <c r="AE58" i="2" s="1"/>
  <c r="AE59" i="2" s="1"/>
  <c r="AE60" i="2" s="1"/>
  <c r="AE61" i="2" s="1"/>
  <c r="AE62" i="2" s="1"/>
  <c r="AE63" i="2" s="1"/>
  <c r="AE64" i="2" s="1"/>
  <c r="AE65" i="2" s="1"/>
  <c r="AE66" i="2" s="1"/>
  <c r="AE67" i="2" s="1"/>
  <c r="AE68" i="2" s="1"/>
  <c r="AE69" i="2" s="1"/>
  <c r="AE70" i="2" s="1"/>
  <c r="AE71" i="2" s="1"/>
  <c r="AE72" i="2" s="1"/>
  <c r="AE73" i="2" s="1"/>
  <c r="AE74" i="2" s="1"/>
  <c r="AE75" i="2" s="1"/>
  <c r="AE76" i="2" s="1"/>
  <c r="AE77" i="2" s="1"/>
  <c r="AE78" i="2" s="1"/>
  <c r="AE79" i="2" s="1"/>
  <c r="AE80" i="2" s="1"/>
  <c r="AE81" i="2" s="1"/>
  <c r="AE82" i="2" s="1"/>
  <c r="W4" i="2"/>
  <c r="W5" i="2" s="1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W168" i="2" s="1"/>
  <c r="W169" i="2" s="1"/>
  <c r="W170" i="2" s="1"/>
  <c r="W171" i="2" s="1"/>
  <c r="W172" i="2" s="1"/>
  <c r="W173" i="2" s="1"/>
  <c r="W174" i="2" s="1"/>
  <c r="W175" i="2" s="1"/>
  <c r="W176" i="2" s="1"/>
  <c r="W177" i="2" s="1"/>
  <c r="W178" i="2" s="1"/>
  <c r="W179" i="2" s="1"/>
  <c r="W180" i="2" s="1"/>
  <c r="W181" i="2" s="1"/>
  <c r="W182" i="2" s="1"/>
  <c r="W183" i="2" s="1"/>
  <c r="W184" i="2" s="1"/>
  <c r="W185" i="2" s="1"/>
  <c r="W186" i="2" s="1"/>
  <c r="W187" i="2" s="1"/>
  <c r="W188" i="2" s="1"/>
  <c r="W189" i="2" s="1"/>
  <c r="W190" i="2" s="1"/>
  <c r="W191" i="2" s="1"/>
  <c r="W192" i="2" s="1"/>
  <c r="W193" i="2" s="1"/>
  <c r="W194" i="2" s="1"/>
  <c r="W195" i="2" s="1"/>
  <c r="W196" i="2" s="1"/>
  <c r="W197" i="2" s="1"/>
  <c r="W198" i="2" s="1"/>
  <c r="W199" i="2" s="1"/>
  <c r="W200" i="2" s="1"/>
  <c r="W201" i="2" s="1"/>
  <c r="W202" i="2" s="1"/>
  <c r="W203" i="2" s="1"/>
  <c r="W204" i="2" s="1"/>
  <c r="W205" i="2" s="1"/>
  <c r="W206" i="2" s="1"/>
  <c r="W207" i="2" s="1"/>
  <c r="W208" i="2" s="1"/>
  <c r="W209" i="2" s="1"/>
  <c r="W210" i="2" s="1"/>
  <c r="W211" i="2" s="1"/>
  <c r="W212" i="2" s="1"/>
  <c r="W213" i="2" s="1"/>
  <c r="W214" i="2" s="1"/>
  <c r="W215" i="2" s="1"/>
  <c r="W216" i="2" s="1"/>
  <c r="W217" i="2" s="1"/>
  <c r="W218" i="2" s="1"/>
  <c r="W219" i="2" s="1"/>
  <c r="W220" i="2" s="1"/>
  <c r="W221" i="2" s="1"/>
  <c r="W222" i="2" s="1"/>
  <c r="W223" i="2" s="1"/>
  <c r="W224" i="2" s="1"/>
  <c r="W225" i="2" s="1"/>
  <c r="W226" i="2" s="1"/>
  <c r="W227" i="2" s="1"/>
  <c r="W228" i="2" s="1"/>
  <c r="W229" i="2" s="1"/>
  <c r="W230" i="2" s="1"/>
  <c r="W231" i="2" s="1"/>
  <c r="W232" i="2" s="1"/>
  <c r="W233" i="2" s="1"/>
  <c r="W234" i="2" s="1"/>
  <c r="W235" i="2" s="1"/>
  <c r="W236" i="2" s="1"/>
  <c r="W237" i="2" s="1"/>
  <c r="W238" i="2" s="1"/>
  <c r="W239" i="2" s="1"/>
  <c r="W240" i="2" s="1"/>
  <c r="W241" i="2" s="1"/>
  <c r="W242" i="2" s="1"/>
  <c r="W243" i="2" s="1"/>
  <c r="W244" i="2" s="1"/>
  <c r="W245" i="2" s="1"/>
  <c r="W246" i="2" s="1"/>
  <c r="W247" i="2" s="1"/>
  <c r="W248" i="2" s="1"/>
  <c r="W249" i="2" s="1"/>
  <c r="W250" i="2" s="1"/>
  <c r="W251" i="2" s="1"/>
  <c r="W252" i="2" s="1"/>
  <c r="W253" i="2" s="1"/>
  <c r="W254" i="2" s="1"/>
  <c r="W255" i="2" s="1"/>
  <c r="W256" i="2" s="1"/>
  <c r="W257" i="2" s="1"/>
  <c r="W258" i="2" s="1"/>
  <c r="W259" i="2" s="1"/>
  <c r="W260" i="2" s="1"/>
  <c r="W261" i="2" s="1"/>
  <c r="W262" i="2" s="1"/>
  <c r="W263" i="2" s="1"/>
  <c r="W264" i="2" s="1"/>
  <c r="W265" i="2" s="1"/>
  <c r="W266" i="2" s="1"/>
  <c r="W267" i="2" s="1"/>
  <c r="W268" i="2" s="1"/>
  <c r="W269" i="2" s="1"/>
  <c r="W270" i="2" s="1"/>
  <c r="W271" i="2" s="1"/>
  <c r="W272" i="2" s="1"/>
  <c r="W273" i="2" s="1"/>
  <c r="W274" i="2" s="1"/>
  <c r="W275" i="2" s="1"/>
  <c r="W276" i="2" s="1"/>
  <c r="W277" i="2" s="1"/>
  <c r="W278" i="2" s="1"/>
  <c r="W279" i="2" s="1"/>
  <c r="W280" i="2" s="1"/>
  <c r="W281" i="2" s="1"/>
  <c r="W282" i="2" s="1"/>
  <c r="W283" i="2" s="1"/>
  <c r="W284" i="2" s="1"/>
  <c r="W285" i="2" s="1"/>
  <c r="W286" i="2" s="1"/>
  <c r="W287" i="2" s="1"/>
  <c r="W288" i="2" s="1"/>
  <c r="W289" i="2" s="1"/>
  <c r="W290" i="2" s="1"/>
  <c r="W291" i="2" s="1"/>
  <c r="W292" i="2" s="1"/>
  <c r="W293" i="2" s="1"/>
  <c r="W294" i="2" s="1"/>
  <c r="W295" i="2" s="1"/>
  <c r="W296" i="2" s="1"/>
  <c r="W297" i="2" s="1"/>
  <c r="W298" i="2" s="1"/>
  <c r="W299" i="2" s="1"/>
  <c r="W300" i="2" s="1"/>
  <c r="W301" i="2" s="1"/>
  <c r="W302" i="2" s="1"/>
  <c r="W303" i="2" s="1"/>
  <c r="W304" i="2" s="1"/>
  <c r="W305" i="2" s="1"/>
  <c r="W306" i="2" s="1"/>
  <c r="W307" i="2" s="1"/>
  <c r="W308" i="2" s="1"/>
  <c r="W309" i="2" s="1"/>
  <c r="W310" i="2" s="1"/>
  <c r="W311" i="2" s="1"/>
  <c r="W312" i="2" s="1"/>
  <c r="W313" i="2" s="1"/>
  <c r="W314" i="2" s="1"/>
  <c r="W315" i="2" s="1"/>
  <c r="W316" i="2" s="1"/>
  <c r="W317" i="2" s="1"/>
  <c r="W318" i="2" s="1"/>
  <c r="W319" i="2" s="1"/>
  <c r="W320" i="2" s="1"/>
  <c r="W321" i="2" s="1"/>
  <c r="W322" i="2" s="1"/>
  <c r="W323" i="2" s="1"/>
  <c r="W324" i="2" s="1"/>
  <c r="W325" i="2" s="1"/>
  <c r="W326" i="2" s="1"/>
  <c r="W327" i="2" s="1"/>
  <c r="W328" i="2" s="1"/>
  <c r="W329" i="2" s="1"/>
  <c r="W330" i="2" s="1"/>
  <c r="W331" i="2" s="1"/>
  <c r="W332" i="2" s="1"/>
  <c r="W333" i="2" s="1"/>
  <c r="W334" i="2" s="1"/>
  <c r="W335" i="2" s="1"/>
  <c r="W336" i="2" s="1"/>
  <c r="W337" i="2" s="1"/>
  <c r="W338" i="2" s="1"/>
  <c r="W339" i="2" s="1"/>
  <c r="W340" i="2" s="1"/>
  <c r="W341" i="2" s="1"/>
  <c r="W342" i="2" s="1"/>
  <c r="W343" i="2" s="1"/>
  <c r="W344" i="2" s="1"/>
  <c r="W345" i="2" s="1"/>
  <c r="W346" i="2" s="1"/>
  <c r="W347" i="2" s="1"/>
  <c r="W348" i="2" s="1"/>
  <c r="W349" i="2" s="1"/>
  <c r="W350" i="2" s="1"/>
  <c r="W351" i="2" s="1"/>
  <c r="W352" i="2" s="1"/>
  <c r="W353" i="2" s="1"/>
  <c r="W354" i="2" s="1"/>
  <c r="W355" i="2" s="1"/>
  <c r="W356" i="2" s="1"/>
  <c r="W357" i="2" s="1"/>
  <c r="W358" i="2" s="1"/>
  <c r="W359" i="2" s="1"/>
  <c r="W360" i="2" s="1"/>
  <c r="W361" i="2" s="1"/>
  <c r="W362" i="2" s="1"/>
  <c r="W363" i="2" s="1"/>
  <c r="W364" i="2" s="1"/>
  <c r="W365" i="2" s="1"/>
  <c r="W366" i="2" s="1"/>
  <c r="W367" i="2" s="1"/>
  <c r="W368" i="2" s="1"/>
  <c r="W369" i="2" s="1"/>
  <c r="W370" i="2" s="1"/>
  <c r="W371" i="2" s="1"/>
  <c r="W372" i="2" s="1"/>
  <c r="W373" i="2" s="1"/>
  <c r="W374" i="2" s="1"/>
  <c r="W375" i="2" s="1"/>
  <c r="W376" i="2" s="1"/>
  <c r="W377" i="2" s="1"/>
  <c r="W378" i="2" s="1"/>
  <c r="W379" i="2" s="1"/>
  <c r="W380" i="2" s="1"/>
  <c r="W381" i="2" s="1"/>
  <c r="W382" i="2" s="1"/>
  <c r="W383" i="2" s="1"/>
  <c r="W384" i="2" s="1"/>
  <c r="W385" i="2" s="1"/>
  <c r="W386" i="2" s="1"/>
  <c r="W387" i="2" s="1"/>
  <c r="W388" i="2" s="1"/>
  <c r="W389" i="2" s="1"/>
  <c r="W390" i="2" s="1"/>
  <c r="W391" i="2" s="1"/>
  <c r="W392" i="2" s="1"/>
  <c r="W393" i="2" s="1"/>
  <c r="W394" i="2" s="1"/>
  <c r="W395" i="2" s="1"/>
  <c r="W396" i="2" s="1"/>
  <c r="W397" i="2" s="1"/>
  <c r="W398" i="2" s="1"/>
  <c r="W399" i="2" s="1"/>
  <c r="G463" i="3"/>
  <c r="D905" i="4"/>
  <c r="D906" i="4"/>
  <c r="D907" i="4"/>
  <c r="D908" i="4"/>
  <c r="D909" i="4"/>
  <c r="D906" i="3"/>
  <c r="D905" i="3"/>
  <c r="H336" i="7"/>
  <c r="H335" i="7"/>
  <c r="H334" i="7"/>
  <c r="H333" i="7"/>
  <c r="H332" i="7"/>
  <c r="H329" i="7"/>
  <c r="H328" i="7"/>
  <c r="H327" i="7"/>
  <c r="H326" i="7"/>
  <c r="H325" i="7"/>
  <c r="H322" i="7"/>
  <c r="H321" i="7"/>
  <c r="H320" i="7"/>
  <c r="H319" i="7"/>
  <c r="H318" i="7"/>
  <c r="H315" i="7"/>
  <c r="H314" i="7"/>
  <c r="H313" i="7"/>
  <c r="H312" i="7"/>
  <c r="H308" i="7"/>
  <c r="Q529" i="4"/>
  <c r="Q522" i="4"/>
  <c r="Q515" i="4"/>
  <c r="Q508" i="4"/>
  <c r="Q501" i="4"/>
  <c r="C459" i="4"/>
  <c r="C458" i="4"/>
  <c r="C457" i="4"/>
  <c r="C456" i="4"/>
  <c r="C459" i="3"/>
  <c r="C458" i="3"/>
  <c r="C457" i="3"/>
  <c r="C456" i="3"/>
  <c r="AE24" i="5" l="1"/>
  <c r="AE25" i="5" s="1"/>
  <c r="W20" i="5"/>
  <c r="W21" i="5" s="1"/>
  <c r="W22" i="5" s="1"/>
  <c r="W23" i="5" s="1"/>
  <c r="U116" i="5"/>
  <c r="Z118" i="5" s="1"/>
  <c r="U117" i="5" s="1"/>
  <c r="Z119" i="5" s="1"/>
  <c r="U118" i="5" s="1"/>
  <c r="Z122" i="5" s="1"/>
  <c r="U119" i="5" s="1"/>
  <c r="Z123" i="5" s="1"/>
  <c r="U53" i="5"/>
  <c r="Z55" i="5" s="1"/>
  <c r="U24" i="5"/>
  <c r="Z26" i="5" s="1"/>
  <c r="E24" i="5"/>
  <c r="Q529" i="3"/>
  <c r="Q522" i="3"/>
  <c r="Q515" i="3"/>
  <c r="Q508" i="3"/>
  <c r="Q501" i="3"/>
  <c r="Z522" i="1"/>
  <c r="Z515" i="1"/>
  <c r="Z508" i="1"/>
  <c r="Z501" i="1"/>
  <c r="C459" i="1"/>
  <c r="C458" i="1"/>
  <c r="C457" i="1"/>
  <c r="C456" i="1"/>
  <c r="H529" i="4"/>
  <c r="H528" i="4"/>
  <c r="H527" i="4"/>
  <c r="H526" i="4"/>
  <c r="H525" i="4"/>
  <c r="H522" i="4"/>
  <c r="H521" i="4"/>
  <c r="H520" i="4"/>
  <c r="H519" i="4"/>
  <c r="H518" i="4"/>
  <c r="H515" i="4"/>
  <c r="H514" i="4"/>
  <c r="H513" i="4"/>
  <c r="H512" i="4"/>
  <c r="H511" i="4"/>
  <c r="H506" i="4"/>
  <c r="H505" i="4"/>
  <c r="H508" i="4"/>
  <c r="H507" i="4"/>
  <c r="H501" i="4"/>
  <c r="H529" i="3"/>
  <c r="H528" i="3"/>
  <c r="H527" i="3"/>
  <c r="H526" i="3"/>
  <c r="H525" i="3"/>
  <c r="H522" i="3"/>
  <c r="H521" i="3"/>
  <c r="H520" i="3"/>
  <c r="H519" i="3"/>
  <c r="H518" i="3"/>
  <c r="H515" i="3"/>
  <c r="H514" i="3"/>
  <c r="H513" i="3"/>
  <c r="H512" i="3"/>
  <c r="H511" i="3"/>
  <c r="H506" i="3"/>
  <c r="H505" i="3"/>
  <c r="H508" i="3"/>
  <c r="H507" i="3"/>
  <c r="H501" i="3"/>
  <c r="R529" i="1"/>
  <c r="AB529" i="1" s="1"/>
  <c r="R528" i="1"/>
  <c r="AB528" i="1" s="1"/>
  <c r="R515" i="1"/>
  <c r="R514" i="1"/>
  <c r="R513" i="1"/>
  <c r="R512" i="1"/>
  <c r="R511" i="1"/>
  <c r="R506" i="1"/>
  <c r="R508" i="1"/>
  <c r="R507" i="1"/>
  <c r="R501" i="1"/>
  <c r="C449" i="1"/>
  <c r="U122" i="5" l="1"/>
  <c r="Z124" i="5" s="1"/>
  <c r="U54" i="5"/>
  <c r="Z56" i="5" s="1"/>
  <c r="U25" i="5"/>
  <c r="Z27" i="5" s="1"/>
  <c r="E25" i="5"/>
  <c r="AE26" i="5"/>
  <c r="W24" i="5"/>
  <c r="AG548" i="1"/>
  <c r="AG549" i="1" s="1"/>
  <c r="G445" i="3"/>
  <c r="H307" i="7"/>
  <c r="H306" i="7"/>
  <c r="H305" i="7"/>
  <c r="H304" i="7"/>
  <c r="H301" i="7"/>
  <c r="H300" i="7"/>
  <c r="H299" i="7"/>
  <c r="H298" i="7"/>
  <c r="H297" i="7"/>
  <c r="H292" i="7"/>
  <c r="H291" i="7"/>
  <c r="H294" i="7"/>
  <c r="H293" i="7"/>
  <c r="H287" i="7"/>
  <c r="H286" i="7"/>
  <c r="H285" i="7"/>
  <c r="H284" i="7"/>
  <c r="H283" i="7"/>
  <c r="H280" i="7"/>
  <c r="H279" i="7"/>
  <c r="H278" i="7"/>
  <c r="H277" i="7"/>
  <c r="H276" i="7"/>
  <c r="R436" i="1"/>
  <c r="G434" i="3"/>
  <c r="Q494" i="4"/>
  <c r="Q487" i="4"/>
  <c r="Q480" i="4"/>
  <c r="Q473" i="4"/>
  <c r="Q494" i="3"/>
  <c r="Q487" i="3"/>
  <c r="Q480" i="3"/>
  <c r="Q473" i="3"/>
  <c r="C431" i="3"/>
  <c r="C430" i="3"/>
  <c r="Z494" i="1"/>
  <c r="Z487" i="1"/>
  <c r="Z480" i="1"/>
  <c r="Z473" i="1"/>
  <c r="H500" i="4"/>
  <c r="H499" i="4"/>
  <c r="H498" i="4"/>
  <c r="H497" i="4"/>
  <c r="H494" i="4"/>
  <c r="H493" i="4"/>
  <c r="H492" i="4"/>
  <c r="H491" i="4"/>
  <c r="H490" i="4"/>
  <c r="H487" i="4"/>
  <c r="H486" i="4"/>
  <c r="H485" i="4"/>
  <c r="H484" i="4"/>
  <c r="H480" i="4"/>
  <c r="H479" i="4"/>
  <c r="H478" i="4"/>
  <c r="H477" i="4"/>
  <c r="H476" i="4"/>
  <c r="H473" i="4"/>
  <c r="H472" i="4"/>
  <c r="H471" i="4"/>
  <c r="H470" i="4"/>
  <c r="H469" i="4"/>
  <c r="H500" i="3"/>
  <c r="H499" i="3"/>
  <c r="H498" i="3"/>
  <c r="H497" i="3"/>
  <c r="H494" i="3"/>
  <c r="H493" i="3"/>
  <c r="H492" i="3"/>
  <c r="H491" i="3"/>
  <c r="H490" i="3"/>
  <c r="H487" i="3"/>
  <c r="H486" i="3"/>
  <c r="H485" i="3"/>
  <c r="H484" i="3"/>
  <c r="H480" i="3"/>
  <c r="H478" i="3"/>
  <c r="H477" i="3"/>
  <c r="H476" i="3"/>
  <c r="H473" i="3"/>
  <c r="H472" i="3"/>
  <c r="H471" i="3"/>
  <c r="H470" i="3"/>
  <c r="H469" i="3"/>
  <c r="U123" i="5" l="1"/>
  <c r="Z125" i="5" s="1"/>
  <c r="U124" i="5" s="1"/>
  <c r="Z126" i="5" s="1"/>
  <c r="U125" i="5" s="1"/>
  <c r="Z129" i="5" s="1"/>
  <c r="U126" i="5" s="1"/>
  <c r="Z130" i="5" s="1"/>
  <c r="U55" i="5"/>
  <c r="Z59" i="5" s="1"/>
  <c r="AE27" i="5"/>
  <c r="E26" i="5"/>
  <c r="W25" i="5"/>
  <c r="R500" i="1"/>
  <c r="R499" i="1"/>
  <c r="R498" i="1"/>
  <c r="R497" i="1"/>
  <c r="R494" i="1"/>
  <c r="R493" i="1"/>
  <c r="R492" i="1"/>
  <c r="R491" i="1"/>
  <c r="R490" i="1"/>
  <c r="R487" i="1"/>
  <c r="R486" i="1"/>
  <c r="R485" i="1"/>
  <c r="R484" i="1"/>
  <c r="R480" i="1"/>
  <c r="R479" i="1"/>
  <c r="R478" i="1"/>
  <c r="R477" i="1"/>
  <c r="R476" i="1"/>
  <c r="R473" i="1"/>
  <c r="R471" i="1"/>
  <c r="R407" i="1"/>
  <c r="U129" i="5" l="1"/>
  <c r="Z131" i="5" s="1"/>
  <c r="AK59" i="5"/>
  <c r="U56" i="5"/>
  <c r="Z60" i="5" s="1"/>
  <c r="U26" i="5"/>
  <c r="Z28" i="5" s="1"/>
  <c r="H402" i="4"/>
  <c r="U130" i="5" l="1"/>
  <c r="Z132" i="5" s="1"/>
  <c r="AE28" i="5"/>
  <c r="AE29" i="5" s="1"/>
  <c r="AE30" i="5" s="1"/>
  <c r="W26" i="5"/>
  <c r="E27" i="5"/>
  <c r="U59" i="5"/>
  <c r="Z61" i="5" s="1"/>
  <c r="AK60" i="5"/>
  <c r="O386" i="3"/>
  <c r="C396" i="3"/>
  <c r="C393" i="3"/>
  <c r="C394" i="3"/>
  <c r="C395" i="3"/>
  <c r="C396" i="4"/>
  <c r="C395" i="4"/>
  <c r="C394" i="4"/>
  <c r="C393" i="4"/>
  <c r="C396" i="1"/>
  <c r="C395" i="1"/>
  <c r="C394" i="1"/>
  <c r="C393" i="1"/>
  <c r="H389" i="3"/>
  <c r="U131" i="5" l="1"/>
  <c r="Z133" i="5" s="1"/>
  <c r="U132" i="5" s="1"/>
  <c r="Z136" i="5" s="1"/>
  <c r="U133" i="5" s="1"/>
  <c r="Z137" i="5" s="1"/>
  <c r="U136" i="5" s="1"/>
  <c r="Z138" i="5" s="1"/>
  <c r="U137" i="5" s="1"/>
  <c r="Z139" i="5" s="1"/>
  <c r="U60" i="5"/>
  <c r="Z62" i="5" s="1"/>
  <c r="AK61" i="5"/>
  <c r="U27" i="5"/>
  <c r="C386" i="3"/>
  <c r="H388" i="3" s="1"/>
  <c r="C385" i="3"/>
  <c r="H387" i="3" s="1"/>
  <c r="Q466" i="4"/>
  <c r="Q459" i="4"/>
  <c r="Q452" i="4"/>
  <c r="Q445" i="4"/>
  <c r="Q466" i="3"/>
  <c r="Q459" i="3"/>
  <c r="Q452" i="3"/>
  <c r="Q445" i="3"/>
  <c r="Z466" i="1"/>
  <c r="Z459" i="1"/>
  <c r="Z452" i="1"/>
  <c r="Z445" i="1"/>
  <c r="R469" i="1"/>
  <c r="R466" i="1"/>
  <c r="R464" i="1"/>
  <c r="R463" i="1"/>
  <c r="R462" i="1"/>
  <c r="R459" i="1"/>
  <c r="R458" i="1"/>
  <c r="R457" i="1"/>
  <c r="R456" i="1"/>
  <c r="R452" i="1"/>
  <c r="R451" i="1"/>
  <c r="R450" i="1"/>
  <c r="R449" i="1"/>
  <c r="R448" i="1"/>
  <c r="R445" i="1"/>
  <c r="R444" i="1"/>
  <c r="R443" i="1"/>
  <c r="R442" i="1"/>
  <c r="R441" i="1"/>
  <c r="H273" i="7"/>
  <c r="H272" i="7"/>
  <c r="H271" i="7"/>
  <c r="H270" i="7"/>
  <c r="H269" i="7"/>
  <c r="H266" i="7"/>
  <c r="H265" i="7"/>
  <c r="H264" i="7"/>
  <c r="H263" i="7"/>
  <c r="H259" i="7"/>
  <c r="H258" i="7"/>
  <c r="H257" i="7"/>
  <c r="H256" i="7"/>
  <c r="H255" i="7"/>
  <c r="H252" i="7"/>
  <c r="H251" i="7"/>
  <c r="H250" i="7"/>
  <c r="H249" i="7"/>
  <c r="H248" i="7"/>
  <c r="H466" i="4"/>
  <c r="H464" i="4"/>
  <c r="H463" i="4"/>
  <c r="H462" i="4"/>
  <c r="H457" i="4"/>
  <c r="H456" i="4"/>
  <c r="H459" i="4"/>
  <c r="H458" i="4"/>
  <c r="H452" i="4"/>
  <c r="H451" i="4"/>
  <c r="H450" i="4"/>
  <c r="H449" i="4"/>
  <c r="H448" i="4"/>
  <c r="H445" i="4"/>
  <c r="H444" i="4"/>
  <c r="H443" i="4"/>
  <c r="H442" i="4"/>
  <c r="H441" i="4"/>
  <c r="H466" i="3"/>
  <c r="H465" i="3"/>
  <c r="H464" i="3"/>
  <c r="H463" i="3"/>
  <c r="H462" i="3"/>
  <c r="H459" i="3"/>
  <c r="H458" i="3"/>
  <c r="H457" i="3"/>
  <c r="H456" i="3"/>
  <c r="H452" i="3"/>
  <c r="H451" i="3"/>
  <c r="H450" i="3"/>
  <c r="H449" i="3"/>
  <c r="H448" i="3"/>
  <c r="H445" i="3"/>
  <c r="H444" i="3"/>
  <c r="H443" i="3"/>
  <c r="H442" i="3"/>
  <c r="H441" i="3"/>
  <c r="U138" i="5" l="1"/>
  <c r="Z140" i="5" s="1"/>
  <c r="U61" i="5"/>
  <c r="Z63" i="5" s="1"/>
  <c r="AK62" i="5"/>
  <c r="Z31" i="5"/>
  <c r="W27" i="5"/>
  <c r="R393" i="1"/>
  <c r="T393" i="1"/>
  <c r="J388" i="4"/>
  <c r="H386" i="4"/>
  <c r="H385" i="4"/>
  <c r="J388" i="3"/>
  <c r="H386" i="3"/>
  <c r="H385" i="3"/>
  <c r="R386" i="1"/>
  <c r="R385" i="1"/>
  <c r="R389" i="1"/>
  <c r="R388" i="1"/>
  <c r="R387" i="1"/>
  <c r="Y358" i="1"/>
  <c r="H245" i="7"/>
  <c r="H244" i="7"/>
  <c r="H243" i="7"/>
  <c r="H242" i="7"/>
  <c r="H241" i="7"/>
  <c r="H238" i="7"/>
  <c r="H237" i="7"/>
  <c r="H236" i="7"/>
  <c r="H235" i="7"/>
  <c r="H234" i="7"/>
  <c r="H224" i="7"/>
  <c r="H223" i="7"/>
  <c r="H222" i="7"/>
  <c r="H221" i="7"/>
  <c r="H220" i="7"/>
  <c r="H217" i="7"/>
  <c r="H216" i="7"/>
  <c r="H215" i="7"/>
  <c r="H214" i="7"/>
  <c r="H213" i="7"/>
  <c r="H210" i="7"/>
  <c r="H209" i="7"/>
  <c r="H208" i="7"/>
  <c r="H207" i="7"/>
  <c r="H206" i="7"/>
  <c r="H203" i="7"/>
  <c r="H202" i="7"/>
  <c r="H201" i="7"/>
  <c r="H200" i="7"/>
  <c r="H196" i="7"/>
  <c r="H195" i="7"/>
  <c r="H194" i="7"/>
  <c r="H193" i="7"/>
  <c r="H192" i="7"/>
  <c r="H189" i="7"/>
  <c r="H188" i="7"/>
  <c r="H187" i="7"/>
  <c r="H186" i="7"/>
  <c r="H185" i="7"/>
  <c r="Q438" i="4"/>
  <c r="Q431" i="4"/>
  <c r="Q417" i="4"/>
  <c r="Q410" i="4"/>
  <c r="H438" i="4"/>
  <c r="H437" i="4"/>
  <c r="H436" i="4"/>
  <c r="H435" i="4"/>
  <c r="H417" i="4"/>
  <c r="H428" i="4"/>
  <c r="H427" i="4"/>
  <c r="H431" i="4"/>
  <c r="H430" i="4"/>
  <c r="H429" i="4"/>
  <c r="H416" i="4"/>
  <c r="H415" i="4"/>
  <c r="H414" i="4"/>
  <c r="H413" i="4"/>
  <c r="H410" i="4"/>
  <c r="H409" i="4"/>
  <c r="H408" i="4"/>
  <c r="H407" i="4"/>
  <c r="H406" i="4"/>
  <c r="Q438" i="3"/>
  <c r="Q431" i="3"/>
  <c r="Q417" i="3"/>
  <c r="Q410" i="3"/>
  <c r="H438" i="3"/>
  <c r="H437" i="3"/>
  <c r="H436" i="3"/>
  <c r="H435" i="3"/>
  <c r="H434" i="3"/>
  <c r="H428" i="3"/>
  <c r="H427" i="3"/>
  <c r="H431" i="3"/>
  <c r="H430" i="3"/>
  <c r="H429" i="3"/>
  <c r="H417" i="3"/>
  <c r="H416" i="3"/>
  <c r="H415" i="3"/>
  <c r="H414" i="3"/>
  <c r="H413" i="3"/>
  <c r="H410" i="3"/>
  <c r="H409" i="3"/>
  <c r="H408" i="3"/>
  <c r="H407" i="3"/>
  <c r="H406" i="3"/>
  <c r="Z438" i="1"/>
  <c r="Z431" i="1"/>
  <c r="Z417" i="1"/>
  <c r="Z410" i="1"/>
  <c r="R438" i="1"/>
  <c r="R437" i="1"/>
  <c r="R435" i="1"/>
  <c r="R434" i="1"/>
  <c r="R431" i="1"/>
  <c r="R430" i="1"/>
  <c r="R429" i="1"/>
  <c r="R428" i="1"/>
  <c r="R427" i="1"/>
  <c r="R417" i="1"/>
  <c r="R416" i="1"/>
  <c r="R415" i="1"/>
  <c r="R414" i="1"/>
  <c r="R413" i="1"/>
  <c r="R410" i="1"/>
  <c r="R409" i="1"/>
  <c r="R408" i="1"/>
  <c r="R406" i="1"/>
  <c r="AE31" i="5" l="1"/>
  <c r="U139" i="5"/>
  <c r="Z143" i="5" s="1"/>
  <c r="U140" i="5" s="1"/>
  <c r="Z144" i="5" s="1"/>
  <c r="U62" i="5"/>
  <c r="Z66" i="5" s="1"/>
  <c r="AK63" i="5"/>
  <c r="R182" i="1"/>
  <c r="R175" i="1"/>
  <c r="Z403" i="1"/>
  <c r="Z396" i="1"/>
  <c r="C354" i="1"/>
  <c r="C353" i="1"/>
  <c r="C352" i="1"/>
  <c r="C351" i="1"/>
  <c r="C350" i="1"/>
  <c r="C354" i="4"/>
  <c r="C350" i="4"/>
  <c r="U143" i="5" l="1"/>
  <c r="Z145" i="5" s="1"/>
  <c r="U144" i="5" s="1"/>
  <c r="Z146" i="5" s="1"/>
  <c r="U63" i="5"/>
  <c r="Z67" i="5" s="1"/>
  <c r="AK66" i="5"/>
  <c r="U28" i="5"/>
  <c r="E28" i="5"/>
  <c r="E29" i="5" s="1"/>
  <c r="E30" i="5" s="1"/>
  <c r="C354" i="3"/>
  <c r="C353" i="3"/>
  <c r="C352" i="3"/>
  <c r="C351" i="3"/>
  <c r="C350" i="3"/>
  <c r="C353" i="4"/>
  <c r="C352" i="4"/>
  <c r="C351" i="4"/>
  <c r="C347" i="4"/>
  <c r="C346" i="4"/>
  <c r="C347" i="1"/>
  <c r="C346" i="1"/>
  <c r="C343" i="1"/>
  <c r="O329" i="3"/>
  <c r="U145" i="5" l="1"/>
  <c r="Z147" i="5" s="1"/>
  <c r="Z32" i="5"/>
  <c r="W28" i="5"/>
  <c r="W29" i="5" s="1"/>
  <c r="W30" i="5" s="1"/>
  <c r="U66" i="5"/>
  <c r="Z68" i="5" s="1"/>
  <c r="AK67" i="5"/>
  <c r="Q403" i="4"/>
  <c r="Q396" i="4"/>
  <c r="Q389" i="4"/>
  <c r="Q382" i="4"/>
  <c r="H403" i="4"/>
  <c r="H401" i="4"/>
  <c r="H400" i="4"/>
  <c r="H399" i="4"/>
  <c r="H396" i="4"/>
  <c r="H394" i="4"/>
  <c r="H393" i="4"/>
  <c r="H395" i="4"/>
  <c r="H389" i="4"/>
  <c r="H388" i="4"/>
  <c r="H387" i="4"/>
  <c r="H381" i="4"/>
  <c r="H380" i="4"/>
  <c r="H379" i="4"/>
  <c r="H378" i="4"/>
  <c r="Q403" i="3"/>
  <c r="Q396" i="3"/>
  <c r="Q389" i="3"/>
  <c r="Q382" i="3"/>
  <c r="H403" i="3"/>
  <c r="H402" i="3"/>
  <c r="H401" i="3"/>
  <c r="H400" i="3"/>
  <c r="H399" i="3"/>
  <c r="H396" i="3"/>
  <c r="H395" i="3"/>
  <c r="H394" i="3"/>
  <c r="H393" i="3"/>
  <c r="H381" i="3"/>
  <c r="H380" i="3"/>
  <c r="H379" i="3"/>
  <c r="H378" i="3"/>
  <c r="R403" i="1"/>
  <c r="R402" i="1"/>
  <c r="R401" i="1"/>
  <c r="R400" i="1"/>
  <c r="R399" i="1"/>
  <c r="R396" i="1"/>
  <c r="R395" i="1"/>
  <c r="R394" i="1"/>
  <c r="R381" i="1"/>
  <c r="R380" i="1"/>
  <c r="R379" i="1"/>
  <c r="R378" i="1"/>
  <c r="Z389" i="1"/>
  <c r="Z382" i="1"/>
  <c r="U146" i="5" l="1"/>
  <c r="Z150" i="5" s="1"/>
  <c r="U147" i="5" s="1"/>
  <c r="Z151" i="5" s="1"/>
  <c r="AE32" i="5"/>
  <c r="U67" i="5"/>
  <c r="Z69" i="5" s="1"/>
  <c r="AK68" i="5"/>
  <c r="O323" i="3"/>
  <c r="C323" i="1"/>
  <c r="C325" i="1"/>
  <c r="C324" i="1"/>
  <c r="C322" i="1"/>
  <c r="U150" i="5" l="1"/>
  <c r="Z152" i="5" s="1"/>
  <c r="U151" i="5" s="1"/>
  <c r="Z153" i="5" s="1"/>
  <c r="U31" i="5"/>
  <c r="E31" i="5"/>
  <c r="U68" i="5"/>
  <c r="Z70" i="5" s="1"/>
  <c r="AK69" i="5"/>
  <c r="C324" i="4"/>
  <c r="C325" i="4"/>
  <c r="C323" i="4"/>
  <c r="C322" i="4"/>
  <c r="C330" i="4"/>
  <c r="C339" i="3"/>
  <c r="C332" i="3"/>
  <c r="C326" i="3"/>
  <c r="C325" i="3"/>
  <c r="C324" i="3"/>
  <c r="C322" i="3"/>
  <c r="C330" i="1"/>
  <c r="C329" i="1"/>
  <c r="C326" i="1"/>
  <c r="H322" i="3"/>
  <c r="U152" i="5" l="1"/>
  <c r="Z154" i="5" s="1"/>
  <c r="U69" i="5"/>
  <c r="Z73" i="5" s="1"/>
  <c r="U70" i="5" s="1"/>
  <c r="Z74" i="5" s="1"/>
  <c r="AK70" i="5"/>
  <c r="AL59" i="5" s="1"/>
  <c r="Z33" i="5"/>
  <c r="W31" i="5"/>
  <c r="H182" i="7"/>
  <c r="H181" i="7"/>
  <c r="H180" i="7"/>
  <c r="H179" i="7"/>
  <c r="H178" i="7"/>
  <c r="H175" i="7"/>
  <c r="H174" i="7"/>
  <c r="H173" i="7"/>
  <c r="H172" i="7"/>
  <c r="H171" i="7"/>
  <c r="H168" i="7"/>
  <c r="H167" i="7"/>
  <c r="H166" i="7"/>
  <c r="H165" i="7"/>
  <c r="H164" i="7"/>
  <c r="H161" i="7"/>
  <c r="H160" i="7"/>
  <c r="H159" i="7"/>
  <c r="H158" i="7"/>
  <c r="H157" i="7"/>
  <c r="Q375" i="4"/>
  <c r="Q368" i="4"/>
  <c r="Q361" i="4"/>
  <c r="Q354" i="4"/>
  <c r="H375" i="4"/>
  <c r="H374" i="4"/>
  <c r="H373" i="4"/>
  <c r="H372" i="4"/>
  <c r="H371" i="4"/>
  <c r="H368" i="4"/>
  <c r="H367" i="4"/>
  <c r="H366" i="4"/>
  <c r="H365" i="4"/>
  <c r="H364" i="4"/>
  <c r="H361" i="4"/>
  <c r="H360" i="4"/>
  <c r="H359" i="4"/>
  <c r="H358" i="4"/>
  <c r="H357" i="4"/>
  <c r="H354" i="4"/>
  <c r="H353" i="4"/>
  <c r="H352" i="4"/>
  <c r="H351" i="4"/>
  <c r="H350" i="4"/>
  <c r="Q354" i="3"/>
  <c r="Q375" i="3"/>
  <c r="Q368" i="3"/>
  <c r="Q361" i="3"/>
  <c r="H375" i="3"/>
  <c r="H374" i="3"/>
  <c r="H373" i="3"/>
  <c r="H372" i="3"/>
  <c r="H371" i="3"/>
  <c r="H368" i="3"/>
  <c r="H367" i="3"/>
  <c r="H366" i="3"/>
  <c r="H365" i="3"/>
  <c r="H364" i="3"/>
  <c r="H361" i="3"/>
  <c r="H360" i="3"/>
  <c r="H359" i="3"/>
  <c r="H358" i="3"/>
  <c r="H357" i="3"/>
  <c r="H354" i="3"/>
  <c r="H353" i="3"/>
  <c r="H352" i="3"/>
  <c r="H351" i="3"/>
  <c r="H350" i="3"/>
  <c r="Z375" i="1"/>
  <c r="Z368" i="1"/>
  <c r="Z361" i="1"/>
  <c r="Z354" i="1"/>
  <c r="R375" i="1"/>
  <c r="R374" i="1"/>
  <c r="R373" i="1"/>
  <c r="R372" i="1"/>
  <c r="R371" i="1"/>
  <c r="R368" i="1"/>
  <c r="R367" i="1"/>
  <c r="R366" i="1"/>
  <c r="R365" i="1"/>
  <c r="R364" i="1"/>
  <c r="R361" i="1"/>
  <c r="R360" i="1"/>
  <c r="R359" i="1"/>
  <c r="R358" i="1"/>
  <c r="R357" i="1"/>
  <c r="R354" i="1"/>
  <c r="R353" i="1"/>
  <c r="R352" i="1"/>
  <c r="R351" i="1"/>
  <c r="R350" i="1"/>
  <c r="C309" i="1"/>
  <c r="C308" i="1"/>
  <c r="H304" i="3"/>
  <c r="H98" i="7"/>
  <c r="H97" i="7"/>
  <c r="R290" i="1"/>
  <c r="J294" i="4"/>
  <c r="I294" i="4" s="1"/>
  <c r="J294" i="3"/>
  <c r="I294" i="3" s="1"/>
  <c r="R295" i="1"/>
  <c r="T294" i="1"/>
  <c r="R275" i="1"/>
  <c r="H154" i="7"/>
  <c r="H153" i="7"/>
  <c r="H152" i="7"/>
  <c r="H151" i="7"/>
  <c r="H150" i="7"/>
  <c r="H147" i="7"/>
  <c r="H146" i="7"/>
  <c r="H145" i="7"/>
  <c r="H144" i="7"/>
  <c r="H143" i="7"/>
  <c r="H140" i="7"/>
  <c r="H139" i="7"/>
  <c r="H138" i="7"/>
  <c r="H137" i="7"/>
  <c r="H136" i="7"/>
  <c r="H130" i="7"/>
  <c r="H129" i="7"/>
  <c r="H133" i="7"/>
  <c r="H132" i="7"/>
  <c r="H131" i="7"/>
  <c r="H119" i="7"/>
  <c r="H118" i="7"/>
  <c r="H117" i="7"/>
  <c r="H116" i="7"/>
  <c r="H115" i="7"/>
  <c r="H112" i="7"/>
  <c r="H111" i="7"/>
  <c r="H110" i="7"/>
  <c r="H109" i="7"/>
  <c r="H108" i="7"/>
  <c r="H105" i="7"/>
  <c r="H104" i="7"/>
  <c r="H103" i="7"/>
  <c r="H102" i="7"/>
  <c r="H101" i="7"/>
  <c r="Y273" i="1"/>
  <c r="H274" i="4"/>
  <c r="G274" i="4"/>
  <c r="U73" i="5" l="1"/>
  <c r="Z75" i="5" s="1"/>
  <c r="U74" i="5" s="1"/>
  <c r="U153" i="5"/>
  <c r="Z157" i="5" s="1"/>
  <c r="U154" i="5" s="1"/>
  <c r="Z158" i="5" s="1"/>
  <c r="U32" i="5"/>
  <c r="Z34" i="5" s="1"/>
  <c r="E32" i="5"/>
  <c r="AE33" i="5"/>
  <c r="S294" i="1"/>
  <c r="R294" i="1" s="1"/>
  <c r="S291" i="1"/>
  <c r="R291" i="1" s="1"/>
  <c r="I291" i="4"/>
  <c r="I291" i="3"/>
  <c r="H273" i="3"/>
  <c r="Q347" i="4"/>
  <c r="Q340" i="4"/>
  <c r="Q333" i="4"/>
  <c r="Q326" i="4"/>
  <c r="Q347" i="3"/>
  <c r="Q340" i="3"/>
  <c r="Q333" i="3"/>
  <c r="Q326" i="3"/>
  <c r="R347" i="1"/>
  <c r="R346" i="1"/>
  <c r="R345" i="1"/>
  <c r="R344" i="1"/>
  <c r="R343" i="1"/>
  <c r="R340" i="1"/>
  <c r="R339" i="1"/>
  <c r="R338" i="1"/>
  <c r="R337" i="1"/>
  <c r="R336" i="1"/>
  <c r="R330" i="1"/>
  <c r="R329" i="1"/>
  <c r="Z347" i="1"/>
  <c r="Z340" i="1"/>
  <c r="Z333" i="1"/>
  <c r="Z326" i="1"/>
  <c r="H347" i="4"/>
  <c r="H346" i="4"/>
  <c r="H345" i="4"/>
  <c r="H344" i="4"/>
  <c r="H343" i="4"/>
  <c r="H340" i="4"/>
  <c r="H339" i="4"/>
  <c r="H338" i="4"/>
  <c r="H337" i="4"/>
  <c r="H336" i="4"/>
  <c r="H330" i="4"/>
  <c r="H329" i="4"/>
  <c r="H333" i="4"/>
  <c r="H332" i="4"/>
  <c r="H331" i="4"/>
  <c r="H323" i="4"/>
  <c r="H322" i="4"/>
  <c r="H326" i="4"/>
  <c r="H325" i="4"/>
  <c r="H324" i="4"/>
  <c r="H347" i="3"/>
  <c r="H346" i="3"/>
  <c r="H345" i="3"/>
  <c r="H344" i="3"/>
  <c r="H343" i="3"/>
  <c r="H340" i="3"/>
  <c r="H339" i="3"/>
  <c r="H338" i="3"/>
  <c r="H337" i="3"/>
  <c r="H336" i="3"/>
  <c r="H330" i="3"/>
  <c r="H329" i="3"/>
  <c r="H333" i="3"/>
  <c r="H332" i="3"/>
  <c r="H331" i="3"/>
  <c r="H323" i="3"/>
  <c r="H326" i="3"/>
  <c r="H325" i="3"/>
  <c r="H324" i="3"/>
  <c r="R333" i="1"/>
  <c r="R332" i="1"/>
  <c r="R331" i="1"/>
  <c r="R326" i="1"/>
  <c r="R325" i="1"/>
  <c r="R324" i="1"/>
  <c r="R323" i="1"/>
  <c r="R322" i="1"/>
  <c r="AE34" i="5" l="1"/>
  <c r="AE35" i="5" s="1"/>
  <c r="AE36" i="5" s="1"/>
  <c r="AE37" i="5" s="1"/>
  <c r="AE38" i="5" s="1"/>
  <c r="AE39" i="5" s="1"/>
  <c r="AE40" i="5" s="1"/>
  <c r="AE41" i="5" s="1"/>
  <c r="AE42" i="5" s="1"/>
  <c r="AE43" i="5" s="1"/>
  <c r="AE44" i="5" s="1"/>
  <c r="AE45" i="5" s="1"/>
  <c r="AE46" i="5" s="1"/>
  <c r="AE47" i="5" s="1"/>
  <c r="AE48" i="5" s="1"/>
  <c r="AE49" i="5" s="1"/>
  <c r="AE50" i="5" s="1"/>
  <c r="AE51" i="5" s="1"/>
  <c r="AE52" i="5" s="1"/>
  <c r="AE53" i="5" s="1"/>
  <c r="AE54" i="5" s="1"/>
  <c r="AE55" i="5" s="1"/>
  <c r="AE56" i="5" s="1"/>
  <c r="AE57" i="5" s="1"/>
  <c r="AE58" i="5" s="1"/>
  <c r="AE59" i="5" s="1"/>
  <c r="AE60" i="5" s="1"/>
  <c r="AE61" i="5" s="1"/>
  <c r="AE62" i="5" s="1"/>
  <c r="AE63" i="5" s="1"/>
  <c r="AE64" i="5" s="1"/>
  <c r="AE65" i="5" s="1"/>
  <c r="AE66" i="5" s="1"/>
  <c r="AE67" i="5" s="1"/>
  <c r="AE68" i="5" s="1"/>
  <c r="AE69" i="5" s="1"/>
  <c r="AE70" i="5" s="1"/>
  <c r="AE71" i="5" s="1"/>
  <c r="AE72" i="5" s="1"/>
  <c r="AE73" i="5" s="1"/>
  <c r="AE74" i="5" s="1"/>
  <c r="AE75" i="5" s="1"/>
  <c r="AE76" i="5" s="1"/>
  <c r="AE77" i="5" s="1"/>
  <c r="AE78" i="5" s="1"/>
  <c r="AE79" i="5" s="1"/>
  <c r="AE80" i="5" s="1"/>
  <c r="AE81" i="5" s="1"/>
  <c r="AE82" i="5" s="1"/>
  <c r="AE83" i="5" s="1"/>
  <c r="AE84" i="5" s="1"/>
  <c r="AE85" i="5" s="1"/>
  <c r="AE86" i="5" s="1"/>
  <c r="AE87" i="5" s="1"/>
  <c r="AE88" i="5" s="1"/>
  <c r="AE89" i="5" s="1"/>
  <c r="AE90" i="5" s="1"/>
  <c r="AE91" i="5" s="1"/>
  <c r="AE92" i="5" s="1"/>
  <c r="AE93" i="5" s="1"/>
  <c r="AE94" i="5" s="1"/>
  <c r="AE95" i="5" s="1"/>
  <c r="AE96" i="5" s="1"/>
  <c r="AE97" i="5" s="1"/>
  <c r="AE98" i="5" s="1"/>
  <c r="AE99" i="5" s="1"/>
  <c r="AE100" i="5" s="1"/>
  <c r="AE101" i="5" s="1"/>
  <c r="AE102" i="5" s="1"/>
  <c r="AE103" i="5" s="1"/>
  <c r="AE104" i="5" s="1"/>
  <c r="AE105" i="5" s="1"/>
  <c r="AE106" i="5" s="1"/>
  <c r="AE107" i="5" s="1"/>
  <c r="AE108" i="5" s="1"/>
  <c r="AE109" i="5" s="1"/>
  <c r="AE111" i="5" s="1"/>
  <c r="AE112" i="5" s="1"/>
  <c r="AE113" i="5" s="1"/>
  <c r="AE114" i="5" s="1"/>
  <c r="AE115" i="5" s="1"/>
  <c r="AE116" i="5" s="1"/>
  <c r="AE117" i="5" s="1"/>
  <c r="AE118" i="5" s="1"/>
  <c r="AE119" i="5" s="1"/>
  <c r="AE120" i="5" s="1"/>
  <c r="AE121" i="5" s="1"/>
  <c r="AE122" i="5" s="1"/>
  <c r="AE123" i="5" s="1"/>
  <c r="AE124" i="5" s="1"/>
  <c r="AE125" i="5" s="1"/>
  <c r="AE126" i="5" s="1"/>
  <c r="AE127" i="5" s="1"/>
  <c r="AE128" i="5" s="1"/>
  <c r="AE129" i="5" s="1"/>
  <c r="AE130" i="5" s="1"/>
  <c r="AE131" i="5" s="1"/>
  <c r="AE132" i="5" s="1"/>
  <c r="AE133" i="5" s="1"/>
  <c r="AE134" i="5" s="1"/>
  <c r="AE135" i="5" s="1"/>
  <c r="AE136" i="5" s="1"/>
  <c r="AE137" i="5" s="1"/>
  <c r="AE138" i="5" s="1"/>
  <c r="AE139" i="5" s="1"/>
  <c r="AE140" i="5" s="1"/>
  <c r="AE141" i="5" s="1"/>
  <c r="AE142" i="5" s="1"/>
  <c r="AE143" i="5" s="1"/>
  <c r="AE144" i="5" s="1"/>
  <c r="AE145" i="5" s="1"/>
  <c r="AE146" i="5" s="1"/>
  <c r="AE147" i="5" s="1"/>
  <c r="AE148" i="5" s="1"/>
  <c r="AE149" i="5" s="1"/>
  <c r="AE150" i="5" s="1"/>
  <c r="AE151" i="5" s="1"/>
  <c r="AE152" i="5" s="1"/>
  <c r="AE153" i="5" s="1"/>
  <c r="AE154" i="5" s="1"/>
  <c r="AE155" i="5" s="1"/>
  <c r="AE156" i="5" s="1"/>
  <c r="AE157" i="5" s="1"/>
  <c r="AE158" i="5" s="1"/>
  <c r="U157" i="5"/>
  <c r="Z159" i="5" s="1"/>
  <c r="E33" i="5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W32" i="5"/>
  <c r="E158" i="5" l="1"/>
  <c r="U33" i="5"/>
  <c r="W33" i="5" s="1"/>
  <c r="W34" i="5" s="1"/>
  <c r="W35" i="5" s="1"/>
  <c r="W36" i="5" s="1"/>
  <c r="W37" i="5" s="1"/>
  <c r="W38" i="5" s="1"/>
  <c r="W39" i="5" s="1"/>
  <c r="W40" i="5" s="1"/>
  <c r="W41" i="5" s="1"/>
  <c r="W42" i="5" s="1"/>
  <c r="W43" i="5" s="1"/>
  <c r="W44" i="5" s="1"/>
  <c r="W45" i="5" s="1"/>
  <c r="W46" i="5" s="1"/>
  <c r="W47" i="5" s="1"/>
  <c r="W48" i="5" s="1"/>
  <c r="W49" i="5" s="1"/>
  <c r="W50" i="5" s="1"/>
  <c r="W51" i="5" s="1"/>
  <c r="W52" i="5" s="1"/>
  <c r="W53" i="5" s="1"/>
  <c r="W54" i="5" s="1"/>
  <c r="W55" i="5" s="1"/>
  <c r="W56" i="5" s="1"/>
  <c r="W57" i="5" s="1"/>
  <c r="W58" i="5" s="1"/>
  <c r="W59" i="5" s="1"/>
  <c r="W60" i="5" s="1"/>
  <c r="W61" i="5" s="1"/>
  <c r="W62" i="5" s="1"/>
  <c r="W63" i="5" s="1"/>
  <c r="W64" i="5" s="1"/>
  <c r="W65" i="5" s="1"/>
  <c r="W66" i="5" s="1"/>
  <c r="W67" i="5" s="1"/>
  <c r="W68" i="5" s="1"/>
  <c r="W69" i="5" s="1"/>
  <c r="W70" i="5" s="1"/>
  <c r="W71" i="5" s="1"/>
  <c r="W72" i="5" s="1"/>
  <c r="W73" i="5" s="1"/>
  <c r="W74" i="5" s="1"/>
  <c r="W75" i="5" s="1"/>
  <c r="W76" i="5" s="1"/>
  <c r="W77" i="5" s="1"/>
  <c r="W78" i="5" s="1"/>
  <c r="W79" i="5" s="1"/>
  <c r="W80" i="5" s="1"/>
  <c r="W81" i="5" s="1"/>
  <c r="W82" i="5" s="1"/>
  <c r="W83" i="5" s="1"/>
  <c r="W84" i="5" s="1"/>
  <c r="W85" i="5" s="1"/>
  <c r="W86" i="5" s="1"/>
  <c r="W87" i="5" s="1"/>
  <c r="W88" i="5" s="1"/>
  <c r="W89" i="5" s="1"/>
  <c r="W90" i="5" s="1"/>
  <c r="W91" i="5" s="1"/>
  <c r="W92" i="5" s="1"/>
  <c r="W93" i="5" s="1"/>
  <c r="W94" i="5" s="1"/>
  <c r="W95" i="5" s="1"/>
  <c r="W96" i="5" s="1"/>
  <c r="W97" i="5" s="1"/>
  <c r="W98" i="5" s="1"/>
  <c r="W99" i="5" s="1"/>
  <c r="W100" i="5" s="1"/>
  <c r="W101" i="5" s="1"/>
  <c r="W102" i="5" s="1"/>
  <c r="W103" i="5" s="1"/>
  <c r="W104" i="5" s="1"/>
  <c r="W105" i="5" s="1"/>
  <c r="W106" i="5" s="1"/>
  <c r="W107" i="5" s="1"/>
  <c r="W108" i="5" s="1"/>
  <c r="W109" i="5" s="1"/>
  <c r="W110" i="5" s="1"/>
  <c r="W111" i="5" s="1"/>
  <c r="W112" i="5" s="1"/>
  <c r="W113" i="5" s="1"/>
  <c r="W114" i="5" s="1"/>
  <c r="W115" i="5" s="1"/>
  <c r="W116" i="5" s="1"/>
  <c r="W117" i="5" s="1"/>
  <c r="W118" i="5" s="1"/>
  <c r="W119" i="5" s="1"/>
  <c r="W120" i="5" s="1"/>
  <c r="W121" i="5" s="1"/>
  <c r="W122" i="5" s="1"/>
  <c r="W123" i="5" s="1"/>
  <c r="W124" i="5" s="1"/>
  <c r="W125" i="5" s="1"/>
  <c r="W126" i="5" s="1"/>
  <c r="W127" i="5" s="1"/>
  <c r="W128" i="5" s="1"/>
  <c r="W129" i="5" s="1"/>
  <c r="W130" i="5" s="1"/>
  <c r="W131" i="5" s="1"/>
  <c r="W132" i="5" s="1"/>
  <c r="W133" i="5" s="1"/>
  <c r="W134" i="5" s="1"/>
  <c r="W135" i="5" s="1"/>
  <c r="W136" i="5" s="1"/>
  <c r="W137" i="5" s="1"/>
  <c r="W138" i="5" s="1"/>
  <c r="W139" i="5" s="1"/>
  <c r="W140" i="5" s="1"/>
  <c r="W141" i="5" s="1"/>
  <c r="W142" i="5" s="1"/>
  <c r="W143" i="5" s="1"/>
  <c r="W144" i="5" s="1"/>
  <c r="W145" i="5" s="1"/>
  <c r="W146" i="5" s="1"/>
  <c r="W147" i="5" s="1"/>
  <c r="W148" i="5" s="1"/>
  <c r="W149" i="5" s="1"/>
  <c r="W150" i="5" s="1"/>
  <c r="W151" i="5" s="1"/>
  <c r="W152" i="5" s="1"/>
  <c r="W153" i="5" s="1"/>
  <c r="W154" i="5" s="1"/>
  <c r="W155" i="5" s="1"/>
  <c r="W156" i="5" s="1"/>
  <c r="W157" i="5" s="1"/>
  <c r="AE159" i="5"/>
  <c r="C268" i="3"/>
  <c r="H270" i="3" s="1"/>
  <c r="Y263" i="1"/>
  <c r="H273" i="4"/>
  <c r="G270" i="3"/>
  <c r="G273" i="3"/>
  <c r="Q312" i="4"/>
  <c r="Q305" i="4"/>
  <c r="Q298" i="4"/>
  <c r="Q291" i="4"/>
  <c r="Q312" i="3"/>
  <c r="Q305" i="3"/>
  <c r="Q298" i="3"/>
  <c r="Q291" i="3"/>
  <c r="Z305" i="1"/>
  <c r="Z312" i="1"/>
  <c r="Z298" i="1"/>
  <c r="Z291" i="1"/>
  <c r="Q245" i="1"/>
  <c r="U158" i="5" l="1"/>
  <c r="Z160" i="5" s="1"/>
  <c r="Y242" i="1"/>
  <c r="E159" i="5" l="1"/>
  <c r="AE160" i="5"/>
  <c r="W158" i="5"/>
  <c r="Y49" i="7"/>
  <c r="H241" i="3"/>
  <c r="R312" i="1"/>
  <c r="R311" i="1"/>
  <c r="R310" i="1"/>
  <c r="R309" i="1"/>
  <c r="R308" i="1"/>
  <c r="R305" i="1"/>
  <c r="R304" i="1"/>
  <c r="R303" i="1"/>
  <c r="R302" i="1"/>
  <c r="R301" i="1"/>
  <c r="R298" i="1"/>
  <c r="R297" i="1"/>
  <c r="R296" i="1"/>
  <c r="H312" i="3"/>
  <c r="H311" i="3"/>
  <c r="H310" i="3"/>
  <c r="H309" i="3"/>
  <c r="H308" i="3"/>
  <c r="H305" i="3"/>
  <c r="H303" i="3"/>
  <c r="H302" i="3"/>
  <c r="H301" i="3"/>
  <c r="H291" i="3"/>
  <c r="H290" i="3"/>
  <c r="H312" i="4"/>
  <c r="H311" i="4"/>
  <c r="H310" i="4"/>
  <c r="H309" i="4"/>
  <c r="H308" i="4"/>
  <c r="H305" i="4"/>
  <c r="H304" i="4"/>
  <c r="H303" i="4"/>
  <c r="H302" i="4"/>
  <c r="H301" i="4"/>
  <c r="H291" i="4"/>
  <c r="H290" i="4"/>
  <c r="H298" i="3"/>
  <c r="H297" i="3"/>
  <c r="H296" i="3"/>
  <c r="G245" i="4"/>
  <c r="G242" i="4"/>
  <c r="Q242" i="1"/>
  <c r="Z242" i="1" s="1"/>
  <c r="C241" i="1"/>
  <c r="Q284" i="3"/>
  <c r="Q277" i="3"/>
  <c r="Q270" i="3"/>
  <c r="Q263" i="3"/>
  <c r="Q284" i="4"/>
  <c r="Q277" i="4"/>
  <c r="Q270" i="4"/>
  <c r="Q263" i="4"/>
  <c r="Z284" i="1"/>
  <c r="Z277" i="1"/>
  <c r="Z270" i="1"/>
  <c r="Z263" i="1"/>
  <c r="Z256" i="1"/>
  <c r="U159" i="5" l="1"/>
  <c r="Z161" i="5" s="1"/>
  <c r="E160" i="5" l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AE161" i="5"/>
  <c r="AE162" i="5" s="1"/>
  <c r="AE163" i="5" s="1"/>
  <c r="W159" i="5"/>
  <c r="Y219" i="1"/>
  <c r="E220" i="5" l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U160" i="5"/>
  <c r="Z164" i="5" s="1"/>
  <c r="E234" i="5" l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E259" i="5" s="1"/>
  <c r="E260" i="5" s="1"/>
  <c r="E261" i="5" s="1"/>
  <c r="E262" i="5" s="1"/>
  <c r="E263" i="5" s="1"/>
  <c r="E264" i="5" s="1"/>
  <c r="E265" i="5" s="1"/>
  <c r="E266" i="5" s="1"/>
  <c r="E267" i="5" s="1"/>
  <c r="E268" i="5" s="1"/>
  <c r="E269" i="5" s="1"/>
  <c r="E270" i="5" s="1"/>
  <c r="E271" i="5" s="1"/>
  <c r="E272" i="5" s="1"/>
  <c r="E273" i="5" s="1"/>
  <c r="E274" i="5" s="1"/>
  <c r="E275" i="5" s="1"/>
  <c r="E276" i="5" s="1"/>
  <c r="E277" i="5" s="1"/>
  <c r="E278" i="5" s="1"/>
  <c r="E279" i="5" s="1"/>
  <c r="E280" i="5" s="1"/>
  <c r="E281" i="5" s="1"/>
  <c r="E282" i="5" s="1"/>
  <c r="E283" i="5" s="1"/>
  <c r="E284" i="5" s="1"/>
  <c r="E285" i="5" s="1"/>
  <c r="E286" i="5" s="1"/>
  <c r="E287" i="5" s="1"/>
  <c r="E288" i="5" s="1"/>
  <c r="E289" i="5" s="1"/>
  <c r="E290" i="5" s="1"/>
  <c r="E291" i="5" s="1"/>
  <c r="E292" i="5" s="1"/>
  <c r="E293" i="5" s="1"/>
  <c r="E294" i="5" s="1"/>
  <c r="E295" i="5" s="1"/>
  <c r="E296" i="5" s="1"/>
  <c r="E297" i="5" s="1"/>
  <c r="E298" i="5" s="1"/>
  <c r="E299" i="5" s="1"/>
  <c r="E300" i="5" s="1"/>
  <c r="E301" i="5" s="1"/>
  <c r="E302" i="5" s="1"/>
  <c r="E303" i="5" s="1"/>
  <c r="E304" i="5" s="1"/>
  <c r="E305" i="5" s="1"/>
  <c r="E306" i="5" s="1"/>
  <c r="E307" i="5" s="1"/>
  <c r="E308" i="5" s="1"/>
  <c r="E309" i="5" s="1"/>
  <c r="E310" i="5" s="1"/>
  <c r="E311" i="5" s="1"/>
  <c r="E312" i="5" s="1"/>
  <c r="E313" i="5" s="1"/>
  <c r="E314" i="5" s="1"/>
  <c r="E315" i="5" s="1"/>
  <c r="E316" i="5" s="1"/>
  <c r="E317" i="5" s="1"/>
  <c r="E318" i="5" s="1"/>
  <c r="E319" i="5" s="1"/>
  <c r="E320" i="5" s="1"/>
  <c r="E321" i="5" s="1"/>
  <c r="E322" i="5" s="1"/>
  <c r="W160" i="5"/>
  <c r="U161" i="5" l="1"/>
  <c r="Z165" i="5" s="1"/>
  <c r="AE164" i="5"/>
  <c r="D60" i="1"/>
  <c r="C60" i="1"/>
  <c r="B60" i="1"/>
  <c r="A60" i="1"/>
  <c r="D59" i="1"/>
  <c r="B59" i="1"/>
  <c r="A59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D53" i="1"/>
  <c r="C53" i="1"/>
  <c r="B53" i="1"/>
  <c r="A53" i="1"/>
  <c r="D52" i="1"/>
  <c r="B52" i="1"/>
  <c r="A52" i="1"/>
  <c r="D51" i="1"/>
  <c r="B51" i="1"/>
  <c r="A51" i="1"/>
  <c r="D50" i="1"/>
  <c r="B50" i="1"/>
  <c r="A50" i="1"/>
  <c r="D49" i="1"/>
  <c r="C49" i="1"/>
  <c r="B49" i="1"/>
  <c r="A49" i="1"/>
  <c r="D48" i="1"/>
  <c r="C48" i="1"/>
  <c r="B48" i="1"/>
  <c r="A48" i="1"/>
  <c r="D47" i="1"/>
  <c r="B47" i="1"/>
  <c r="A47" i="1"/>
  <c r="D46" i="1"/>
  <c r="C46" i="1"/>
  <c r="B46" i="1"/>
  <c r="A46" i="1"/>
  <c r="D45" i="1"/>
  <c r="B45" i="1"/>
  <c r="A45" i="1"/>
  <c r="D44" i="1"/>
  <c r="B44" i="1"/>
  <c r="A44" i="1"/>
  <c r="D43" i="1"/>
  <c r="B43" i="1"/>
  <c r="A43" i="1"/>
  <c r="D42" i="1"/>
  <c r="B42" i="1"/>
  <c r="A42" i="1"/>
  <c r="E41" i="1"/>
  <c r="D41" i="1"/>
  <c r="C41" i="1"/>
  <c r="B41" i="1"/>
  <c r="A41" i="1"/>
  <c r="E40" i="1"/>
  <c r="D40" i="1"/>
  <c r="B40" i="1"/>
  <c r="A40" i="1"/>
  <c r="E39" i="1"/>
  <c r="D39" i="1"/>
  <c r="B39" i="1"/>
  <c r="A39" i="1"/>
  <c r="E38" i="1"/>
  <c r="D38" i="1"/>
  <c r="C38" i="1"/>
  <c r="B38" i="1"/>
  <c r="A38" i="1"/>
  <c r="E37" i="1"/>
  <c r="D37" i="1"/>
  <c r="B37" i="1"/>
  <c r="A37" i="1"/>
  <c r="E36" i="1"/>
  <c r="D36" i="1"/>
  <c r="C36" i="1"/>
  <c r="B36" i="1"/>
  <c r="A36" i="1"/>
  <c r="E35" i="1"/>
  <c r="D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B19" i="1"/>
  <c r="A19" i="1"/>
  <c r="E18" i="1"/>
  <c r="D18" i="1"/>
  <c r="C18" i="1"/>
  <c r="B18" i="1"/>
  <c r="A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AE165" i="5" l="1"/>
  <c r="AE166" i="5" s="1"/>
  <c r="AE167" i="5" s="1"/>
  <c r="AE168" i="5" s="1"/>
  <c r="AE169" i="5" s="1"/>
  <c r="AE170" i="5" s="1"/>
  <c r="AE171" i="5" s="1"/>
  <c r="AE172" i="5" s="1"/>
  <c r="AE173" i="5" s="1"/>
  <c r="AE174" i="5" s="1"/>
  <c r="AE175" i="5" s="1"/>
  <c r="AE176" i="5" s="1"/>
  <c r="AE177" i="5" s="1"/>
  <c r="AE178" i="5" s="1"/>
  <c r="AE179" i="5" s="1"/>
  <c r="AE180" i="5" s="1"/>
  <c r="AE181" i="5" s="1"/>
  <c r="AE182" i="5" s="1"/>
  <c r="AE183" i="5" s="1"/>
  <c r="AE184" i="5" s="1"/>
  <c r="AE185" i="5" s="1"/>
  <c r="AE186" i="5" s="1"/>
  <c r="AE187" i="5" s="1"/>
  <c r="AE188" i="5" s="1"/>
  <c r="AE189" i="5" s="1"/>
  <c r="AE190" i="5" s="1"/>
  <c r="AE191" i="5" s="1"/>
  <c r="AE192" i="5" s="1"/>
  <c r="AE193" i="5" s="1"/>
  <c r="AE194" i="5" s="1"/>
  <c r="AE195" i="5" s="1"/>
  <c r="AE196" i="5" s="1"/>
  <c r="AE197" i="5" s="1"/>
  <c r="AE198" i="5" s="1"/>
  <c r="AE199" i="5" s="1"/>
  <c r="AE200" i="5" s="1"/>
  <c r="AE201" i="5" s="1"/>
  <c r="AE202" i="5" s="1"/>
  <c r="AE203" i="5" s="1"/>
  <c r="AE204" i="5" s="1"/>
  <c r="AE205" i="5" s="1"/>
  <c r="AE206" i="5" s="1"/>
  <c r="AE207" i="5" s="1"/>
  <c r="AE208" i="5" s="1"/>
  <c r="AE209" i="5" s="1"/>
  <c r="AE210" i="5" s="1"/>
  <c r="AE211" i="5" s="1"/>
  <c r="AE212" i="5" s="1"/>
  <c r="AE213" i="5" s="1"/>
  <c r="AE214" i="5" s="1"/>
  <c r="AE215" i="5" s="1"/>
  <c r="AE216" i="5" s="1"/>
  <c r="AE217" i="5" s="1"/>
  <c r="AE218" i="5" s="1"/>
  <c r="AE219" i="5" s="1"/>
  <c r="AE220" i="5" s="1"/>
  <c r="AE221" i="5" s="1"/>
  <c r="AE222" i="5" s="1"/>
  <c r="AE223" i="5" s="1"/>
  <c r="AE224" i="5" s="1"/>
  <c r="AE225" i="5" s="1"/>
  <c r="AE226" i="5" s="1"/>
  <c r="AE227" i="5" s="1"/>
  <c r="AE228" i="5" s="1"/>
  <c r="AE229" i="5" s="1"/>
  <c r="AE230" i="5" s="1"/>
  <c r="AE231" i="5" s="1"/>
  <c r="AE232" i="5" s="1"/>
  <c r="AE233" i="5" s="1"/>
  <c r="AE234" i="5" s="1"/>
  <c r="AE235" i="5" s="1"/>
  <c r="AE236" i="5" s="1"/>
  <c r="AE237" i="5" s="1"/>
  <c r="AE238" i="5" s="1"/>
  <c r="AE239" i="5" s="1"/>
  <c r="AE240" i="5" s="1"/>
  <c r="AE241" i="5" s="1"/>
  <c r="AE242" i="5" s="1"/>
  <c r="AE243" i="5" s="1"/>
  <c r="AE244" i="5" s="1"/>
  <c r="AE245" i="5" s="1"/>
  <c r="AE246" i="5" s="1"/>
  <c r="AE247" i="5" s="1"/>
  <c r="AE248" i="5" s="1"/>
  <c r="AE249" i="5" s="1"/>
  <c r="AE250" i="5" s="1"/>
  <c r="AE251" i="5" s="1"/>
  <c r="AE252" i="5" s="1"/>
  <c r="AE253" i="5" s="1"/>
  <c r="AE254" i="5" s="1"/>
  <c r="AE255" i="5" s="1"/>
  <c r="AE256" i="5" s="1"/>
  <c r="AE257" i="5" s="1"/>
  <c r="AE258" i="5" s="1"/>
  <c r="AE259" i="5" s="1"/>
  <c r="AE260" i="5" s="1"/>
  <c r="AE261" i="5" s="1"/>
  <c r="AE262" i="5" s="1"/>
  <c r="AE263" i="5" s="1"/>
  <c r="AE264" i="5" s="1"/>
  <c r="AE265" i="5" s="1"/>
  <c r="W161" i="5"/>
  <c r="W162" i="5" s="1"/>
  <c r="W163" i="5" s="1"/>
  <c r="W164" i="5" s="1"/>
  <c r="W165" i="5" s="1"/>
  <c r="W166" i="5" s="1"/>
  <c r="W167" i="5" s="1"/>
  <c r="W168" i="5" s="1"/>
  <c r="W169" i="5" s="1"/>
  <c r="W170" i="5" s="1"/>
  <c r="W171" i="5" s="1"/>
  <c r="W172" i="5" s="1"/>
  <c r="W173" i="5" s="1"/>
  <c r="W174" i="5" s="1"/>
  <c r="W175" i="5" s="1"/>
  <c r="W176" i="5" s="1"/>
  <c r="W177" i="5" s="1"/>
  <c r="W178" i="5" s="1"/>
  <c r="W179" i="5" s="1"/>
  <c r="W180" i="5" s="1"/>
  <c r="W181" i="5" s="1"/>
  <c r="W182" i="5" s="1"/>
  <c r="W183" i="5" s="1"/>
  <c r="W184" i="5" s="1"/>
  <c r="W185" i="5" s="1"/>
  <c r="W186" i="5" s="1"/>
  <c r="W187" i="5" s="1"/>
  <c r="W188" i="5" s="1"/>
  <c r="W189" i="5" s="1"/>
  <c r="W190" i="5" s="1"/>
  <c r="W191" i="5" s="1"/>
  <c r="W192" i="5" s="1"/>
  <c r="W193" i="5" s="1"/>
  <c r="W194" i="5" s="1"/>
  <c r="W195" i="5" s="1"/>
  <c r="W196" i="5" s="1"/>
  <c r="W197" i="5" s="1"/>
  <c r="W198" i="5" s="1"/>
  <c r="W199" i="5" s="1"/>
  <c r="W200" i="5" s="1"/>
  <c r="W201" i="5" s="1"/>
  <c r="W202" i="5" s="1"/>
  <c r="W203" i="5" s="1"/>
  <c r="W204" i="5" s="1"/>
  <c r="W205" i="5" s="1"/>
  <c r="W206" i="5" s="1"/>
  <c r="W207" i="5" s="1"/>
  <c r="W208" i="5" s="1"/>
  <c r="W209" i="5" s="1"/>
  <c r="W210" i="5" s="1"/>
  <c r="W211" i="5" s="1"/>
  <c r="W212" i="5" s="1"/>
  <c r="W213" i="5" s="1"/>
  <c r="W214" i="5" s="1"/>
  <c r="W215" i="5" s="1"/>
  <c r="W216" i="5" s="1"/>
  <c r="W217" i="5" s="1"/>
  <c r="W218" i="5" s="1"/>
  <c r="W219" i="5" s="1"/>
  <c r="W220" i="5" s="1"/>
  <c r="W221" i="5" s="1"/>
  <c r="W222" i="5" s="1"/>
  <c r="W223" i="5" s="1"/>
  <c r="W224" i="5" s="1"/>
  <c r="W225" i="5" s="1"/>
  <c r="W226" i="5" s="1"/>
  <c r="W227" i="5" s="1"/>
  <c r="W228" i="5" s="1"/>
  <c r="W229" i="5" s="1"/>
  <c r="W230" i="5" s="1"/>
  <c r="W231" i="5" s="1"/>
  <c r="W232" i="5" s="1"/>
  <c r="W233" i="5" s="1"/>
  <c r="W234" i="5" s="1"/>
  <c r="W235" i="5" s="1"/>
  <c r="W236" i="5" s="1"/>
  <c r="W237" i="5" s="1"/>
  <c r="W238" i="5" s="1"/>
  <c r="W239" i="5" s="1"/>
  <c r="W240" i="5" s="1"/>
  <c r="W241" i="5" s="1"/>
  <c r="W242" i="5" s="1"/>
  <c r="W243" i="5" s="1"/>
  <c r="W244" i="5" s="1"/>
  <c r="W245" i="5" s="1"/>
  <c r="W246" i="5" s="1"/>
  <c r="W247" i="5" s="1"/>
  <c r="W248" i="5" s="1"/>
  <c r="W249" i="5" s="1"/>
  <c r="W250" i="5" s="1"/>
  <c r="W251" i="5" s="1"/>
  <c r="W252" i="5" s="1"/>
  <c r="W253" i="5" s="1"/>
  <c r="W254" i="5" s="1"/>
  <c r="W255" i="5" s="1"/>
  <c r="W256" i="5" s="1"/>
  <c r="W257" i="5" s="1"/>
  <c r="W258" i="5" s="1"/>
  <c r="W259" i="5" s="1"/>
  <c r="W260" i="5" s="1"/>
  <c r="W261" i="5" s="1"/>
  <c r="W262" i="5" s="1"/>
  <c r="W263" i="5" s="1"/>
  <c r="W264" i="5" s="1"/>
  <c r="W265" i="5" s="1"/>
  <c r="W266" i="5" l="1"/>
  <c r="W267" i="5" s="1"/>
  <c r="W268" i="5" s="1"/>
  <c r="W269" i="5" s="1"/>
  <c r="W270" i="5" s="1"/>
  <c r="W271" i="5" s="1"/>
  <c r="W272" i="5" s="1"/>
  <c r="W273" i="5" s="1"/>
  <c r="W274" i="5" s="1"/>
  <c r="W275" i="5" s="1"/>
  <c r="W276" i="5" s="1"/>
  <c r="W277" i="5" s="1"/>
  <c r="W278" i="5" s="1"/>
  <c r="W279" i="5" s="1"/>
  <c r="W280" i="5" s="1"/>
  <c r="W281" i="5" s="1"/>
  <c r="W282" i="5" s="1"/>
  <c r="W283" i="5" s="1"/>
  <c r="W284" i="5" s="1"/>
  <c r="W285" i="5" s="1"/>
  <c r="W286" i="5" s="1"/>
  <c r="W287" i="5" s="1"/>
  <c r="W288" i="5" s="1"/>
  <c r="W289" i="5" s="1"/>
  <c r="W290" i="5" s="1"/>
  <c r="W291" i="5" s="1"/>
  <c r="W292" i="5" s="1"/>
  <c r="W293" i="5" s="1"/>
  <c r="W294" i="5" s="1"/>
  <c r="W295" i="5" s="1"/>
  <c r="W296" i="5" s="1"/>
  <c r="W297" i="5" s="1"/>
  <c r="W298" i="5" s="1"/>
  <c r="W299" i="5" s="1"/>
  <c r="W300" i="5" s="1"/>
  <c r="W301" i="5" s="1"/>
  <c r="W302" i="5" s="1"/>
  <c r="W303" i="5" s="1"/>
  <c r="W304" i="5" s="1"/>
  <c r="W305" i="5" s="1"/>
  <c r="W306" i="5" s="1"/>
  <c r="W307" i="5" s="1"/>
  <c r="W308" i="5" s="1"/>
  <c r="W309" i="5" s="1"/>
  <c r="W310" i="5" s="1"/>
  <c r="W311" i="5" s="1"/>
  <c r="W312" i="5" s="1"/>
  <c r="W313" i="5" s="1"/>
  <c r="W314" i="5" s="1"/>
  <c r="W315" i="5" s="1"/>
  <c r="W316" i="5" s="1"/>
  <c r="W317" i="5" s="1"/>
  <c r="W318" i="5" s="1"/>
  <c r="W319" i="5" s="1"/>
  <c r="W320" i="5" s="1"/>
  <c r="W321" i="5" s="1"/>
  <c r="W322" i="5" s="1"/>
  <c r="AE266" i="5"/>
  <c r="AE267" i="5" s="1"/>
  <c r="AE268" i="5" s="1"/>
  <c r="AE269" i="5" s="1"/>
  <c r="AE270" i="5" s="1"/>
  <c r="AE271" i="5" s="1"/>
  <c r="AE272" i="5" s="1"/>
  <c r="AE273" i="5" s="1"/>
  <c r="AE274" i="5" s="1"/>
  <c r="AE275" i="5" s="1"/>
  <c r="AE276" i="5" s="1"/>
  <c r="AE277" i="5" s="1"/>
  <c r="AE278" i="5" s="1"/>
  <c r="AE279" i="5" s="1"/>
  <c r="AE280" i="5" s="1"/>
  <c r="AE281" i="5" s="1"/>
  <c r="AE282" i="5" s="1"/>
  <c r="AE283" i="5" s="1"/>
  <c r="AE284" i="5" s="1"/>
  <c r="AE285" i="5" s="1"/>
  <c r="AE286" i="5" s="1"/>
  <c r="AE287" i="5" s="1"/>
  <c r="AE288" i="5" s="1"/>
  <c r="AE289" i="5" s="1"/>
  <c r="AE290" i="5" s="1"/>
  <c r="AE291" i="5" s="1"/>
  <c r="AE292" i="5" s="1"/>
  <c r="AE293" i="5" s="1"/>
  <c r="AE294" i="5" s="1"/>
  <c r="AE295" i="5" s="1"/>
  <c r="AE296" i="5" s="1"/>
  <c r="AE297" i="5" s="1"/>
  <c r="AE298" i="5" s="1"/>
  <c r="AE299" i="5" s="1"/>
  <c r="AE300" i="5" s="1"/>
  <c r="AE301" i="5" s="1"/>
  <c r="AE302" i="5" s="1"/>
  <c r="AE303" i="5" s="1"/>
  <c r="AE304" i="5" s="1"/>
  <c r="AE305" i="5" s="1"/>
  <c r="AE306" i="5" s="1"/>
  <c r="AE307" i="5" s="1"/>
  <c r="AE308" i="5" s="1"/>
  <c r="AE309" i="5" s="1"/>
  <c r="AE310" i="5" s="1"/>
  <c r="AE311" i="5" s="1"/>
  <c r="AE312" i="5" s="1"/>
  <c r="AE313" i="5" s="1"/>
  <c r="AE314" i="5" s="1"/>
  <c r="AE315" i="5" s="1"/>
  <c r="AE316" i="5" s="1"/>
  <c r="AE317" i="5" s="1"/>
  <c r="AE318" i="5" s="1"/>
  <c r="AE319" i="5" s="1"/>
  <c r="AE320" i="5" s="1"/>
  <c r="AE321" i="5" s="1"/>
  <c r="AE322" i="5" s="1"/>
  <c r="Z207" i="1"/>
  <c r="Y91" i="7" l="1"/>
  <c r="Y84" i="7"/>
  <c r="Y77" i="7"/>
  <c r="Y70" i="7"/>
  <c r="Y63" i="7"/>
  <c r="Y56" i="7"/>
  <c r="Y42" i="7"/>
  <c r="Y35" i="7"/>
  <c r="Y28" i="7"/>
  <c r="Y21" i="7"/>
  <c r="Y14" i="7"/>
  <c r="H95" i="7"/>
  <c r="H94" i="7"/>
  <c r="H91" i="7"/>
  <c r="H90" i="7"/>
  <c r="H89" i="7"/>
  <c r="H88" i="7"/>
  <c r="H87" i="7"/>
  <c r="H84" i="7"/>
  <c r="H83" i="7"/>
  <c r="H82" i="7"/>
  <c r="H81" i="7"/>
  <c r="H80" i="7"/>
  <c r="H77" i="7"/>
  <c r="H76" i="7"/>
  <c r="H75" i="7"/>
  <c r="H74" i="7"/>
  <c r="H73" i="7"/>
  <c r="H70" i="7"/>
  <c r="H69" i="7"/>
  <c r="H68" i="7"/>
  <c r="H67" i="7"/>
  <c r="H66" i="7"/>
  <c r="H63" i="7"/>
  <c r="H62" i="7"/>
  <c r="H61" i="7"/>
  <c r="H60" i="7"/>
  <c r="H59" i="7"/>
  <c r="H56" i="7"/>
  <c r="H55" i="7"/>
  <c r="H54" i="7"/>
  <c r="H53" i="7"/>
  <c r="H52" i="7"/>
  <c r="H47" i="7"/>
  <c r="H46" i="7"/>
  <c r="H49" i="7"/>
  <c r="H48" i="7"/>
  <c r="H42" i="7"/>
  <c r="H41" i="7"/>
  <c r="H40" i="7"/>
  <c r="H39" i="7"/>
  <c r="H38" i="7"/>
  <c r="H35" i="7"/>
  <c r="H34" i="7"/>
  <c r="H33" i="7"/>
  <c r="H32" i="7"/>
  <c r="H31" i="7"/>
  <c r="H28" i="7"/>
  <c r="H27" i="7"/>
  <c r="H26" i="7"/>
  <c r="H25" i="7"/>
  <c r="H24" i="7"/>
  <c r="H21" i="7"/>
  <c r="H20" i="7"/>
  <c r="H19" i="7"/>
  <c r="H18" i="7"/>
  <c r="H17" i="7"/>
  <c r="H14" i="7"/>
  <c r="H13" i="7"/>
  <c r="H12" i="7"/>
  <c r="H11" i="7"/>
  <c r="H10" i="7"/>
  <c r="M4" i="7"/>
  <c r="M5" i="7" s="1"/>
  <c r="L4" i="7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L111" i="7" s="1"/>
  <c r="L112" i="7" s="1"/>
  <c r="L113" i="7" s="1"/>
  <c r="L114" i="7" s="1"/>
  <c r="L115" i="7" s="1"/>
  <c r="L116" i="7" s="1"/>
  <c r="L117" i="7" s="1"/>
  <c r="L118" i="7" s="1"/>
  <c r="L119" i="7" s="1"/>
  <c r="L120" i="7" s="1"/>
  <c r="L121" i="7" s="1"/>
  <c r="L122" i="7" s="1"/>
  <c r="L123" i="7" s="1"/>
  <c r="L124" i="7" s="1"/>
  <c r="L125" i="7" s="1"/>
  <c r="L126" i="7" s="1"/>
  <c r="L127" i="7" s="1"/>
  <c r="L128" i="7" s="1"/>
  <c r="L129" i="7" s="1"/>
  <c r="L130" i="7" s="1"/>
  <c r="L131" i="7" s="1"/>
  <c r="L132" i="7" s="1"/>
  <c r="L133" i="7" s="1"/>
  <c r="L134" i="7" s="1"/>
  <c r="L135" i="7" s="1"/>
  <c r="L136" i="7" s="1"/>
  <c r="L137" i="7" s="1"/>
  <c r="L138" i="7" s="1"/>
  <c r="L139" i="7" s="1"/>
  <c r="L140" i="7" s="1"/>
  <c r="L141" i="7" s="1"/>
  <c r="L142" i="7" s="1"/>
  <c r="L143" i="7" s="1"/>
  <c r="L144" i="7" s="1"/>
  <c r="L145" i="7" s="1"/>
  <c r="L146" i="7" s="1"/>
  <c r="L147" i="7" s="1"/>
  <c r="L148" i="7" s="1"/>
  <c r="L149" i="7" s="1"/>
  <c r="L150" i="7" s="1"/>
  <c r="L151" i="7" s="1"/>
  <c r="L152" i="7" s="1"/>
  <c r="L153" i="7" s="1"/>
  <c r="L154" i="7" s="1"/>
  <c r="L155" i="7" s="1"/>
  <c r="L156" i="7" s="1"/>
  <c r="L157" i="7" s="1"/>
  <c r="L158" i="7" s="1"/>
  <c r="L159" i="7" s="1"/>
  <c r="L160" i="7" s="1"/>
  <c r="L161" i="7" s="1"/>
  <c r="L162" i="7" s="1"/>
  <c r="L163" i="7" s="1"/>
  <c r="L164" i="7" s="1"/>
  <c r="L165" i="7" s="1"/>
  <c r="L166" i="7" s="1"/>
  <c r="L167" i="7" s="1"/>
  <c r="L168" i="7" s="1"/>
  <c r="L169" i="7" s="1"/>
  <c r="L170" i="7" s="1"/>
  <c r="L171" i="7" s="1"/>
  <c r="L172" i="7" s="1"/>
  <c r="L173" i="7" s="1"/>
  <c r="L174" i="7" s="1"/>
  <c r="L175" i="7" s="1"/>
  <c r="L176" i="7" s="1"/>
  <c r="L177" i="7" s="1"/>
  <c r="L178" i="7" s="1"/>
  <c r="L179" i="7" s="1"/>
  <c r="L180" i="7" s="1"/>
  <c r="L181" i="7" s="1"/>
  <c r="L182" i="7" s="1"/>
  <c r="L183" i="7" s="1"/>
  <c r="L184" i="7" s="1"/>
  <c r="L185" i="7" s="1"/>
  <c r="L186" i="7" s="1"/>
  <c r="L187" i="7" s="1"/>
  <c r="L188" i="7" s="1"/>
  <c r="L189" i="7" s="1"/>
  <c r="L190" i="7" s="1"/>
  <c r="L191" i="7" s="1"/>
  <c r="L192" i="7" s="1"/>
  <c r="L193" i="7" s="1"/>
  <c r="L194" i="7" s="1"/>
  <c r="L195" i="7" s="1"/>
  <c r="L196" i="7" s="1"/>
  <c r="L197" i="7" s="1"/>
  <c r="L198" i="7" s="1"/>
  <c r="L199" i="7" s="1"/>
  <c r="L200" i="7" s="1"/>
  <c r="L201" i="7" s="1"/>
  <c r="L202" i="7" s="1"/>
  <c r="L203" i="7" s="1"/>
  <c r="L204" i="7" s="1"/>
  <c r="L205" i="7" s="1"/>
  <c r="L206" i="7" s="1"/>
  <c r="L207" i="7" s="1"/>
  <c r="L208" i="7" s="1"/>
  <c r="L209" i="7" s="1"/>
  <c r="L210" i="7" s="1"/>
  <c r="L211" i="7" s="1"/>
  <c r="L212" i="7" s="1"/>
  <c r="L213" i="7" s="1"/>
  <c r="L214" i="7" s="1"/>
  <c r="L215" i="7" s="1"/>
  <c r="L216" i="7" s="1"/>
  <c r="L217" i="7" s="1"/>
  <c r="L218" i="7" s="1"/>
  <c r="L219" i="7" s="1"/>
  <c r="L220" i="7" s="1"/>
  <c r="L221" i="7" s="1"/>
  <c r="L222" i="7" s="1"/>
  <c r="L223" i="7" s="1"/>
  <c r="L224" i="7" s="1"/>
  <c r="L225" i="7" s="1"/>
  <c r="L226" i="7" s="1"/>
  <c r="L227" i="7" s="1"/>
  <c r="L228" i="7" s="1"/>
  <c r="L229" i="7" s="1"/>
  <c r="L230" i="7" s="1"/>
  <c r="L231" i="7" s="1"/>
  <c r="L232" i="7" s="1"/>
  <c r="L233" i="7" s="1"/>
  <c r="L234" i="7" s="1"/>
  <c r="L235" i="7" s="1"/>
  <c r="L236" i="7" s="1"/>
  <c r="L237" i="7" s="1"/>
  <c r="L238" i="7" s="1"/>
  <c r="L239" i="7" s="1"/>
  <c r="L240" i="7" s="1"/>
  <c r="L241" i="7" s="1"/>
  <c r="L242" i="7" s="1"/>
  <c r="L243" i="7" s="1"/>
  <c r="L244" i="7" s="1"/>
  <c r="L245" i="7" s="1"/>
  <c r="L246" i="7" s="1"/>
  <c r="L247" i="7" s="1"/>
  <c r="L248" i="7" s="1"/>
  <c r="L249" i="7" s="1"/>
  <c r="L250" i="7" s="1"/>
  <c r="L251" i="7" s="1"/>
  <c r="L252" i="7" s="1"/>
  <c r="L253" i="7" s="1"/>
  <c r="L254" i="7" s="1"/>
  <c r="L255" i="7" s="1"/>
  <c r="L256" i="7" s="1"/>
  <c r="L257" i="7" s="1"/>
  <c r="L258" i="7" s="1"/>
  <c r="L259" i="7" s="1"/>
  <c r="L260" i="7" s="1"/>
  <c r="L261" i="7" s="1"/>
  <c r="L262" i="7" s="1"/>
  <c r="L263" i="7" s="1"/>
  <c r="L264" i="7" s="1"/>
  <c r="L265" i="7" s="1"/>
  <c r="L266" i="7" s="1"/>
  <c r="L267" i="7" s="1"/>
  <c r="L268" i="7" s="1"/>
  <c r="L269" i="7" s="1"/>
  <c r="L270" i="7" s="1"/>
  <c r="L271" i="7" s="1"/>
  <c r="L272" i="7" s="1"/>
  <c r="L273" i="7" s="1"/>
  <c r="L274" i="7" s="1"/>
  <c r="L275" i="7" s="1"/>
  <c r="L276" i="7" s="1"/>
  <c r="L277" i="7" s="1"/>
  <c r="L278" i="7" s="1"/>
  <c r="L279" i="7" s="1"/>
  <c r="L280" i="7" s="1"/>
  <c r="L281" i="7" s="1"/>
  <c r="L282" i="7" s="1"/>
  <c r="L283" i="7" s="1"/>
  <c r="L284" i="7" s="1"/>
  <c r="L285" i="7" s="1"/>
  <c r="L286" i="7" s="1"/>
  <c r="L287" i="7" s="1"/>
  <c r="L288" i="7" s="1"/>
  <c r="L289" i="7" s="1"/>
  <c r="L290" i="7" s="1"/>
  <c r="L291" i="7" s="1"/>
  <c r="L292" i="7" s="1"/>
  <c r="L293" i="7" s="1"/>
  <c r="L294" i="7" s="1"/>
  <c r="L295" i="7" s="1"/>
  <c r="L296" i="7" s="1"/>
  <c r="L297" i="7" s="1"/>
  <c r="L298" i="7" s="1"/>
  <c r="L299" i="7" s="1"/>
  <c r="L300" i="7" s="1"/>
  <c r="L301" i="7" s="1"/>
  <c r="L302" i="7" s="1"/>
  <c r="L303" i="7" s="1"/>
  <c r="L304" i="7" s="1"/>
  <c r="L305" i="7" s="1"/>
  <c r="L306" i="7" s="1"/>
  <c r="L307" i="7" s="1"/>
  <c r="L308" i="7" s="1"/>
  <c r="L309" i="7" s="1"/>
  <c r="L310" i="7" s="1"/>
  <c r="L311" i="7" s="1"/>
  <c r="L312" i="7" s="1"/>
  <c r="L313" i="7" s="1"/>
  <c r="L314" i="7" s="1"/>
  <c r="L315" i="7" s="1"/>
  <c r="L316" i="7" s="1"/>
  <c r="L317" i="7" s="1"/>
  <c r="L318" i="7" s="1"/>
  <c r="L319" i="7" s="1"/>
  <c r="L320" i="7" s="1"/>
  <c r="L321" i="7" s="1"/>
  <c r="L322" i="7" s="1"/>
  <c r="L323" i="7" s="1"/>
  <c r="L324" i="7" s="1"/>
  <c r="L325" i="7" s="1"/>
  <c r="L326" i="7" s="1"/>
  <c r="L327" i="7" s="1"/>
  <c r="L328" i="7" s="1"/>
  <c r="L329" i="7" s="1"/>
  <c r="L330" i="7" s="1"/>
  <c r="L331" i="7" s="1"/>
  <c r="L332" i="7" s="1"/>
  <c r="L333" i="7" s="1"/>
  <c r="L334" i="7" s="1"/>
  <c r="L335" i="7" s="1"/>
  <c r="L336" i="7" s="1"/>
  <c r="L337" i="7" s="1"/>
  <c r="L338" i="7" s="1"/>
  <c r="L339" i="7" s="1"/>
  <c r="L340" i="7" s="1"/>
  <c r="L341" i="7" s="1"/>
  <c r="L342" i="7" s="1"/>
  <c r="L343" i="7" s="1"/>
  <c r="L344" i="7" s="1"/>
  <c r="L345" i="7" s="1"/>
  <c r="L346" i="7" s="1"/>
  <c r="L347" i="7" s="1"/>
  <c r="L348" i="7" s="1"/>
  <c r="L349" i="7" s="1"/>
  <c r="L350" i="7" s="1"/>
  <c r="L351" i="7" s="1"/>
  <c r="L352" i="7" s="1"/>
  <c r="L353" i="7" s="1"/>
  <c r="L354" i="7" s="1"/>
  <c r="L355" i="7" s="1"/>
  <c r="L356" i="7" s="1"/>
  <c r="L357" i="7" s="1"/>
  <c r="L358" i="7" s="1"/>
  <c r="L359" i="7" s="1"/>
  <c r="L360" i="7" s="1"/>
  <c r="L361" i="7" s="1"/>
  <c r="L362" i="7" s="1"/>
  <c r="L363" i="7" s="1"/>
  <c r="L364" i="7" s="1"/>
  <c r="L365" i="7" s="1"/>
  <c r="L366" i="7" s="1"/>
  <c r="L367" i="7" s="1"/>
  <c r="L368" i="7" s="1"/>
  <c r="L369" i="7" s="1"/>
  <c r="L370" i="7" s="1"/>
  <c r="L371" i="7" s="1"/>
  <c r="L372" i="7" s="1"/>
  <c r="L373" i="7" s="1"/>
  <c r="L374" i="7" s="1"/>
  <c r="L375" i="7" s="1"/>
  <c r="L376" i="7" s="1"/>
  <c r="L377" i="7" s="1"/>
  <c r="L378" i="7" s="1"/>
  <c r="L379" i="7" s="1"/>
  <c r="L380" i="7" s="1"/>
  <c r="L381" i="7" s="1"/>
  <c r="L382" i="7" s="1"/>
  <c r="L383" i="7" s="1"/>
  <c r="L384" i="7" s="1"/>
  <c r="L385" i="7" s="1"/>
  <c r="L386" i="7" s="1"/>
  <c r="L387" i="7" s="1"/>
  <c r="L388" i="7" s="1"/>
  <c r="L389" i="7" s="1"/>
  <c r="L390" i="7" s="1"/>
  <c r="L391" i="7" s="1"/>
  <c r="L392" i="7" s="1"/>
  <c r="L393" i="7" s="1"/>
  <c r="L394" i="7" s="1"/>
  <c r="L395" i="7" s="1"/>
  <c r="L396" i="7" s="1"/>
  <c r="L397" i="7" s="1"/>
  <c r="L398" i="7" s="1"/>
  <c r="L399" i="7" s="1"/>
  <c r="L400" i="7" s="1"/>
  <c r="L401" i="7" s="1"/>
  <c r="L402" i="7" s="1"/>
  <c r="L403" i="7" s="1"/>
  <c r="L404" i="7" s="1"/>
  <c r="L405" i="7" s="1"/>
  <c r="L406" i="7" s="1"/>
  <c r="L407" i="7" s="1"/>
  <c r="L408" i="7" s="1"/>
  <c r="L409" i="7" s="1"/>
  <c r="L410" i="7" s="1"/>
  <c r="L411" i="7" s="1"/>
  <c r="L412" i="7" s="1"/>
  <c r="L413" i="7" s="1"/>
  <c r="L414" i="7" s="1"/>
  <c r="L415" i="7" s="1"/>
  <c r="L416" i="7" s="1"/>
  <c r="L417" i="7" s="1"/>
  <c r="L418" i="7" s="1"/>
  <c r="L419" i="7" s="1"/>
  <c r="L420" i="7" s="1"/>
  <c r="L421" i="7" s="1"/>
  <c r="L422" i="7" s="1"/>
  <c r="L423" i="7" s="1"/>
  <c r="L424" i="7" s="1"/>
  <c r="L425" i="7" s="1"/>
  <c r="L426" i="7" s="1"/>
  <c r="L427" i="7" s="1"/>
  <c r="L428" i="7" s="1"/>
  <c r="L429" i="7" s="1"/>
  <c r="L430" i="7" s="1"/>
  <c r="L431" i="7" s="1"/>
  <c r="L432" i="7" s="1"/>
  <c r="L433" i="7" s="1"/>
  <c r="L434" i="7" s="1"/>
  <c r="L435" i="7" s="1"/>
  <c r="L436" i="7" s="1"/>
  <c r="L437" i="7" s="1"/>
  <c r="L438" i="7" s="1"/>
  <c r="L439" i="7" s="1"/>
  <c r="L440" i="7" s="1"/>
  <c r="L441" i="7" s="1"/>
  <c r="L442" i="7" s="1"/>
  <c r="L443" i="7" s="1"/>
  <c r="L444" i="7" s="1"/>
  <c r="L445" i="7" s="1"/>
  <c r="L446" i="7" s="1"/>
  <c r="L447" i="7" s="1"/>
  <c r="L448" i="7" s="1"/>
  <c r="L449" i="7" s="1"/>
  <c r="L450" i="7" s="1"/>
  <c r="L451" i="7" s="1"/>
  <c r="L452" i="7" s="1"/>
  <c r="L453" i="7" s="1"/>
  <c r="L454" i="7" s="1"/>
  <c r="L455" i="7" s="1"/>
  <c r="L456" i="7" s="1"/>
  <c r="L457" i="7" s="1"/>
  <c r="L458" i="7" s="1"/>
  <c r="L459" i="7" s="1"/>
  <c r="L460" i="7" s="1"/>
  <c r="L461" i="7" s="1"/>
  <c r="L462" i="7" s="1"/>
  <c r="L463" i="7" s="1"/>
  <c r="L464" i="7" s="1"/>
  <c r="L465" i="7" s="1"/>
  <c r="L466" i="7" s="1"/>
  <c r="L467" i="7" s="1"/>
  <c r="L468" i="7" s="1"/>
  <c r="L469" i="7" s="1"/>
  <c r="L470" i="7" s="1"/>
  <c r="L471" i="7" s="1"/>
  <c r="L472" i="7" s="1"/>
  <c r="L473" i="7" s="1"/>
  <c r="L474" i="7" s="1"/>
  <c r="L475" i="7" s="1"/>
  <c r="L476" i="7" s="1"/>
  <c r="L477" i="7" s="1"/>
  <c r="L478" i="7" s="1"/>
  <c r="L479" i="7" s="1"/>
  <c r="L480" i="7" s="1"/>
  <c r="L481" i="7" s="1"/>
  <c r="L482" i="7" s="1"/>
  <c r="L483" i="7" s="1"/>
  <c r="L484" i="7" s="1"/>
  <c r="L485" i="7" s="1"/>
  <c r="L486" i="7" s="1"/>
  <c r="L487" i="7" s="1"/>
  <c r="L488" i="7" s="1"/>
  <c r="L489" i="7" s="1"/>
  <c r="L490" i="7" s="1"/>
  <c r="L491" i="7" s="1"/>
  <c r="L492" i="7" s="1"/>
  <c r="L493" i="7" s="1"/>
  <c r="L494" i="7" s="1"/>
  <c r="L495" i="7" s="1"/>
  <c r="L496" i="7" s="1"/>
  <c r="L497" i="7" s="1"/>
  <c r="L498" i="7" s="1"/>
  <c r="L499" i="7" s="1"/>
  <c r="L500" i="7" s="1"/>
  <c r="L501" i="7" s="1"/>
  <c r="L502" i="7" s="1"/>
  <c r="L503" i="7" s="1"/>
  <c r="L504" i="7" s="1"/>
  <c r="L505" i="7" s="1"/>
  <c r="L506" i="7" s="1"/>
  <c r="L507" i="7" s="1"/>
  <c r="L508" i="7" s="1"/>
  <c r="L509" i="7" s="1"/>
  <c r="L510" i="7" s="1"/>
  <c r="L511" i="7" s="1"/>
  <c r="L512" i="7" s="1"/>
  <c r="L513" i="7" s="1"/>
  <c r="L514" i="7" s="1"/>
  <c r="L515" i="7" s="1"/>
  <c r="L516" i="7" s="1"/>
  <c r="L517" i="7" s="1"/>
  <c r="L518" i="7" s="1"/>
  <c r="L519" i="7" s="1"/>
  <c r="L520" i="7" s="1"/>
  <c r="L521" i="7" s="1"/>
  <c r="L522" i="7" s="1"/>
  <c r="L523" i="7" s="1"/>
  <c r="L524" i="7" s="1"/>
  <c r="L525" i="7" s="1"/>
  <c r="L526" i="7" s="1"/>
  <c r="L527" i="7" s="1"/>
  <c r="L528" i="7" s="1"/>
  <c r="L529" i="7" s="1"/>
  <c r="L530" i="7" s="1"/>
  <c r="L531" i="7" s="1"/>
  <c r="L532" i="7" s="1"/>
  <c r="L533" i="7" s="1"/>
  <c r="L534" i="7" s="1"/>
  <c r="L535" i="7" s="1"/>
  <c r="L536" i="7" s="1"/>
  <c r="L537" i="7" s="1"/>
  <c r="L538" i="7" s="1"/>
  <c r="L539" i="7" s="1"/>
  <c r="L540" i="7" s="1"/>
  <c r="L541" i="7" s="1"/>
  <c r="L542" i="7" s="1"/>
  <c r="L543" i="7" s="1"/>
  <c r="L544" i="7" s="1"/>
  <c r="L545" i="7" s="1"/>
  <c r="L546" i="7" s="1"/>
  <c r="L547" i="7" s="1"/>
  <c r="L548" i="7" s="1"/>
  <c r="L549" i="7" s="1"/>
  <c r="L550" i="7" s="1"/>
  <c r="L551" i="7" s="1"/>
  <c r="L552" i="7" s="1"/>
  <c r="L553" i="7" s="1"/>
  <c r="L554" i="7" s="1"/>
  <c r="L555" i="7" s="1"/>
  <c r="L556" i="7" s="1"/>
  <c r="L557" i="7" s="1"/>
  <c r="L558" i="7" s="1"/>
  <c r="L559" i="7" s="1"/>
  <c r="L560" i="7" s="1"/>
  <c r="L561" i="7" s="1"/>
  <c r="L562" i="7" s="1"/>
  <c r="L563" i="7" s="1"/>
  <c r="L564" i="7" s="1"/>
  <c r="L565" i="7" s="1"/>
  <c r="L566" i="7" s="1"/>
  <c r="L567" i="7" s="1"/>
  <c r="L568" i="7" s="1"/>
  <c r="L569" i="7" s="1"/>
  <c r="L570" i="7" s="1"/>
  <c r="L571" i="7" s="1"/>
  <c r="L572" i="7" s="1"/>
  <c r="L573" i="7" s="1"/>
  <c r="L574" i="7" s="1"/>
  <c r="L575" i="7" s="1"/>
  <c r="L576" i="7" s="1"/>
  <c r="L577" i="7" s="1"/>
  <c r="L578" i="7" s="1"/>
  <c r="L579" i="7" s="1"/>
  <c r="L580" i="7" s="1"/>
  <c r="L581" i="7" s="1"/>
  <c r="L582" i="7" s="1"/>
  <c r="L583" i="7" s="1"/>
  <c r="L584" i="7" s="1"/>
  <c r="L585" i="7" s="1"/>
  <c r="L586" i="7" s="1"/>
  <c r="L587" i="7" s="1"/>
  <c r="L588" i="7" s="1"/>
  <c r="L589" i="7" s="1"/>
  <c r="L590" i="7" s="1"/>
  <c r="L591" i="7" s="1"/>
  <c r="L592" i="7" s="1"/>
  <c r="L593" i="7" s="1"/>
  <c r="L594" i="7" s="1"/>
  <c r="L595" i="7" s="1"/>
  <c r="L596" i="7" s="1"/>
  <c r="L597" i="7" s="1"/>
  <c r="L598" i="7" s="1"/>
  <c r="L599" i="7" s="1"/>
  <c r="L600" i="7" s="1"/>
  <c r="L601" i="7" s="1"/>
  <c r="L602" i="7" s="1"/>
  <c r="L603" i="7" s="1"/>
  <c r="L604" i="7" s="1"/>
  <c r="L605" i="7" s="1"/>
  <c r="L606" i="7" s="1"/>
  <c r="L607" i="7" s="1"/>
  <c r="L608" i="7" s="1"/>
  <c r="L609" i="7" s="1"/>
  <c r="L610" i="7" s="1"/>
  <c r="L611" i="7" s="1"/>
  <c r="L612" i="7" s="1"/>
  <c r="L613" i="7" s="1"/>
  <c r="L614" i="7" s="1"/>
  <c r="L615" i="7" s="1"/>
  <c r="L616" i="7" s="1"/>
  <c r="L617" i="7" s="1"/>
  <c r="L618" i="7" s="1"/>
  <c r="L619" i="7" s="1"/>
  <c r="L620" i="7" s="1"/>
  <c r="L621" i="7" s="1"/>
  <c r="L622" i="7" s="1"/>
  <c r="L623" i="7" s="1"/>
  <c r="L624" i="7" s="1"/>
  <c r="L625" i="7" s="1"/>
  <c r="L626" i="7" s="1"/>
  <c r="L627" i="7" s="1"/>
  <c r="L628" i="7" s="1"/>
  <c r="L629" i="7" s="1"/>
  <c r="L630" i="7" s="1"/>
  <c r="L631" i="7" s="1"/>
  <c r="L632" i="7" s="1"/>
  <c r="L633" i="7" s="1"/>
  <c r="L634" i="7" s="1"/>
  <c r="L635" i="7" s="1"/>
  <c r="L636" i="7" s="1"/>
  <c r="L637" i="7" s="1"/>
  <c r="L638" i="7" s="1"/>
  <c r="L639" i="7" s="1"/>
  <c r="L640" i="7" s="1"/>
  <c r="L641" i="7" s="1"/>
  <c r="L642" i="7" s="1"/>
  <c r="L643" i="7" s="1"/>
  <c r="L644" i="7" s="1"/>
  <c r="L645" i="7" s="1"/>
  <c r="L646" i="7" s="1"/>
  <c r="L647" i="7" s="1"/>
  <c r="L648" i="7" s="1"/>
  <c r="L649" i="7" s="1"/>
  <c r="L650" i="7" s="1"/>
  <c r="L651" i="7" s="1"/>
  <c r="L652" i="7" s="1"/>
  <c r="L653" i="7" s="1"/>
  <c r="L654" i="7" s="1"/>
  <c r="L655" i="7" s="1"/>
  <c r="L656" i="7" s="1"/>
  <c r="L657" i="7" s="1"/>
  <c r="L658" i="7" s="1"/>
  <c r="L659" i="7" s="1"/>
  <c r="L660" i="7" s="1"/>
  <c r="L661" i="7" s="1"/>
  <c r="L662" i="7" s="1"/>
  <c r="L663" i="7" s="1"/>
  <c r="L664" i="7" s="1"/>
  <c r="L665" i="7" s="1"/>
  <c r="L666" i="7" s="1"/>
  <c r="L667" i="7" s="1"/>
  <c r="L668" i="7" s="1"/>
  <c r="L669" i="7" s="1"/>
  <c r="L670" i="7" s="1"/>
  <c r="L671" i="7" s="1"/>
  <c r="L672" i="7" s="1"/>
  <c r="L673" i="7" s="1"/>
  <c r="L674" i="7" s="1"/>
  <c r="L675" i="7" s="1"/>
  <c r="L676" i="7" s="1"/>
  <c r="L677" i="7" s="1"/>
  <c r="L678" i="7" s="1"/>
  <c r="L679" i="7" s="1"/>
  <c r="L680" i="7" s="1"/>
  <c r="L681" i="7" s="1"/>
  <c r="L682" i="7" s="1"/>
  <c r="L683" i="7" s="1"/>
  <c r="L684" i="7" s="1"/>
  <c r="L685" i="7" s="1"/>
  <c r="L686" i="7" s="1"/>
  <c r="L687" i="7" s="1"/>
  <c r="L688" i="7" s="1"/>
  <c r="L689" i="7" s="1"/>
  <c r="L690" i="7" s="1"/>
  <c r="L691" i="7" s="1"/>
  <c r="L692" i="7" s="1"/>
  <c r="L693" i="7" s="1"/>
  <c r="L694" i="7" s="1"/>
  <c r="L695" i="7" s="1"/>
  <c r="L696" i="7" s="1"/>
  <c r="L697" i="7" s="1"/>
  <c r="L698" i="7" s="1"/>
  <c r="L699" i="7" s="1"/>
  <c r="L700" i="7" s="1"/>
  <c r="L701" i="7" s="1"/>
  <c r="L702" i="7" s="1"/>
  <c r="L703" i="7" s="1"/>
  <c r="L704" i="7" s="1"/>
  <c r="L705" i="7" s="1"/>
  <c r="L706" i="7" s="1"/>
  <c r="L707" i="7" s="1"/>
  <c r="E4" i="7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E194" i="7" s="1"/>
  <c r="E195" i="7" s="1"/>
  <c r="E196" i="7" s="1"/>
  <c r="E197" i="7" s="1"/>
  <c r="E198" i="7" s="1"/>
  <c r="E199" i="7" s="1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211" i="7" s="1"/>
  <c r="E212" i="7" s="1"/>
  <c r="E213" i="7" s="1"/>
  <c r="E214" i="7" s="1"/>
  <c r="E215" i="7" s="1"/>
  <c r="E216" i="7" s="1"/>
  <c r="E217" i="7" s="1"/>
  <c r="E218" i="7" s="1"/>
  <c r="E219" i="7" s="1"/>
  <c r="E220" i="7" s="1"/>
  <c r="E221" i="7" s="1"/>
  <c r="E222" i="7" s="1"/>
  <c r="E223" i="7" s="1"/>
  <c r="E224" i="7" s="1"/>
  <c r="E225" i="7" s="1"/>
  <c r="E226" i="7" s="1"/>
  <c r="E227" i="7" s="1"/>
  <c r="E228" i="7" s="1"/>
  <c r="E229" i="7" s="1"/>
  <c r="E230" i="7" s="1"/>
  <c r="E231" i="7" s="1"/>
  <c r="E232" i="7" s="1"/>
  <c r="E233" i="7" s="1"/>
  <c r="E234" i="7" s="1"/>
  <c r="E235" i="7" s="1"/>
  <c r="E236" i="7" s="1"/>
  <c r="E237" i="7" s="1"/>
  <c r="E238" i="7" s="1"/>
  <c r="E239" i="7" s="1"/>
  <c r="E240" i="7" s="1"/>
  <c r="E241" i="7" s="1"/>
  <c r="E242" i="7" s="1"/>
  <c r="E243" i="7" s="1"/>
  <c r="E244" i="7" s="1"/>
  <c r="E245" i="7" s="1"/>
  <c r="E246" i="7" s="1"/>
  <c r="E247" i="7" s="1"/>
  <c r="E248" i="7" s="1"/>
  <c r="E249" i="7" s="1"/>
  <c r="E250" i="7" s="1"/>
  <c r="E251" i="7" s="1"/>
  <c r="E252" i="7" s="1"/>
  <c r="E253" i="7" s="1"/>
  <c r="E254" i="7" s="1"/>
  <c r="E255" i="7" s="1"/>
  <c r="E256" i="7" s="1"/>
  <c r="E257" i="7" s="1"/>
  <c r="E258" i="7" s="1"/>
  <c r="E259" i="7" s="1"/>
  <c r="E260" i="7" s="1"/>
  <c r="E261" i="7" s="1"/>
  <c r="E262" i="7" s="1"/>
  <c r="E263" i="7" s="1"/>
  <c r="E264" i="7" s="1"/>
  <c r="E265" i="7" s="1"/>
  <c r="E266" i="7" s="1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92" i="7" s="1"/>
  <c r="E293" i="7" s="1"/>
  <c r="E294" i="7" s="1"/>
  <c r="E295" i="7" s="1"/>
  <c r="E296" i="7" s="1"/>
  <c r="E297" i="7" s="1"/>
  <c r="E298" i="7" s="1"/>
  <c r="E299" i="7" s="1"/>
  <c r="E300" i="7" s="1"/>
  <c r="E301" i="7" s="1"/>
  <c r="E302" i="7" s="1"/>
  <c r="E303" i="7" s="1"/>
  <c r="E304" i="7" s="1"/>
  <c r="E305" i="7" s="1"/>
  <c r="E306" i="7" s="1"/>
  <c r="E307" i="7" s="1"/>
  <c r="E308" i="7" s="1"/>
  <c r="E309" i="7" s="1"/>
  <c r="E310" i="7" s="1"/>
  <c r="E311" i="7" s="1"/>
  <c r="E312" i="7" s="1"/>
  <c r="E313" i="7" s="1"/>
  <c r="E314" i="7" s="1"/>
  <c r="E315" i="7" s="1"/>
  <c r="E316" i="7" s="1"/>
  <c r="E317" i="7" s="1"/>
  <c r="E318" i="7" s="1"/>
  <c r="E319" i="7" s="1"/>
  <c r="E320" i="7" s="1"/>
  <c r="E321" i="7" s="1"/>
  <c r="E322" i="7" s="1"/>
  <c r="E323" i="7" s="1"/>
  <c r="E324" i="7" s="1"/>
  <c r="E325" i="7" s="1"/>
  <c r="E326" i="7" s="1"/>
  <c r="E327" i="7" s="1"/>
  <c r="E328" i="7" s="1"/>
  <c r="E329" i="7" s="1"/>
  <c r="E330" i="7" s="1"/>
  <c r="E331" i="7" s="1"/>
  <c r="E332" i="7" s="1"/>
  <c r="E333" i="7" s="1"/>
  <c r="E334" i="7" s="1"/>
  <c r="E335" i="7" s="1"/>
  <c r="E336" i="7" s="1"/>
  <c r="E337" i="7" s="1"/>
  <c r="E338" i="7" s="1"/>
  <c r="E339" i="7" s="1"/>
  <c r="E340" i="7" s="1"/>
  <c r="E341" i="7" s="1"/>
  <c r="E342" i="7" s="1"/>
  <c r="E343" i="7" s="1"/>
  <c r="E344" i="7" s="1"/>
  <c r="E345" i="7" s="1"/>
  <c r="E346" i="7" s="1"/>
  <c r="E347" i="7" s="1"/>
  <c r="E348" i="7" s="1"/>
  <c r="E349" i="7" s="1"/>
  <c r="E350" i="7" s="1"/>
  <c r="E351" i="7" s="1"/>
  <c r="E352" i="7" s="1"/>
  <c r="E353" i="7" s="1"/>
  <c r="E354" i="7" s="1"/>
  <c r="E355" i="7" s="1"/>
  <c r="E356" i="7" s="1"/>
  <c r="E357" i="7" s="1"/>
  <c r="E358" i="7" s="1"/>
  <c r="E359" i="7" s="1"/>
  <c r="E360" i="7" s="1"/>
  <c r="E361" i="7" s="1"/>
  <c r="E362" i="7" s="1"/>
  <c r="E363" i="7" s="1"/>
  <c r="E364" i="7" s="1"/>
  <c r="E365" i="7" s="1"/>
  <c r="E366" i="7" s="1"/>
  <c r="E367" i="7" s="1"/>
  <c r="E368" i="7" s="1"/>
  <c r="E369" i="7" s="1"/>
  <c r="E370" i="7" s="1"/>
  <c r="E371" i="7" s="1"/>
  <c r="E372" i="7" s="1"/>
  <c r="E373" i="7" s="1"/>
  <c r="E374" i="7" s="1"/>
  <c r="E375" i="7" s="1"/>
  <c r="E376" i="7" s="1"/>
  <c r="E377" i="7" s="1"/>
  <c r="E378" i="7" s="1"/>
  <c r="E379" i="7" s="1"/>
  <c r="E380" i="7" s="1"/>
  <c r="E381" i="7" s="1"/>
  <c r="E382" i="7" s="1"/>
  <c r="E383" i="7" s="1"/>
  <c r="E384" i="7" s="1"/>
  <c r="E385" i="7" s="1"/>
  <c r="E386" i="7" s="1"/>
  <c r="E387" i="7" s="1"/>
  <c r="E388" i="7" s="1"/>
  <c r="E389" i="7" s="1"/>
  <c r="E390" i="7" s="1"/>
  <c r="E391" i="7" s="1"/>
  <c r="E392" i="7" s="1"/>
  <c r="E393" i="7" s="1"/>
  <c r="E394" i="7" s="1"/>
  <c r="E395" i="7" s="1"/>
  <c r="E396" i="7" s="1"/>
  <c r="E397" i="7" s="1"/>
  <c r="E398" i="7" s="1"/>
  <c r="E399" i="7" s="1"/>
  <c r="E400" i="7" s="1"/>
  <c r="E401" i="7" s="1"/>
  <c r="E402" i="7" s="1"/>
  <c r="E403" i="7" s="1"/>
  <c r="E404" i="7" s="1"/>
  <c r="E405" i="7" s="1"/>
  <c r="E406" i="7" s="1"/>
  <c r="E407" i="7" s="1"/>
  <c r="E408" i="7" s="1"/>
  <c r="E409" i="7" s="1"/>
  <c r="E410" i="7" s="1"/>
  <c r="E411" i="7" s="1"/>
  <c r="E412" i="7" s="1"/>
  <c r="E413" i="7" s="1"/>
  <c r="E414" i="7" s="1"/>
  <c r="E415" i="7" s="1"/>
  <c r="E416" i="7" s="1"/>
  <c r="E417" i="7" s="1"/>
  <c r="E418" i="7" s="1"/>
  <c r="E419" i="7" s="1"/>
  <c r="E420" i="7" s="1"/>
  <c r="E421" i="7" s="1"/>
  <c r="E422" i="7" s="1"/>
  <c r="E423" i="7" s="1"/>
  <c r="E424" i="7" s="1"/>
  <c r="E425" i="7" s="1"/>
  <c r="E426" i="7" s="1"/>
  <c r="E427" i="7" s="1"/>
  <c r="E428" i="7" s="1"/>
  <c r="E429" i="7" s="1"/>
  <c r="E430" i="7" s="1"/>
  <c r="E431" i="7" s="1"/>
  <c r="E432" i="7" s="1"/>
  <c r="E433" i="7" s="1"/>
  <c r="E434" i="7" s="1"/>
  <c r="E435" i="7" s="1"/>
  <c r="E436" i="7" s="1"/>
  <c r="E437" i="7" s="1"/>
  <c r="E438" i="7" s="1"/>
  <c r="E439" i="7" s="1"/>
  <c r="E440" i="7" s="1"/>
  <c r="E441" i="7" s="1"/>
  <c r="E442" i="7" s="1"/>
  <c r="E443" i="7" s="1"/>
  <c r="E444" i="7" s="1"/>
  <c r="E445" i="7" s="1"/>
  <c r="E446" i="7" s="1"/>
  <c r="E447" i="7" s="1"/>
  <c r="E448" i="7" s="1"/>
  <c r="E449" i="7" s="1"/>
  <c r="E450" i="7" s="1"/>
  <c r="E451" i="7" s="1"/>
  <c r="E452" i="7" s="1"/>
  <c r="E453" i="7" s="1"/>
  <c r="E454" i="7" s="1"/>
  <c r="E455" i="7" s="1"/>
  <c r="E456" i="7" s="1"/>
  <c r="E457" i="7" s="1"/>
  <c r="E458" i="7" s="1"/>
  <c r="E459" i="7" s="1"/>
  <c r="E460" i="7" s="1"/>
  <c r="E461" i="7" s="1"/>
  <c r="E462" i="7" s="1"/>
  <c r="E463" i="7" s="1"/>
  <c r="E464" i="7" s="1"/>
  <c r="E465" i="7" s="1"/>
  <c r="E466" i="7" s="1"/>
  <c r="E467" i="7" s="1"/>
  <c r="E468" i="7" s="1"/>
  <c r="E469" i="7" s="1"/>
  <c r="E470" i="7" s="1"/>
  <c r="E471" i="7" s="1"/>
  <c r="E472" i="7" s="1"/>
  <c r="E473" i="7" s="1"/>
  <c r="E474" i="7" s="1"/>
  <c r="E475" i="7" s="1"/>
  <c r="E476" i="7" s="1"/>
  <c r="E477" i="7" s="1"/>
  <c r="E478" i="7" s="1"/>
  <c r="E479" i="7" s="1"/>
  <c r="E480" i="7" s="1"/>
  <c r="E481" i="7" s="1"/>
  <c r="E482" i="7" s="1"/>
  <c r="E483" i="7" s="1"/>
  <c r="E484" i="7" s="1"/>
  <c r="E485" i="7" s="1"/>
  <c r="E486" i="7" s="1"/>
  <c r="E487" i="7" s="1"/>
  <c r="E488" i="7" s="1"/>
  <c r="E489" i="7" s="1"/>
  <c r="E490" i="7" s="1"/>
  <c r="E491" i="7" s="1"/>
  <c r="E492" i="7" s="1"/>
  <c r="E493" i="7" s="1"/>
  <c r="E494" i="7" s="1"/>
  <c r="E495" i="7" s="1"/>
  <c r="E496" i="7" s="1"/>
  <c r="E497" i="7" s="1"/>
  <c r="E498" i="7" s="1"/>
  <c r="E499" i="7" s="1"/>
  <c r="E500" i="7" s="1"/>
  <c r="E501" i="7" s="1"/>
  <c r="E502" i="7" s="1"/>
  <c r="E503" i="7" s="1"/>
  <c r="E504" i="7" s="1"/>
  <c r="E505" i="7" s="1"/>
  <c r="E506" i="7" s="1"/>
  <c r="E507" i="7" s="1"/>
  <c r="E508" i="7" s="1"/>
  <c r="E509" i="7" s="1"/>
  <c r="E510" i="7" s="1"/>
  <c r="E511" i="7" s="1"/>
  <c r="E512" i="7" s="1"/>
  <c r="E513" i="7" s="1"/>
  <c r="E514" i="7" s="1"/>
  <c r="E515" i="7" s="1"/>
  <c r="E516" i="7" s="1"/>
  <c r="E517" i="7" s="1"/>
  <c r="E518" i="7" s="1"/>
  <c r="E519" i="7" s="1"/>
  <c r="E520" i="7" s="1"/>
  <c r="E521" i="7" s="1"/>
  <c r="E522" i="7" s="1"/>
  <c r="E523" i="7" s="1"/>
  <c r="E524" i="7" s="1"/>
  <c r="E525" i="7" s="1"/>
  <c r="E526" i="7" s="1"/>
  <c r="E527" i="7" s="1"/>
  <c r="E528" i="7" s="1"/>
  <c r="E529" i="7" s="1"/>
  <c r="E530" i="7" s="1"/>
  <c r="E531" i="7" s="1"/>
  <c r="E532" i="7" s="1"/>
  <c r="E533" i="7" s="1"/>
  <c r="E534" i="7" s="1"/>
  <c r="E535" i="7" s="1"/>
  <c r="E536" i="7" s="1"/>
  <c r="E537" i="7" s="1"/>
  <c r="E538" i="7" s="1"/>
  <c r="E539" i="7" s="1"/>
  <c r="E540" i="7" s="1"/>
  <c r="E541" i="7" s="1"/>
  <c r="E542" i="7" s="1"/>
  <c r="E543" i="7" s="1"/>
  <c r="E544" i="7" s="1"/>
  <c r="E545" i="7" s="1"/>
  <c r="E546" i="7" s="1"/>
  <c r="E547" i="7" s="1"/>
  <c r="E548" i="7" s="1"/>
  <c r="E549" i="7" s="1"/>
  <c r="E550" i="7" s="1"/>
  <c r="E551" i="7" s="1"/>
  <c r="E552" i="7" s="1"/>
  <c r="E553" i="7" s="1"/>
  <c r="E554" i="7" s="1"/>
  <c r="E555" i="7" s="1"/>
  <c r="E556" i="7" s="1"/>
  <c r="E557" i="7" s="1"/>
  <c r="E558" i="7" s="1"/>
  <c r="E559" i="7" s="1"/>
  <c r="E560" i="7" s="1"/>
  <c r="E561" i="7" s="1"/>
  <c r="E562" i="7" s="1"/>
  <c r="E563" i="7" s="1"/>
  <c r="E564" i="7" s="1"/>
  <c r="E565" i="7" s="1"/>
  <c r="E566" i="7" s="1"/>
  <c r="E567" i="7" s="1"/>
  <c r="E568" i="7" s="1"/>
  <c r="E569" i="7" s="1"/>
  <c r="E570" i="7" s="1"/>
  <c r="E571" i="7" s="1"/>
  <c r="E572" i="7" s="1"/>
  <c r="E573" i="7" s="1"/>
  <c r="E574" i="7" s="1"/>
  <c r="E575" i="7" s="1"/>
  <c r="E576" i="7" s="1"/>
  <c r="E577" i="7" s="1"/>
  <c r="E578" i="7" s="1"/>
  <c r="E579" i="7" s="1"/>
  <c r="E580" i="7" s="1"/>
  <c r="E581" i="7" s="1"/>
  <c r="E582" i="7" s="1"/>
  <c r="E583" i="7" s="1"/>
  <c r="E584" i="7" s="1"/>
  <c r="E585" i="7" s="1"/>
  <c r="E586" i="7" s="1"/>
  <c r="E587" i="7" s="1"/>
  <c r="E588" i="7" s="1"/>
  <c r="E589" i="7" s="1"/>
  <c r="E590" i="7" s="1"/>
  <c r="E591" i="7" s="1"/>
  <c r="E592" i="7" s="1"/>
  <c r="E593" i="7" s="1"/>
  <c r="E594" i="7" s="1"/>
  <c r="E595" i="7" s="1"/>
  <c r="E596" i="7" s="1"/>
  <c r="E597" i="7" s="1"/>
  <c r="E598" i="7" s="1"/>
  <c r="E599" i="7" s="1"/>
  <c r="E600" i="7" s="1"/>
  <c r="E601" i="7" s="1"/>
  <c r="E602" i="7" s="1"/>
  <c r="E603" i="7" s="1"/>
  <c r="E604" i="7" s="1"/>
  <c r="E605" i="7" s="1"/>
  <c r="E606" i="7" s="1"/>
  <c r="E607" i="7" s="1"/>
  <c r="E608" i="7" s="1"/>
  <c r="E609" i="7" s="1"/>
  <c r="E610" i="7" s="1"/>
  <c r="E611" i="7" s="1"/>
  <c r="E612" i="7" s="1"/>
  <c r="E613" i="7" s="1"/>
  <c r="E614" i="7" s="1"/>
  <c r="E615" i="7" s="1"/>
  <c r="E616" i="7" s="1"/>
  <c r="E617" i="7" s="1"/>
  <c r="E618" i="7" s="1"/>
  <c r="E619" i="7" s="1"/>
  <c r="E620" i="7" s="1"/>
  <c r="E621" i="7" s="1"/>
  <c r="E622" i="7" s="1"/>
  <c r="E623" i="7" s="1"/>
  <c r="E624" i="7" s="1"/>
  <c r="E625" i="7" s="1"/>
  <c r="E626" i="7" s="1"/>
  <c r="E627" i="7" s="1"/>
  <c r="E628" i="7" s="1"/>
  <c r="E629" i="7" s="1"/>
  <c r="E630" i="7" s="1"/>
  <c r="E631" i="7" s="1"/>
  <c r="E632" i="7" s="1"/>
  <c r="E633" i="7" s="1"/>
  <c r="E634" i="7" s="1"/>
  <c r="E635" i="7" s="1"/>
  <c r="E636" i="7" s="1"/>
  <c r="E637" i="7" s="1"/>
  <c r="E638" i="7" s="1"/>
  <c r="E639" i="7" s="1"/>
  <c r="E640" i="7" s="1"/>
  <c r="E641" i="7" s="1"/>
  <c r="E642" i="7" s="1"/>
  <c r="E643" i="7" s="1"/>
  <c r="E644" i="7" s="1"/>
  <c r="E645" i="7" s="1"/>
  <c r="E646" i="7" s="1"/>
  <c r="E647" i="7" s="1"/>
  <c r="E648" i="7" s="1"/>
  <c r="E649" i="7" s="1"/>
  <c r="E650" i="7" s="1"/>
  <c r="E651" i="7" s="1"/>
  <c r="E652" i="7" s="1"/>
  <c r="E653" i="7" s="1"/>
  <c r="E654" i="7" s="1"/>
  <c r="E655" i="7" s="1"/>
  <c r="E656" i="7" s="1"/>
  <c r="E657" i="7" s="1"/>
  <c r="E658" i="7" s="1"/>
  <c r="E659" i="7" s="1"/>
  <c r="E660" i="7" s="1"/>
  <c r="E661" i="7" s="1"/>
  <c r="E662" i="7" s="1"/>
  <c r="E663" i="7" s="1"/>
  <c r="E664" i="7" s="1"/>
  <c r="E665" i="7" s="1"/>
  <c r="E666" i="7" s="1"/>
  <c r="E667" i="7" s="1"/>
  <c r="E668" i="7" s="1"/>
  <c r="E669" i="7" s="1"/>
  <c r="E670" i="7" s="1"/>
  <c r="E671" i="7" s="1"/>
  <c r="E672" i="7" s="1"/>
  <c r="E673" i="7" s="1"/>
  <c r="E674" i="7" s="1"/>
  <c r="E675" i="7" s="1"/>
  <c r="E676" i="7" s="1"/>
  <c r="E677" i="7" s="1"/>
  <c r="E678" i="7" s="1"/>
  <c r="E679" i="7" s="1"/>
  <c r="E680" i="7" s="1"/>
  <c r="E681" i="7" s="1"/>
  <c r="E682" i="7" s="1"/>
  <c r="E683" i="7" s="1"/>
  <c r="E684" i="7" s="1"/>
  <c r="E685" i="7" s="1"/>
  <c r="E686" i="7" s="1"/>
  <c r="E687" i="7" s="1"/>
  <c r="E688" i="7" s="1"/>
  <c r="E689" i="7" s="1"/>
  <c r="E690" i="7" s="1"/>
  <c r="E691" i="7" s="1"/>
  <c r="E692" i="7" s="1"/>
  <c r="E693" i="7" s="1"/>
  <c r="E694" i="7" s="1"/>
  <c r="E695" i="7" s="1"/>
  <c r="E696" i="7" s="1"/>
  <c r="E697" i="7" s="1"/>
  <c r="E698" i="7" s="1"/>
  <c r="E699" i="7" s="1"/>
  <c r="E700" i="7" s="1"/>
  <c r="E701" i="7" s="1"/>
  <c r="E702" i="7" s="1"/>
  <c r="E703" i="7" s="1"/>
  <c r="E704" i="7" s="1"/>
  <c r="E705" i="7" s="1"/>
  <c r="E706" i="7" s="1"/>
  <c r="E707" i="7" s="1"/>
  <c r="C218" i="1"/>
  <c r="C218" i="4"/>
  <c r="M6" i="7" l="1"/>
  <c r="M7" i="7" s="1"/>
  <c r="H212" i="4"/>
  <c r="M8" i="7" l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l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M111" i="7" s="1"/>
  <c r="M112" i="7" s="1"/>
  <c r="M113" i="7" s="1"/>
  <c r="M114" i="7" s="1"/>
  <c r="M115" i="7" s="1"/>
  <c r="M116" i="7" s="1"/>
  <c r="M117" i="7" s="1"/>
  <c r="M118" i="7" s="1"/>
  <c r="M119" i="7" s="1"/>
  <c r="M120" i="7" s="1"/>
  <c r="M121" i="7" s="1"/>
  <c r="M122" i="7" s="1"/>
  <c r="M123" i="7" s="1"/>
  <c r="M124" i="7" s="1"/>
  <c r="M125" i="7" s="1"/>
  <c r="M126" i="7" s="1"/>
  <c r="M127" i="7" s="1"/>
  <c r="M128" i="7" s="1"/>
  <c r="M129" i="7" s="1"/>
  <c r="M130" i="7" s="1"/>
  <c r="M131" i="7" s="1"/>
  <c r="M132" i="7" s="1"/>
  <c r="M133" i="7" s="1"/>
  <c r="M134" i="7" s="1"/>
  <c r="M135" i="7" s="1"/>
  <c r="M136" i="7" s="1"/>
  <c r="M137" i="7" s="1"/>
  <c r="M138" i="7" s="1"/>
  <c r="M139" i="7" s="1"/>
  <c r="M140" i="7" s="1"/>
  <c r="M141" i="7" s="1"/>
  <c r="M142" i="7" s="1"/>
  <c r="M143" i="7" s="1"/>
  <c r="M144" i="7" s="1"/>
  <c r="M145" i="7" s="1"/>
  <c r="M146" i="7" s="1"/>
  <c r="M147" i="7" s="1"/>
  <c r="M148" i="7" s="1"/>
  <c r="M149" i="7" s="1"/>
  <c r="M150" i="7" s="1"/>
  <c r="M151" i="7" s="1"/>
  <c r="M152" i="7" s="1"/>
  <c r="M153" i="7" s="1"/>
  <c r="M154" i="7" s="1"/>
  <c r="M155" i="7" s="1"/>
  <c r="M156" i="7" s="1"/>
  <c r="M157" i="7" s="1"/>
  <c r="M158" i="7" s="1"/>
  <c r="M159" i="7" s="1"/>
  <c r="M160" i="7" s="1"/>
  <c r="M161" i="7" s="1"/>
  <c r="M162" i="7" s="1"/>
  <c r="M163" i="7" s="1"/>
  <c r="M164" i="7" s="1"/>
  <c r="M165" i="7" s="1"/>
  <c r="M166" i="7" s="1"/>
  <c r="M167" i="7" s="1"/>
  <c r="M168" i="7" s="1"/>
  <c r="M169" i="7" s="1"/>
  <c r="M170" i="7" s="1"/>
  <c r="M171" i="7" s="1"/>
  <c r="M172" i="7" s="1"/>
  <c r="M173" i="7" s="1"/>
  <c r="M174" i="7" s="1"/>
  <c r="M175" i="7" s="1"/>
  <c r="M176" i="7" s="1"/>
  <c r="M177" i="7" s="1"/>
  <c r="M178" i="7" s="1"/>
  <c r="M179" i="7" s="1"/>
  <c r="M180" i="7" s="1"/>
  <c r="M181" i="7" s="1"/>
  <c r="M182" i="7" s="1"/>
  <c r="M183" i="7" s="1"/>
  <c r="M184" i="7" s="1"/>
  <c r="M185" i="7" s="1"/>
  <c r="M186" i="7" s="1"/>
  <c r="M187" i="7" s="1"/>
  <c r="M188" i="7" s="1"/>
  <c r="M189" i="7" s="1"/>
  <c r="M190" i="7" s="1"/>
  <c r="M191" i="7" s="1"/>
  <c r="M192" i="7" s="1"/>
  <c r="M193" i="7" s="1"/>
  <c r="M194" i="7" s="1"/>
  <c r="M195" i="7" s="1"/>
  <c r="M196" i="7" s="1"/>
  <c r="M197" i="7" s="1"/>
  <c r="M198" i="7" s="1"/>
  <c r="M199" i="7" s="1"/>
  <c r="M200" i="7" s="1"/>
  <c r="M201" i="7" s="1"/>
  <c r="M202" i="7" s="1"/>
  <c r="M203" i="7" s="1"/>
  <c r="M204" i="7" s="1"/>
  <c r="M205" i="7" s="1"/>
  <c r="M206" i="7" s="1"/>
  <c r="M207" i="7" s="1"/>
  <c r="M208" i="7" s="1"/>
  <c r="M209" i="7" s="1"/>
  <c r="M210" i="7" s="1"/>
  <c r="M211" i="7" s="1"/>
  <c r="M212" i="7" s="1"/>
  <c r="M213" i="7" s="1"/>
  <c r="M214" i="7" s="1"/>
  <c r="M215" i="7" s="1"/>
  <c r="M216" i="7" s="1"/>
  <c r="M217" i="7" s="1"/>
  <c r="M218" i="7" s="1"/>
  <c r="M219" i="7" s="1"/>
  <c r="M220" i="7" s="1"/>
  <c r="M221" i="7" s="1"/>
  <c r="M222" i="7" s="1"/>
  <c r="M223" i="7" s="1"/>
  <c r="M224" i="7" s="1"/>
  <c r="M225" i="7" s="1"/>
  <c r="M226" i="7" s="1"/>
  <c r="M227" i="7" s="1"/>
  <c r="M228" i="7" s="1"/>
  <c r="M229" i="7" s="1"/>
  <c r="M230" i="7" s="1"/>
  <c r="M231" i="7" s="1"/>
  <c r="M232" i="7" s="1"/>
  <c r="M233" i="7" s="1"/>
  <c r="M234" i="7" s="1"/>
  <c r="M235" i="7" s="1"/>
  <c r="M236" i="7" s="1"/>
  <c r="M237" i="7" s="1"/>
  <c r="M238" i="7" s="1"/>
  <c r="M239" i="7" s="1"/>
  <c r="M240" i="7" s="1"/>
  <c r="M241" i="7" s="1"/>
  <c r="M242" i="7" s="1"/>
  <c r="M243" i="7" s="1"/>
  <c r="M244" i="7" s="1"/>
  <c r="M245" i="7" s="1"/>
  <c r="M246" i="7" s="1"/>
  <c r="M247" i="7" s="1"/>
  <c r="M248" i="7" s="1"/>
  <c r="M249" i="7" s="1"/>
  <c r="M250" i="7" s="1"/>
  <c r="M251" i="7" s="1"/>
  <c r="M252" i="7" s="1"/>
  <c r="M253" i="7" s="1"/>
  <c r="M254" i="7" s="1"/>
  <c r="M255" i="7" s="1"/>
  <c r="M256" i="7" s="1"/>
  <c r="M257" i="7" s="1"/>
  <c r="M258" i="7" s="1"/>
  <c r="M259" i="7" s="1"/>
  <c r="M260" i="7" s="1"/>
  <c r="M261" i="7" s="1"/>
  <c r="M262" i="7" s="1"/>
  <c r="M263" i="7" s="1"/>
  <c r="M264" i="7" s="1"/>
  <c r="M265" i="7" s="1"/>
  <c r="M266" i="7" s="1"/>
  <c r="M267" i="7" s="1"/>
  <c r="M268" i="7" s="1"/>
  <c r="M269" i="7" s="1"/>
  <c r="M270" i="7" s="1"/>
  <c r="M271" i="7" s="1"/>
  <c r="M272" i="7" s="1"/>
  <c r="M273" i="7" s="1"/>
  <c r="M274" i="7" s="1"/>
  <c r="M275" i="7" s="1"/>
  <c r="M276" i="7" s="1"/>
  <c r="M277" i="7" s="1"/>
  <c r="M278" i="7" s="1"/>
  <c r="M279" i="7" s="1"/>
  <c r="M280" i="7" s="1"/>
  <c r="M281" i="7" s="1"/>
  <c r="M282" i="7" s="1"/>
  <c r="M283" i="7" s="1"/>
  <c r="M284" i="7" s="1"/>
  <c r="M285" i="7" s="1"/>
  <c r="M286" i="7" s="1"/>
  <c r="M287" i="7" s="1"/>
  <c r="M288" i="7" s="1"/>
  <c r="M289" i="7" s="1"/>
  <c r="M290" i="7" s="1"/>
  <c r="M291" i="7" s="1"/>
  <c r="M292" i="7" s="1"/>
  <c r="M293" i="7" s="1"/>
  <c r="M294" i="7" s="1"/>
  <c r="M295" i="7" s="1"/>
  <c r="M296" i="7" s="1"/>
  <c r="M297" i="7" s="1"/>
  <c r="M298" i="7" s="1"/>
  <c r="M299" i="7" s="1"/>
  <c r="M300" i="7" s="1"/>
  <c r="M301" i="7" s="1"/>
  <c r="M302" i="7" s="1"/>
  <c r="M303" i="7" s="1"/>
  <c r="M304" i="7" s="1"/>
  <c r="M305" i="7" s="1"/>
  <c r="M306" i="7" s="1"/>
  <c r="M307" i="7" s="1"/>
  <c r="M308" i="7" s="1"/>
  <c r="M309" i="7" s="1"/>
  <c r="M310" i="7" s="1"/>
  <c r="M311" i="7" s="1"/>
  <c r="M312" i="7" s="1"/>
  <c r="M313" i="7" s="1"/>
  <c r="M314" i="7" s="1"/>
  <c r="M315" i="7" s="1"/>
  <c r="M316" i="7" s="1"/>
  <c r="M317" i="7" s="1"/>
  <c r="M318" i="7" s="1"/>
  <c r="M319" i="7" s="1"/>
  <c r="M320" i="7" s="1"/>
  <c r="M321" i="7" s="1"/>
  <c r="M322" i="7" s="1"/>
  <c r="M323" i="7" s="1"/>
  <c r="M324" i="7" s="1"/>
  <c r="M325" i="7" s="1"/>
  <c r="M326" i="7" s="1"/>
  <c r="M327" i="7" s="1"/>
  <c r="M328" i="7" s="1"/>
  <c r="M329" i="7" s="1"/>
  <c r="M330" i="7" s="1"/>
  <c r="M331" i="7" s="1"/>
  <c r="M332" i="7" s="1"/>
  <c r="M333" i="7" s="1"/>
  <c r="M334" i="7" s="1"/>
  <c r="M335" i="7" s="1"/>
  <c r="M336" i="7" s="1"/>
  <c r="M337" i="7" s="1"/>
  <c r="M338" i="7" s="1"/>
  <c r="M339" i="7" s="1"/>
  <c r="M340" i="7" s="1"/>
  <c r="M341" i="7" s="1"/>
  <c r="M342" i="7" s="1"/>
  <c r="M343" i="7" s="1"/>
  <c r="M344" i="7" s="1"/>
  <c r="M345" i="7" s="1"/>
  <c r="M346" i="7" s="1"/>
  <c r="M347" i="7" s="1"/>
  <c r="M348" i="7" s="1"/>
  <c r="M349" i="7" s="1"/>
  <c r="M350" i="7" s="1"/>
  <c r="M351" i="7" s="1"/>
  <c r="M352" i="7" s="1"/>
  <c r="M353" i="7" s="1"/>
  <c r="M354" i="7" s="1"/>
  <c r="M355" i="7" s="1"/>
  <c r="M356" i="7" s="1"/>
  <c r="M357" i="7" s="1"/>
  <c r="M358" i="7" s="1"/>
  <c r="M359" i="7" s="1"/>
  <c r="M360" i="7" s="1"/>
  <c r="M361" i="7" s="1"/>
  <c r="M362" i="7" s="1"/>
  <c r="M363" i="7" s="1"/>
  <c r="M364" i="7" s="1"/>
  <c r="M365" i="7" s="1"/>
  <c r="M366" i="7" s="1"/>
  <c r="M367" i="7" s="1"/>
  <c r="M368" i="7" s="1"/>
  <c r="M369" i="7" s="1"/>
  <c r="M370" i="7" s="1"/>
  <c r="M371" i="7" s="1"/>
  <c r="M372" i="7" s="1"/>
  <c r="M373" i="7" s="1"/>
  <c r="M374" i="7" s="1"/>
  <c r="M375" i="7" s="1"/>
  <c r="M376" i="7" s="1"/>
  <c r="M377" i="7" s="1"/>
  <c r="M378" i="7" s="1"/>
  <c r="M379" i="7" s="1"/>
  <c r="M380" i="7" s="1"/>
  <c r="M381" i="7" s="1"/>
  <c r="M382" i="7" s="1"/>
  <c r="M383" i="7" s="1"/>
  <c r="M384" i="7" s="1"/>
  <c r="M385" i="7" s="1"/>
  <c r="M386" i="7" s="1"/>
  <c r="M387" i="7" s="1"/>
  <c r="M388" i="7" s="1"/>
  <c r="M389" i="7" s="1"/>
  <c r="M390" i="7" s="1"/>
  <c r="M391" i="7" s="1"/>
  <c r="M392" i="7" s="1"/>
  <c r="M393" i="7" s="1"/>
  <c r="M394" i="7" s="1"/>
  <c r="M395" i="7" s="1"/>
  <c r="M396" i="7" s="1"/>
  <c r="M397" i="7" s="1"/>
  <c r="M398" i="7" s="1"/>
  <c r="M399" i="7" s="1"/>
  <c r="M400" i="7" s="1"/>
  <c r="M401" i="7" s="1"/>
  <c r="M402" i="7" s="1"/>
  <c r="M403" i="7" s="1"/>
  <c r="M404" i="7" s="1"/>
  <c r="M405" i="7" s="1"/>
  <c r="M406" i="7" s="1"/>
  <c r="M407" i="7" s="1"/>
  <c r="M408" i="7" s="1"/>
  <c r="M409" i="7" s="1"/>
  <c r="M410" i="7" s="1"/>
  <c r="M411" i="7" s="1"/>
  <c r="M412" i="7" s="1"/>
  <c r="M413" i="7" s="1"/>
  <c r="M414" i="7" s="1"/>
  <c r="M415" i="7" s="1"/>
  <c r="M416" i="7" s="1"/>
  <c r="M417" i="7" s="1"/>
  <c r="M418" i="7" s="1"/>
  <c r="M419" i="7" s="1"/>
  <c r="M420" i="7" s="1"/>
  <c r="M421" i="7" s="1"/>
  <c r="M422" i="7" s="1"/>
  <c r="M423" i="7" s="1"/>
  <c r="M424" i="7" s="1"/>
  <c r="M425" i="7" s="1"/>
  <c r="M426" i="7" s="1"/>
  <c r="M427" i="7" s="1"/>
  <c r="M428" i="7" s="1"/>
  <c r="M429" i="7" s="1"/>
  <c r="M430" i="7" s="1"/>
  <c r="M431" i="7" s="1"/>
  <c r="M432" i="7" s="1"/>
  <c r="M433" i="7" s="1"/>
  <c r="M434" i="7" s="1"/>
  <c r="M435" i="7" s="1"/>
  <c r="M436" i="7" s="1"/>
  <c r="M437" i="7" s="1"/>
  <c r="M438" i="7" s="1"/>
  <c r="M439" i="7" s="1"/>
  <c r="M440" i="7" s="1"/>
  <c r="M441" i="7" s="1"/>
  <c r="M442" i="7" s="1"/>
  <c r="M443" i="7" s="1"/>
  <c r="M444" i="7" s="1"/>
  <c r="M445" i="7" s="1"/>
  <c r="M446" i="7" s="1"/>
  <c r="M447" i="7" s="1"/>
  <c r="M448" i="7" s="1"/>
  <c r="M449" i="7" s="1"/>
  <c r="M450" i="7" s="1"/>
  <c r="M451" i="7" s="1"/>
  <c r="M452" i="7" s="1"/>
  <c r="M453" i="7" s="1"/>
  <c r="M454" i="7" s="1"/>
  <c r="M455" i="7" s="1"/>
  <c r="M456" i="7" s="1"/>
  <c r="M457" i="7" s="1"/>
  <c r="M458" i="7" s="1"/>
  <c r="M459" i="7" s="1"/>
  <c r="M460" i="7" s="1"/>
  <c r="M461" i="7" s="1"/>
  <c r="M462" i="7" s="1"/>
  <c r="M463" i="7" s="1"/>
  <c r="M464" i="7" s="1"/>
  <c r="M465" i="7" s="1"/>
  <c r="M466" i="7" s="1"/>
  <c r="M467" i="7" s="1"/>
  <c r="M468" i="7" s="1"/>
  <c r="M469" i="7" s="1"/>
  <c r="M470" i="7" s="1"/>
  <c r="M471" i="7" s="1"/>
  <c r="M472" i="7" s="1"/>
  <c r="M473" i="7" s="1"/>
  <c r="M474" i="7" s="1"/>
  <c r="M475" i="7" s="1"/>
  <c r="M476" i="7" s="1"/>
  <c r="M477" i="7" s="1"/>
  <c r="M478" i="7" s="1"/>
  <c r="M479" i="7" s="1"/>
  <c r="M480" i="7" s="1"/>
  <c r="M481" i="7" s="1"/>
  <c r="M482" i="7" s="1"/>
  <c r="M483" i="7" s="1"/>
  <c r="M484" i="7" s="1"/>
  <c r="M485" i="7" s="1"/>
  <c r="M486" i="7" s="1"/>
  <c r="M487" i="7" s="1"/>
  <c r="M488" i="7" s="1"/>
  <c r="M489" i="7" s="1"/>
  <c r="M490" i="7" s="1"/>
  <c r="M491" i="7" s="1"/>
  <c r="M492" i="7" s="1"/>
  <c r="M493" i="7" s="1"/>
  <c r="M494" i="7" s="1"/>
  <c r="M495" i="7" s="1"/>
  <c r="M496" i="7" s="1"/>
  <c r="M497" i="7" s="1"/>
  <c r="M498" i="7" s="1"/>
  <c r="M499" i="7" s="1"/>
  <c r="M500" i="7" s="1"/>
  <c r="M501" i="7" s="1"/>
  <c r="M502" i="7" s="1"/>
  <c r="M503" i="7" s="1"/>
  <c r="M504" i="7" s="1"/>
  <c r="M505" i="7" s="1"/>
  <c r="M506" i="7" s="1"/>
  <c r="M507" i="7" s="1"/>
  <c r="M508" i="7" s="1"/>
  <c r="M509" i="7" s="1"/>
  <c r="M510" i="7" s="1"/>
  <c r="M511" i="7" s="1"/>
  <c r="M512" i="7" s="1"/>
  <c r="M513" i="7" s="1"/>
  <c r="M514" i="7" s="1"/>
  <c r="M515" i="7" s="1"/>
  <c r="M516" i="7" s="1"/>
  <c r="M517" i="7" s="1"/>
  <c r="M518" i="7" s="1"/>
  <c r="M519" i="7" s="1"/>
  <c r="M520" i="7" s="1"/>
  <c r="M521" i="7" s="1"/>
  <c r="M522" i="7" s="1"/>
  <c r="M523" i="7" s="1"/>
  <c r="M524" i="7" s="1"/>
  <c r="M525" i="7" s="1"/>
  <c r="M526" i="7" s="1"/>
  <c r="M527" i="7" s="1"/>
  <c r="M528" i="7" s="1"/>
  <c r="M529" i="7" s="1"/>
  <c r="M530" i="7" s="1"/>
  <c r="M531" i="7" s="1"/>
  <c r="M532" i="7" s="1"/>
  <c r="M533" i="7" s="1"/>
  <c r="M534" i="7" s="1"/>
  <c r="M535" i="7" s="1"/>
  <c r="M536" i="7" s="1"/>
  <c r="M537" i="7" s="1"/>
  <c r="M538" i="7" s="1"/>
  <c r="M539" i="7" s="1"/>
  <c r="M540" i="7" s="1"/>
  <c r="M541" i="7" s="1"/>
  <c r="M542" i="7" s="1"/>
  <c r="M543" i="7" s="1"/>
  <c r="M544" i="7" s="1"/>
  <c r="M545" i="7" s="1"/>
  <c r="M546" i="7" s="1"/>
  <c r="M547" i="7" s="1"/>
  <c r="M548" i="7" s="1"/>
  <c r="M549" i="7" s="1"/>
  <c r="M550" i="7" s="1"/>
  <c r="M551" i="7" s="1"/>
  <c r="M552" i="7" s="1"/>
  <c r="M553" i="7" s="1"/>
  <c r="M554" i="7" s="1"/>
  <c r="M555" i="7" s="1"/>
  <c r="M556" i="7" s="1"/>
  <c r="M557" i="7" s="1"/>
  <c r="M558" i="7" s="1"/>
  <c r="M559" i="7" s="1"/>
  <c r="M560" i="7" s="1"/>
  <c r="M561" i="7" s="1"/>
  <c r="M562" i="7" s="1"/>
  <c r="M563" i="7" s="1"/>
  <c r="M564" i="7" s="1"/>
  <c r="M565" i="7" s="1"/>
  <c r="M566" i="7" s="1"/>
  <c r="M567" i="7" s="1"/>
  <c r="M568" i="7" s="1"/>
  <c r="M569" i="7" s="1"/>
  <c r="M570" i="7" s="1"/>
  <c r="M571" i="7" s="1"/>
  <c r="M572" i="7" s="1"/>
  <c r="M573" i="7" s="1"/>
  <c r="M574" i="7" s="1"/>
  <c r="M575" i="7" s="1"/>
  <c r="M576" i="7" s="1"/>
  <c r="M577" i="7" s="1"/>
  <c r="M578" i="7" s="1"/>
  <c r="M579" i="7" s="1"/>
  <c r="M580" i="7" s="1"/>
  <c r="M581" i="7" s="1"/>
  <c r="M582" i="7" s="1"/>
  <c r="M583" i="7" s="1"/>
  <c r="M584" i="7" s="1"/>
  <c r="M585" i="7" s="1"/>
  <c r="M586" i="7" s="1"/>
  <c r="M587" i="7" s="1"/>
  <c r="M588" i="7" s="1"/>
  <c r="M589" i="7" s="1"/>
  <c r="M590" i="7" s="1"/>
  <c r="M591" i="7" s="1"/>
  <c r="M592" i="7" s="1"/>
  <c r="M593" i="7" s="1"/>
  <c r="M594" i="7" s="1"/>
  <c r="M595" i="7" s="1"/>
  <c r="M596" i="7" s="1"/>
  <c r="M597" i="7" s="1"/>
  <c r="M598" i="7" s="1"/>
  <c r="M599" i="7" s="1"/>
  <c r="M600" i="7" s="1"/>
  <c r="M601" i="7" s="1"/>
  <c r="M602" i="7" s="1"/>
  <c r="M603" i="7" s="1"/>
  <c r="M604" i="7" s="1"/>
  <c r="M605" i="7" s="1"/>
  <c r="M606" i="7" s="1"/>
  <c r="M607" i="7" s="1"/>
  <c r="M608" i="7" s="1"/>
  <c r="M609" i="7" s="1"/>
  <c r="M610" i="7" s="1"/>
  <c r="M611" i="7" s="1"/>
  <c r="M612" i="7" s="1"/>
  <c r="M613" i="7" s="1"/>
  <c r="M614" i="7" s="1"/>
  <c r="M615" i="7" s="1"/>
  <c r="M616" i="7" s="1"/>
  <c r="M617" i="7" s="1"/>
  <c r="M618" i="7" s="1"/>
  <c r="M619" i="7" s="1"/>
  <c r="M620" i="7" s="1"/>
  <c r="M621" i="7" s="1"/>
  <c r="M622" i="7" s="1"/>
  <c r="M623" i="7" s="1"/>
  <c r="M624" i="7" s="1"/>
  <c r="M625" i="7" s="1"/>
  <c r="M626" i="7" s="1"/>
  <c r="M627" i="7" s="1"/>
  <c r="M628" i="7" s="1"/>
  <c r="M629" i="7" s="1"/>
  <c r="M630" i="7" s="1"/>
  <c r="M631" i="7" s="1"/>
  <c r="M632" i="7" s="1"/>
  <c r="M633" i="7" s="1"/>
  <c r="M634" i="7" s="1"/>
  <c r="M635" i="7" s="1"/>
  <c r="M636" i="7" s="1"/>
  <c r="M637" i="7" s="1"/>
  <c r="M638" i="7" s="1"/>
  <c r="M639" i="7" s="1"/>
  <c r="M640" i="7" s="1"/>
  <c r="M641" i="7" s="1"/>
  <c r="M642" i="7" s="1"/>
  <c r="M643" i="7" s="1"/>
  <c r="M644" i="7" s="1"/>
  <c r="M645" i="7" s="1"/>
  <c r="M646" i="7" s="1"/>
  <c r="M647" i="7" s="1"/>
  <c r="M648" i="7" s="1"/>
  <c r="M649" i="7" s="1"/>
  <c r="M650" i="7" s="1"/>
  <c r="M651" i="7" s="1"/>
  <c r="M652" i="7" s="1"/>
  <c r="M653" i="7" s="1"/>
  <c r="M654" i="7" s="1"/>
  <c r="M655" i="7" s="1"/>
  <c r="M656" i="7" s="1"/>
  <c r="M657" i="7" s="1"/>
  <c r="M658" i="7" s="1"/>
  <c r="M659" i="7" s="1"/>
  <c r="M660" i="7" s="1"/>
  <c r="M661" i="7" s="1"/>
  <c r="M662" i="7" s="1"/>
  <c r="M663" i="7" s="1"/>
  <c r="M664" i="7" s="1"/>
  <c r="M665" i="7" s="1"/>
  <c r="M666" i="7" s="1"/>
  <c r="M667" i="7" s="1"/>
  <c r="M668" i="7" s="1"/>
  <c r="M669" i="7" s="1"/>
  <c r="M670" i="7" s="1"/>
  <c r="M671" i="7" s="1"/>
  <c r="M672" i="7" s="1"/>
  <c r="M673" i="7" s="1"/>
  <c r="M674" i="7" s="1"/>
  <c r="M675" i="7" s="1"/>
  <c r="M676" i="7" s="1"/>
  <c r="M677" i="7" s="1"/>
  <c r="M678" i="7" s="1"/>
  <c r="M679" i="7" s="1"/>
  <c r="M680" i="7" s="1"/>
  <c r="M681" i="7" s="1"/>
  <c r="M682" i="7" s="1"/>
  <c r="M683" i="7" s="1"/>
  <c r="M684" i="7" s="1"/>
  <c r="M685" i="7" s="1"/>
  <c r="M686" i="7" s="1"/>
  <c r="M687" i="7" s="1"/>
  <c r="M688" i="7" s="1"/>
  <c r="M689" i="7" s="1"/>
  <c r="M690" i="7" s="1"/>
  <c r="M691" i="7" s="1"/>
  <c r="M692" i="7" s="1"/>
  <c r="M693" i="7" s="1"/>
  <c r="M694" i="7" s="1"/>
  <c r="M695" i="7" s="1"/>
  <c r="M696" i="7" s="1"/>
  <c r="M697" i="7" s="1"/>
  <c r="M698" i="7" s="1"/>
  <c r="M699" i="7" s="1"/>
  <c r="M700" i="7" s="1"/>
  <c r="M701" i="7" s="1"/>
  <c r="M702" i="7" s="1"/>
  <c r="M703" i="7" s="1"/>
  <c r="M704" i="7" s="1"/>
  <c r="M705" i="7" s="1"/>
  <c r="M706" i="7" s="1"/>
  <c r="M707" i="7" s="1"/>
  <c r="H212" i="3"/>
  <c r="S201" i="1" l="1"/>
  <c r="R204" i="1"/>
  <c r="R200" i="1"/>
  <c r="Q256" i="3" l="1"/>
  <c r="Q249" i="3"/>
  <c r="Q242" i="3"/>
  <c r="Q235" i="3"/>
  <c r="Q228" i="3"/>
  <c r="Q221" i="3"/>
  <c r="Q214" i="3"/>
  <c r="Q207" i="3"/>
  <c r="Q256" i="4"/>
  <c r="Q249" i="4"/>
  <c r="Q242" i="4"/>
  <c r="Q235" i="4"/>
  <c r="Q228" i="4"/>
  <c r="Q221" i="4"/>
  <c r="Q214" i="4"/>
  <c r="Q207" i="4"/>
  <c r="H298" i="4"/>
  <c r="H297" i="4"/>
  <c r="H296" i="4"/>
  <c r="H295" i="4"/>
  <c r="H294" i="4"/>
  <c r="H288" i="4"/>
  <c r="H287" i="4"/>
  <c r="H284" i="4"/>
  <c r="H283" i="4"/>
  <c r="H282" i="4"/>
  <c r="H281" i="4"/>
  <c r="H280" i="4"/>
  <c r="H277" i="4"/>
  <c r="H276" i="4"/>
  <c r="H275" i="4"/>
  <c r="H270" i="4"/>
  <c r="H269" i="4"/>
  <c r="H268" i="4"/>
  <c r="H267" i="4"/>
  <c r="H266" i="4"/>
  <c r="H263" i="4"/>
  <c r="H262" i="4"/>
  <c r="H261" i="4"/>
  <c r="H260" i="4"/>
  <c r="H259" i="4"/>
  <c r="H256" i="4"/>
  <c r="H255" i="4"/>
  <c r="H254" i="4"/>
  <c r="H253" i="4"/>
  <c r="H252" i="4"/>
  <c r="H239" i="4"/>
  <c r="H240" i="4"/>
  <c r="H241" i="4"/>
  <c r="H242" i="4"/>
  <c r="H245" i="4"/>
  <c r="H246" i="4"/>
  <c r="H247" i="4"/>
  <c r="H248" i="4"/>
  <c r="H249" i="4"/>
  <c r="H235" i="4"/>
  <c r="H234" i="4"/>
  <c r="H233" i="4"/>
  <c r="H232" i="4"/>
  <c r="H231" i="4"/>
  <c r="H295" i="3"/>
  <c r="H294" i="3"/>
  <c r="H288" i="3"/>
  <c r="H287" i="3"/>
  <c r="H284" i="3"/>
  <c r="H283" i="3"/>
  <c r="H282" i="3"/>
  <c r="H281" i="3"/>
  <c r="H280" i="3"/>
  <c r="H277" i="3"/>
  <c r="H276" i="3"/>
  <c r="H275" i="3"/>
  <c r="H274" i="3"/>
  <c r="H269" i="3"/>
  <c r="H268" i="3"/>
  <c r="H267" i="3"/>
  <c r="H266" i="3"/>
  <c r="H263" i="3"/>
  <c r="H262" i="3"/>
  <c r="H261" i="3"/>
  <c r="H260" i="3"/>
  <c r="H259" i="3"/>
  <c r="R288" i="1"/>
  <c r="R287" i="1"/>
  <c r="R284" i="1"/>
  <c r="R283" i="1"/>
  <c r="R282" i="1"/>
  <c r="R281" i="1"/>
  <c r="R280" i="1"/>
  <c r="R277" i="1"/>
  <c r="R276" i="1"/>
  <c r="R274" i="1"/>
  <c r="R273" i="1"/>
  <c r="R270" i="1"/>
  <c r="R269" i="1"/>
  <c r="R268" i="1"/>
  <c r="R267" i="1"/>
  <c r="R266" i="1"/>
  <c r="R263" i="1"/>
  <c r="R262" i="1"/>
  <c r="R261" i="1"/>
  <c r="R260" i="1"/>
  <c r="R259" i="1"/>
  <c r="R256" i="1"/>
  <c r="H256" i="3"/>
  <c r="Z249" i="1"/>
  <c r="Z235" i="1"/>
  <c r="Z228" i="1"/>
  <c r="J211" i="4"/>
  <c r="I211" i="3" l="1"/>
  <c r="H191" i="3"/>
  <c r="H190" i="3"/>
  <c r="D189" i="3"/>
  <c r="I186" i="3"/>
  <c r="J212" i="3" l="1"/>
  <c r="D189" i="4" l="1"/>
  <c r="D185" i="3"/>
  <c r="D186" i="4"/>
  <c r="D185" i="4"/>
  <c r="D186" i="3"/>
  <c r="D184" i="3"/>
  <c r="H182" i="4" l="1"/>
  <c r="H182" i="3"/>
  <c r="H190" i="4"/>
  <c r="H189" i="4"/>
  <c r="H185" i="3"/>
  <c r="H186" i="3" l="1"/>
  <c r="H189" i="3"/>
  <c r="D184" i="4" l="1"/>
  <c r="D183" i="4"/>
  <c r="D183" i="3"/>
  <c r="D182" i="3"/>
  <c r="D182" i="4"/>
  <c r="R179" i="1" l="1"/>
  <c r="D179" i="4"/>
  <c r="D178" i="4"/>
  <c r="H191" i="4"/>
  <c r="D177" i="4"/>
  <c r="D176" i="4"/>
  <c r="D175" i="4" l="1"/>
  <c r="D172" i="4" l="1"/>
  <c r="T176" i="1"/>
  <c r="O170" i="3"/>
  <c r="D171" i="4" l="1"/>
  <c r="D170" i="4" l="1"/>
  <c r="D169" i="4"/>
  <c r="Z221" i="1" l="1"/>
  <c r="Z214" i="1"/>
  <c r="H169" i="3"/>
  <c r="H168" i="3"/>
  <c r="C158" i="3" l="1"/>
  <c r="R162" i="1"/>
  <c r="R168" i="1"/>
  <c r="R165" i="1"/>
  <c r="R205" i="1"/>
  <c r="H161" i="3" l="1"/>
  <c r="H228" i="4" l="1"/>
  <c r="H227" i="4"/>
  <c r="H255" i="3"/>
  <c r="H254" i="3"/>
  <c r="H253" i="3"/>
  <c r="H252" i="3"/>
  <c r="H249" i="3"/>
  <c r="H248" i="3"/>
  <c r="H247" i="3"/>
  <c r="H246" i="3"/>
  <c r="H245" i="3"/>
  <c r="H240" i="3"/>
  <c r="H239" i="3"/>
  <c r="H242" i="3"/>
  <c r="H235" i="3"/>
  <c r="H234" i="3"/>
  <c r="H232" i="3"/>
  <c r="H231" i="3"/>
  <c r="H228" i="3"/>
  <c r="H227" i="3"/>
  <c r="H226" i="3"/>
  <c r="H225" i="3"/>
  <c r="H224" i="3"/>
  <c r="R255" i="1"/>
  <c r="R254" i="1"/>
  <c r="R253" i="1"/>
  <c r="R252" i="1"/>
  <c r="R249" i="1"/>
  <c r="R248" i="1"/>
  <c r="R247" i="1"/>
  <c r="R246" i="1"/>
  <c r="R245" i="1"/>
  <c r="R239" i="1"/>
  <c r="R240" i="1"/>
  <c r="R242" i="1"/>
  <c r="R241" i="1"/>
  <c r="R235" i="1"/>
  <c r="R234" i="1"/>
  <c r="R233" i="1"/>
  <c r="R232" i="1"/>
  <c r="R231" i="1"/>
  <c r="R228" i="1"/>
  <c r="R227" i="1"/>
  <c r="G162" i="3"/>
  <c r="H192" i="4"/>
  <c r="H162" i="4"/>
  <c r="V136" i="4" l="1"/>
  <c r="V135" i="4"/>
  <c r="X136" i="3"/>
  <c r="X135" i="3"/>
  <c r="H162" i="3" l="1"/>
  <c r="H156" i="3"/>
  <c r="T147" i="1"/>
  <c r="H206" i="3"/>
  <c r="R144" i="1" l="1"/>
  <c r="H142" i="3"/>
  <c r="H142" i="4"/>
  <c r="H141" i="3" l="1"/>
  <c r="H226" i="4" l="1"/>
  <c r="H225" i="4"/>
  <c r="H224" i="4"/>
  <c r="R226" i="1"/>
  <c r="R225" i="1"/>
  <c r="R224" i="1"/>
  <c r="R221" i="1"/>
  <c r="R220" i="1"/>
  <c r="R219" i="1"/>
  <c r="R218" i="1"/>
  <c r="R217" i="1"/>
  <c r="R214" i="1"/>
  <c r="R213" i="1"/>
  <c r="R212" i="1"/>
  <c r="R211" i="1"/>
  <c r="R210" i="1"/>
  <c r="H133" i="3" l="1"/>
  <c r="H130" i="3"/>
  <c r="D130" i="3" l="1"/>
  <c r="H129" i="3" l="1"/>
  <c r="Z192" i="1" l="1"/>
  <c r="H129" i="4"/>
  <c r="H130" i="4"/>
  <c r="R133" i="1"/>
  <c r="R130" i="1"/>
  <c r="R129" i="1"/>
  <c r="H135" i="4"/>
  <c r="H134" i="4"/>
  <c r="H133" i="4"/>
  <c r="R109" i="1" l="1"/>
  <c r="R113" i="1" l="1"/>
  <c r="R114" i="1"/>
  <c r="R106" i="1"/>
  <c r="H221" i="4" l="1"/>
  <c r="H220" i="4"/>
  <c r="H219" i="4"/>
  <c r="H218" i="4"/>
  <c r="H217" i="4"/>
  <c r="H214" i="4"/>
  <c r="H213" i="4"/>
  <c r="H211" i="4"/>
  <c r="H210" i="4"/>
  <c r="H207" i="4"/>
  <c r="H206" i="4"/>
  <c r="H205" i="4"/>
  <c r="H204" i="4"/>
  <c r="H201" i="4"/>
  <c r="H200" i="4"/>
  <c r="H221" i="3"/>
  <c r="H220" i="3"/>
  <c r="H219" i="3"/>
  <c r="H218" i="3"/>
  <c r="H217" i="3"/>
  <c r="H213" i="3"/>
  <c r="H214" i="3"/>
  <c r="H210" i="3"/>
  <c r="H207" i="3"/>
  <c r="H205" i="3"/>
  <c r="H204" i="3"/>
  <c r="H201" i="3"/>
  <c r="H200" i="3"/>
  <c r="H192" i="3"/>
  <c r="Z186" i="1"/>
  <c r="Z179" i="1"/>
  <c r="Z172" i="1"/>
  <c r="Z165" i="1"/>
  <c r="Z158" i="1"/>
  <c r="Q192" i="4"/>
  <c r="Q186" i="4"/>
  <c r="Q179" i="4"/>
  <c r="Q172" i="4"/>
  <c r="Q165" i="4"/>
  <c r="H186" i="4"/>
  <c r="H185" i="4"/>
  <c r="H184" i="4"/>
  <c r="H183" i="4"/>
  <c r="H179" i="4"/>
  <c r="H178" i="4"/>
  <c r="H177" i="4"/>
  <c r="H176" i="4"/>
  <c r="H175" i="4"/>
  <c r="H172" i="4"/>
  <c r="H171" i="4"/>
  <c r="H170" i="4"/>
  <c r="H169" i="4"/>
  <c r="H168" i="4"/>
  <c r="H165" i="4"/>
  <c r="H184" i="3"/>
  <c r="H183" i="3"/>
  <c r="H179" i="3"/>
  <c r="H178" i="3"/>
  <c r="H177" i="3"/>
  <c r="H176" i="3"/>
  <c r="H175" i="3"/>
  <c r="Q192" i="3" l="1"/>
  <c r="Q186" i="3"/>
  <c r="Q179" i="3"/>
  <c r="Q172" i="3"/>
  <c r="Q165" i="3"/>
  <c r="H172" i="3"/>
  <c r="H171" i="3"/>
  <c r="H170" i="3"/>
  <c r="R207" i="1" l="1"/>
  <c r="R206" i="1"/>
  <c r="R201" i="1"/>
  <c r="R192" i="1"/>
  <c r="R191" i="1"/>
  <c r="R190" i="1"/>
  <c r="R189" i="1"/>
  <c r="R186" i="1"/>
  <c r="R185" i="1"/>
  <c r="R184" i="1"/>
  <c r="R183" i="1"/>
  <c r="R178" i="1"/>
  <c r="R177" i="1"/>
  <c r="R176" i="1"/>
  <c r="R172" i="1"/>
  <c r="R171" i="1"/>
  <c r="R169" i="1"/>
  <c r="R161" i="1"/>
  <c r="D116" i="3" l="1"/>
  <c r="D115" i="3"/>
  <c r="D114" i="3" l="1"/>
  <c r="D113" i="3"/>
  <c r="E100" i="1"/>
  <c r="H109" i="3"/>
  <c r="H108" i="3"/>
  <c r="D109" i="3" l="1"/>
  <c r="R107" i="1"/>
  <c r="D108" i="3"/>
  <c r="K108" i="3" l="1"/>
  <c r="D107" i="3"/>
  <c r="D106" i="3"/>
  <c r="D102" i="3" l="1"/>
  <c r="D101" i="3" l="1"/>
  <c r="P100" i="1" l="1"/>
  <c r="P101" i="1"/>
  <c r="P99" i="1"/>
  <c r="P95" i="1"/>
  <c r="D100" i="3"/>
  <c r="D99" i="3"/>
  <c r="P102" i="1" l="1"/>
  <c r="Z102" i="1"/>
  <c r="R158" i="1"/>
  <c r="R157" i="1"/>
  <c r="R156" i="1"/>
  <c r="R155" i="1"/>
  <c r="R154" i="1"/>
  <c r="Z151" i="1"/>
  <c r="R151" i="1"/>
  <c r="R150" i="1"/>
  <c r="R149" i="1"/>
  <c r="R148" i="1"/>
  <c r="R147" i="1"/>
  <c r="Z144" i="1"/>
  <c r="R143" i="1"/>
  <c r="R142" i="1"/>
  <c r="R141" i="1"/>
  <c r="R140" i="1"/>
  <c r="Z136" i="1"/>
  <c r="R136" i="1"/>
  <c r="R135" i="1"/>
  <c r="R134" i="1"/>
  <c r="Z130" i="1"/>
  <c r="Z123" i="1"/>
  <c r="R123" i="1"/>
  <c r="R120" i="1"/>
  <c r="R119" i="1"/>
  <c r="Z116" i="1"/>
  <c r="R116" i="1"/>
  <c r="R115" i="1"/>
  <c r="Z109" i="1"/>
  <c r="R108" i="1"/>
  <c r="R105" i="1"/>
  <c r="R102" i="1"/>
  <c r="R101" i="1"/>
  <c r="R100" i="1"/>
  <c r="R99" i="1"/>
  <c r="V98" i="1"/>
  <c r="R98" i="1"/>
  <c r="W98" i="1" s="1"/>
  <c r="H98" i="1"/>
  <c r="H93" i="1"/>
  <c r="H92" i="1"/>
  <c r="H88" i="1"/>
  <c r="H87" i="1"/>
  <c r="H86" i="1"/>
  <c r="H85" i="1"/>
  <c r="H84" i="1"/>
  <c r="H81" i="1"/>
  <c r="H80" i="1"/>
  <c r="H79" i="1"/>
  <c r="H78" i="1"/>
  <c r="H77" i="1"/>
  <c r="H74" i="1"/>
  <c r="H73" i="1"/>
  <c r="H72" i="1"/>
  <c r="H71" i="1"/>
  <c r="H70" i="1"/>
  <c r="H67" i="1"/>
  <c r="H66" i="1"/>
  <c r="H65" i="1"/>
  <c r="H63" i="1"/>
  <c r="H60" i="1"/>
  <c r="H64" i="1"/>
  <c r="H59" i="1"/>
  <c r="H49" i="1"/>
  <c r="H51" i="1"/>
  <c r="H46" i="1"/>
  <c r="H50" i="1"/>
  <c r="H45" i="1"/>
  <c r="H44" i="1"/>
  <c r="H43" i="1"/>
  <c r="H39" i="1"/>
  <c r="H42" i="1"/>
  <c r="H37" i="1"/>
  <c r="H38" i="1"/>
  <c r="J32" i="1"/>
  <c r="H36" i="1"/>
  <c r="H35" i="1"/>
  <c r="H32" i="1"/>
  <c r="H31" i="1"/>
  <c r="H30" i="1"/>
  <c r="H29" i="1"/>
  <c r="J23" i="1"/>
  <c r="H25" i="1"/>
  <c r="H24" i="1"/>
  <c r="H23" i="1"/>
  <c r="J18" i="1"/>
  <c r="H22" i="1"/>
  <c r="H21" i="1"/>
  <c r="H18" i="1"/>
  <c r="H17" i="1"/>
  <c r="H16" i="1"/>
  <c r="J11" i="1"/>
  <c r="H15" i="1"/>
  <c r="H14" i="1"/>
  <c r="H11" i="1"/>
  <c r="H10" i="1"/>
  <c r="H9" i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H8" i="1"/>
  <c r="M3" i="1"/>
  <c r="M4" i="1" s="1"/>
  <c r="M5" i="1" s="1"/>
  <c r="M6" i="1" s="1"/>
  <c r="H7" i="1"/>
  <c r="D93" i="3"/>
  <c r="W99" i="1" l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V99" i="1"/>
  <c r="V100" i="1" s="1"/>
  <c r="V101" i="1" s="1"/>
  <c r="V102" i="1" s="1"/>
  <c r="L102" i="1"/>
  <c r="L103" i="1" s="1"/>
  <c r="L104" i="1" s="1"/>
  <c r="E42" i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1" i="1" s="1"/>
  <c r="E102" i="1" s="1"/>
  <c r="E103" i="1" s="1"/>
  <c r="E104" i="1" s="1"/>
  <c r="E105" i="1" s="1"/>
  <c r="E106" i="1" s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D92" i="3"/>
  <c r="V103" i="1" l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W163" i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W255" i="1" s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W271" i="1" s="1"/>
  <c r="W272" i="1" s="1"/>
  <c r="W273" i="1" s="1"/>
  <c r="W274" i="1" s="1"/>
  <c r="W275" i="1" s="1"/>
  <c r="W276" i="1" s="1"/>
  <c r="W277" i="1" s="1"/>
  <c r="W278" i="1" s="1"/>
  <c r="W279" i="1" s="1"/>
  <c r="W280" i="1" s="1"/>
  <c r="W281" i="1" s="1"/>
  <c r="W282" i="1" s="1"/>
  <c r="W283" i="1" s="1"/>
  <c r="W284" i="1" s="1"/>
  <c r="W285" i="1" s="1"/>
  <c r="W286" i="1" s="1"/>
  <c r="W287" i="1" s="1"/>
  <c r="W288" i="1" s="1"/>
  <c r="W289" i="1" s="1"/>
  <c r="W290" i="1" s="1"/>
  <c r="W291" i="1" s="1"/>
  <c r="W292" i="1" s="1"/>
  <c r="W293" i="1" s="1"/>
  <c r="W294" i="1" s="1"/>
  <c r="W295" i="1" s="1"/>
  <c r="W296" i="1" s="1"/>
  <c r="W297" i="1" s="1"/>
  <c r="W298" i="1" s="1"/>
  <c r="W299" i="1" s="1"/>
  <c r="W300" i="1" s="1"/>
  <c r="W301" i="1" s="1"/>
  <c r="W302" i="1" s="1"/>
  <c r="W303" i="1" s="1"/>
  <c r="W304" i="1" s="1"/>
  <c r="W305" i="1" s="1"/>
  <c r="W306" i="1" s="1"/>
  <c r="W307" i="1" s="1"/>
  <c r="W308" i="1" s="1"/>
  <c r="W309" i="1" s="1"/>
  <c r="W310" i="1" s="1"/>
  <c r="W311" i="1" s="1"/>
  <c r="W312" i="1" s="1"/>
  <c r="W313" i="1" s="1"/>
  <c r="W314" i="1" s="1"/>
  <c r="W315" i="1" s="1"/>
  <c r="W316" i="1" s="1"/>
  <c r="W317" i="1" s="1"/>
  <c r="W318" i="1" s="1"/>
  <c r="W319" i="1" s="1"/>
  <c r="W320" i="1" s="1"/>
  <c r="W321" i="1" s="1"/>
  <c r="W322" i="1" s="1"/>
  <c r="W323" i="1" s="1"/>
  <c r="W324" i="1" s="1"/>
  <c r="W325" i="1" s="1"/>
  <c r="W326" i="1" s="1"/>
  <c r="W327" i="1" s="1"/>
  <c r="W328" i="1" s="1"/>
  <c r="W329" i="1" s="1"/>
  <c r="W330" i="1" s="1"/>
  <c r="W331" i="1" s="1"/>
  <c r="W332" i="1" s="1"/>
  <c r="W333" i="1" s="1"/>
  <c r="W334" i="1" s="1"/>
  <c r="W335" i="1" s="1"/>
  <c r="W336" i="1" s="1"/>
  <c r="W337" i="1" s="1"/>
  <c r="W338" i="1" s="1"/>
  <c r="W339" i="1" s="1"/>
  <c r="W340" i="1" s="1"/>
  <c r="W341" i="1" s="1"/>
  <c r="W342" i="1" s="1"/>
  <c r="W343" i="1" s="1"/>
  <c r="W344" i="1" s="1"/>
  <c r="W345" i="1" s="1"/>
  <c r="W346" i="1" s="1"/>
  <c r="W347" i="1" s="1"/>
  <c r="W348" i="1" s="1"/>
  <c r="W349" i="1" s="1"/>
  <c r="W350" i="1" s="1"/>
  <c r="W351" i="1" s="1"/>
  <c r="W352" i="1" s="1"/>
  <c r="W353" i="1" s="1"/>
  <c r="W354" i="1" s="1"/>
  <c r="W355" i="1" s="1"/>
  <c r="W356" i="1" s="1"/>
  <c r="W357" i="1" s="1"/>
  <c r="W358" i="1" s="1"/>
  <c r="W359" i="1" s="1"/>
  <c r="W360" i="1" s="1"/>
  <c r="W361" i="1" s="1"/>
  <c r="W362" i="1" s="1"/>
  <c r="W363" i="1" s="1"/>
  <c r="W364" i="1" s="1"/>
  <c r="W365" i="1" s="1"/>
  <c r="W366" i="1" s="1"/>
  <c r="W367" i="1" s="1"/>
  <c r="W368" i="1" s="1"/>
  <c r="W369" i="1" s="1"/>
  <c r="W370" i="1" s="1"/>
  <c r="W371" i="1" s="1"/>
  <c r="W372" i="1" s="1"/>
  <c r="W373" i="1" s="1"/>
  <c r="W374" i="1" s="1"/>
  <c r="W375" i="1" s="1"/>
  <c r="W376" i="1" s="1"/>
  <c r="W377" i="1" s="1"/>
  <c r="W378" i="1" s="1"/>
  <c r="W379" i="1" s="1"/>
  <c r="W380" i="1" s="1"/>
  <c r="W381" i="1" s="1"/>
  <c r="W382" i="1" s="1"/>
  <c r="W383" i="1" s="1"/>
  <c r="W384" i="1" s="1"/>
  <c r="W385" i="1" s="1"/>
  <c r="W386" i="1" s="1"/>
  <c r="W387" i="1" s="1"/>
  <c r="W388" i="1" s="1"/>
  <c r="W389" i="1" s="1"/>
  <c r="W390" i="1" s="1"/>
  <c r="W391" i="1" s="1"/>
  <c r="W392" i="1" s="1"/>
  <c r="W393" i="1" s="1"/>
  <c r="W394" i="1" s="1"/>
  <c r="W395" i="1" s="1"/>
  <c r="W396" i="1" s="1"/>
  <c r="W397" i="1" s="1"/>
  <c r="W398" i="1" s="1"/>
  <c r="W399" i="1" s="1"/>
  <c r="W400" i="1" s="1"/>
  <c r="W401" i="1" s="1"/>
  <c r="W402" i="1" s="1"/>
  <c r="W403" i="1" s="1"/>
  <c r="W404" i="1" s="1"/>
  <c r="W405" i="1" s="1"/>
  <c r="W406" i="1" s="1"/>
  <c r="W407" i="1" s="1"/>
  <c r="W408" i="1" s="1"/>
  <c r="W409" i="1" s="1"/>
  <c r="W410" i="1" s="1"/>
  <c r="W411" i="1" s="1"/>
  <c r="W412" i="1" s="1"/>
  <c r="W413" i="1" s="1"/>
  <c r="W414" i="1" s="1"/>
  <c r="W415" i="1" s="1"/>
  <c r="W416" i="1" s="1"/>
  <c r="W417" i="1" s="1"/>
  <c r="W418" i="1" s="1"/>
  <c r="W419" i="1" s="1"/>
  <c r="W420" i="1" s="1"/>
  <c r="W421" i="1" s="1"/>
  <c r="W422" i="1" s="1"/>
  <c r="W423" i="1" s="1"/>
  <c r="W424" i="1" s="1"/>
  <c r="W425" i="1" s="1"/>
  <c r="W426" i="1" s="1"/>
  <c r="W427" i="1" s="1"/>
  <c r="W428" i="1" s="1"/>
  <c r="W429" i="1" s="1"/>
  <c r="W430" i="1" s="1"/>
  <c r="W431" i="1" s="1"/>
  <c r="W432" i="1" s="1"/>
  <c r="W433" i="1" s="1"/>
  <c r="W434" i="1" s="1"/>
  <c r="W435" i="1" s="1"/>
  <c r="W436" i="1" s="1"/>
  <c r="W437" i="1" s="1"/>
  <c r="W438" i="1" s="1"/>
  <c r="W439" i="1" s="1"/>
  <c r="W440" i="1" s="1"/>
  <c r="W441" i="1" s="1"/>
  <c r="W442" i="1" s="1"/>
  <c r="W443" i="1" s="1"/>
  <c r="W444" i="1" s="1"/>
  <c r="W445" i="1" s="1"/>
  <c r="W446" i="1" s="1"/>
  <c r="W447" i="1" s="1"/>
  <c r="W448" i="1" s="1"/>
  <c r="W449" i="1" s="1"/>
  <c r="W450" i="1" s="1"/>
  <c r="W451" i="1" s="1"/>
  <c r="W452" i="1" s="1"/>
  <c r="W453" i="1" s="1"/>
  <c r="W454" i="1" s="1"/>
  <c r="W455" i="1" s="1"/>
  <c r="W456" i="1" s="1"/>
  <c r="W457" i="1" s="1"/>
  <c r="W458" i="1" s="1"/>
  <c r="W459" i="1" s="1"/>
  <c r="W460" i="1" s="1"/>
  <c r="W461" i="1" s="1"/>
  <c r="W462" i="1" s="1"/>
  <c r="W463" i="1" s="1"/>
  <c r="W464" i="1" s="1"/>
  <c r="W465" i="1" s="1"/>
  <c r="W466" i="1" s="1"/>
  <c r="W467" i="1" s="1"/>
  <c r="W468" i="1" s="1"/>
  <c r="W469" i="1" s="1"/>
  <c r="W470" i="1" s="1"/>
  <c r="W471" i="1" s="1"/>
  <c r="W472" i="1" s="1"/>
  <c r="W473" i="1" s="1"/>
  <c r="W474" i="1" s="1"/>
  <c r="W475" i="1" s="1"/>
  <c r="W476" i="1" s="1"/>
  <c r="W477" i="1" s="1"/>
  <c r="W478" i="1" s="1"/>
  <c r="W479" i="1" s="1"/>
  <c r="W480" i="1" s="1"/>
  <c r="W481" i="1" s="1"/>
  <c r="W482" i="1" s="1"/>
  <c r="W483" i="1" s="1"/>
  <c r="W484" i="1" s="1"/>
  <c r="W485" i="1" s="1"/>
  <c r="W486" i="1" s="1"/>
  <c r="W487" i="1" s="1"/>
  <c r="W488" i="1" s="1"/>
  <c r="W489" i="1" s="1"/>
  <c r="W490" i="1" s="1"/>
  <c r="W491" i="1" s="1"/>
  <c r="W492" i="1" s="1"/>
  <c r="W493" i="1" s="1"/>
  <c r="W494" i="1" s="1"/>
  <c r="W495" i="1" s="1"/>
  <c r="W496" i="1" s="1"/>
  <c r="W497" i="1" s="1"/>
  <c r="W498" i="1" s="1"/>
  <c r="W499" i="1" s="1"/>
  <c r="W500" i="1" s="1"/>
  <c r="W501" i="1" s="1"/>
  <c r="W502" i="1" s="1"/>
  <c r="W503" i="1" s="1"/>
  <c r="W504" i="1" s="1"/>
  <c r="W505" i="1" s="1"/>
  <c r="W506" i="1" s="1"/>
  <c r="W507" i="1" s="1"/>
  <c r="W508" i="1" s="1"/>
  <c r="W509" i="1" s="1"/>
  <c r="W510" i="1" s="1"/>
  <c r="W511" i="1" s="1"/>
  <c r="W512" i="1" s="1"/>
  <c r="W513" i="1" s="1"/>
  <c r="W514" i="1" s="1"/>
  <c r="W515" i="1" s="1"/>
  <c r="W516" i="1" s="1"/>
  <c r="W517" i="1" s="1"/>
  <c r="W518" i="1" s="1"/>
  <c r="W519" i="1" s="1"/>
  <c r="W520" i="1" s="1"/>
  <c r="W521" i="1" s="1"/>
  <c r="W522" i="1" s="1"/>
  <c r="W523" i="1" s="1"/>
  <c r="W524" i="1" s="1"/>
  <c r="W525" i="1" s="1"/>
  <c r="W526" i="1" s="1"/>
  <c r="W527" i="1" s="1"/>
  <c r="W528" i="1" s="1"/>
  <c r="W529" i="1" s="1"/>
  <c r="W530" i="1" s="1"/>
  <c r="W531" i="1" s="1"/>
  <c r="W532" i="1" s="1"/>
  <c r="W533" i="1" s="1"/>
  <c r="W534" i="1" s="1"/>
  <c r="W535" i="1" s="1"/>
  <c r="W536" i="1" s="1"/>
  <c r="W537" i="1" s="1"/>
  <c r="W538" i="1" s="1"/>
  <c r="W539" i="1" s="1"/>
  <c r="W540" i="1" s="1"/>
  <c r="W541" i="1" s="1"/>
  <c r="W542" i="1" s="1"/>
  <c r="W543" i="1" s="1"/>
  <c r="W544" i="1" s="1"/>
  <c r="W545" i="1" s="1"/>
  <c r="W546" i="1" s="1"/>
  <c r="W547" i="1" s="1"/>
  <c r="W548" i="1" s="1"/>
  <c r="W549" i="1" s="1"/>
  <c r="E107" i="1"/>
  <c r="E108" i="1" s="1"/>
  <c r="V245" i="1" l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V525" i="1" s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E109" i="1"/>
  <c r="E110" i="1" s="1"/>
  <c r="E111" i="1" s="1"/>
  <c r="E112" i="1" s="1"/>
  <c r="D88" i="3"/>
  <c r="D87" i="3"/>
  <c r="H86" i="4"/>
  <c r="H87" i="4"/>
  <c r="D86" i="3"/>
  <c r="H85" i="4"/>
  <c r="H88" i="4"/>
  <c r="V538" i="1" l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V564" i="1" s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 s="1"/>
  <c r="V612" i="1" s="1"/>
  <c r="V613" i="1" s="1"/>
  <c r="V614" i="1" s="1"/>
  <c r="V615" i="1" s="1"/>
  <c r="V616" i="1" s="1"/>
  <c r="V617" i="1" s="1"/>
  <c r="V618" i="1" s="1"/>
  <c r="V619" i="1" s="1"/>
  <c r="V620" i="1" s="1"/>
  <c r="V621" i="1" s="1"/>
  <c r="V622" i="1" s="1"/>
  <c r="V623" i="1" s="1"/>
  <c r="V624" i="1" s="1"/>
  <c r="V625" i="1" s="1"/>
  <c r="V626" i="1" s="1"/>
  <c r="V627" i="1" s="1"/>
  <c r="V628" i="1" s="1"/>
  <c r="V629" i="1" s="1"/>
  <c r="V630" i="1" s="1"/>
  <c r="V631" i="1" s="1"/>
  <c r="V632" i="1" s="1"/>
  <c r="V633" i="1" s="1"/>
  <c r="V634" i="1" s="1"/>
  <c r="V635" i="1" s="1"/>
  <c r="V636" i="1" s="1"/>
  <c r="V637" i="1" s="1"/>
  <c r="V638" i="1" s="1"/>
  <c r="V639" i="1" s="1"/>
  <c r="V640" i="1" s="1"/>
  <c r="V641" i="1" s="1"/>
  <c r="V642" i="1" s="1"/>
  <c r="V643" i="1" s="1"/>
  <c r="V644" i="1" s="1"/>
  <c r="V645" i="1" s="1"/>
  <c r="V646" i="1" s="1"/>
  <c r="V647" i="1" s="1"/>
  <c r="V648" i="1" s="1"/>
  <c r="V649" i="1" s="1"/>
  <c r="V650" i="1" s="1"/>
  <c r="V651" i="1" s="1"/>
  <c r="V652" i="1" s="1"/>
  <c r="V653" i="1" s="1"/>
  <c r="V654" i="1" s="1"/>
  <c r="V655" i="1" s="1"/>
  <c r="V656" i="1" s="1"/>
  <c r="V657" i="1" s="1"/>
  <c r="V658" i="1" s="1"/>
  <c r="V659" i="1" s="1"/>
  <c r="V660" i="1" s="1"/>
  <c r="V661" i="1" s="1"/>
  <c r="V662" i="1" s="1"/>
  <c r="V663" i="1" s="1"/>
  <c r="V664" i="1" s="1"/>
  <c r="V665" i="1" s="1"/>
  <c r="V666" i="1" s="1"/>
  <c r="V667" i="1" s="1"/>
  <c r="V668" i="1" s="1"/>
  <c r="V669" i="1" s="1"/>
  <c r="V670" i="1" s="1"/>
  <c r="V671" i="1" s="1"/>
  <c r="V672" i="1" s="1"/>
  <c r="V673" i="1" s="1"/>
  <c r="V674" i="1" s="1"/>
  <c r="V675" i="1" s="1"/>
  <c r="V676" i="1" s="1"/>
  <c r="V677" i="1" s="1"/>
  <c r="V678" i="1" s="1"/>
  <c r="V679" i="1" s="1"/>
  <c r="V680" i="1" s="1"/>
  <c r="V681" i="1" s="1"/>
  <c r="V682" i="1" s="1"/>
  <c r="V683" i="1" s="1"/>
  <c r="V684" i="1" s="1"/>
  <c r="V685" i="1" s="1"/>
  <c r="V686" i="1" s="1"/>
  <c r="V687" i="1" s="1"/>
  <c r="V688" i="1" s="1"/>
  <c r="V689" i="1" s="1"/>
  <c r="V690" i="1" s="1"/>
  <c r="V691" i="1" s="1"/>
  <c r="V692" i="1" s="1"/>
  <c r="V693" i="1" s="1"/>
  <c r="V694" i="1" s="1"/>
  <c r="V695" i="1" s="1"/>
  <c r="V696" i="1" s="1"/>
  <c r="V697" i="1" s="1"/>
  <c r="V698" i="1" s="1"/>
  <c r="V699" i="1" s="1"/>
  <c r="V700" i="1" s="1"/>
  <c r="V701" i="1" s="1"/>
  <c r="V702" i="1" s="1"/>
  <c r="V703" i="1" s="1"/>
  <c r="V704" i="1" s="1"/>
  <c r="V705" i="1" s="1"/>
  <c r="V706" i="1" s="1"/>
  <c r="V707" i="1" s="1"/>
  <c r="V708" i="1" s="1"/>
  <c r="V709" i="1" s="1"/>
  <c r="V710" i="1" s="1"/>
  <c r="V711" i="1" s="1"/>
  <c r="V712" i="1" s="1"/>
  <c r="V713" i="1" s="1"/>
  <c r="V714" i="1" s="1"/>
  <c r="V715" i="1" s="1"/>
  <c r="V716" i="1" s="1"/>
  <c r="V717" i="1" s="1"/>
  <c r="V718" i="1" s="1"/>
  <c r="V719" i="1" s="1"/>
  <c r="V720" i="1" s="1"/>
  <c r="V721" i="1" s="1"/>
  <c r="V722" i="1" s="1"/>
  <c r="V723" i="1" s="1"/>
  <c r="V724" i="1" s="1"/>
  <c r="V725" i="1" s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V831" i="1" s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 s="1"/>
  <c r="V846" i="1" s="1"/>
  <c r="V847" i="1" s="1"/>
  <c r="V848" i="1" s="1"/>
  <c r="V849" i="1" s="1"/>
  <c r="V850" i="1" s="1"/>
  <c r="V851" i="1" s="1"/>
  <c r="V852" i="1" s="1"/>
  <c r="V853" i="1" s="1"/>
  <c r="V854" i="1" s="1"/>
  <c r="V855" i="1" s="1"/>
  <c r="V856" i="1" s="1"/>
  <c r="V857" i="1" s="1"/>
  <c r="V858" i="1" s="1"/>
  <c r="V859" i="1" s="1"/>
  <c r="V860" i="1" s="1"/>
  <c r="V861" i="1" s="1"/>
  <c r="V862" i="1" s="1"/>
  <c r="V863" i="1" s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875" i="1" s="1"/>
  <c r="V876" i="1" s="1"/>
  <c r="V877" i="1" s="1"/>
  <c r="V878" i="1" s="1"/>
  <c r="V879" i="1" s="1"/>
  <c r="V880" i="1" s="1"/>
  <c r="V881" i="1" s="1"/>
  <c r="V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V901" i="1" s="1"/>
  <c r="E113" i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D85" i="3"/>
  <c r="D81" i="3"/>
  <c r="H161" i="4"/>
  <c r="Q158" i="4"/>
  <c r="Q151" i="4"/>
  <c r="Q144" i="4"/>
  <c r="Q136" i="4"/>
  <c r="Q158" i="3"/>
  <c r="Q151" i="3"/>
  <c r="Q144" i="3"/>
  <c r="Q136" i="3"/>
  <c r="H158" i="4"/>
  <c r="H157" i="4"/>
  <c r="H156" i="4"/>
  <c r="H155" i="4"/>
  <c r="H154" i="4"/>
  <c r="H151" i="4"/>
  <c r="H150" i="4"/>
  <c r="H149" i="4"/>
  <c r="H148" i="4"/>
  <c r="H147" i="4"/>
  <c r="H144" i="4"/>
  <c r="H143" i="4"/>
  <c r="H141" i="4"/>
  <c r="H140" i="4"/>
  <c r="H136" i="4"/>
  <c r="H158" i="3"/>
  <c r="H157" i="3"/>
  <c r="H155" i="3"/>
  <c r="H154" i="3"/>
  <c r="H151" i="3"/>
  <c r="H150" i="3"/>
  <c r="H149" i="3"/>
  <c r="H148" i="3"/>
  <c r="H147" i="3"/>
  <c r="H144" i="3"/>
  <c r="H143" i="3"/>
  <c r="H140" i="3"/>
  <c r="H136" i="3"/>
  <c r="H135" i="3"/>
  <c r="D79" i="3"/>
  <c r="E416" i="1" l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H81" i="4"/>
  <c r="H80" i="4"/>
  <c r="H79" i="4"/>
  <c r="H78" i="4"/>
  <c r="H77" i="4"/>
  <c r="E3" i="4"/>
  <c r="H71" i="4"/>
  <c r="H72" i="4"/>
  <c r="H73" i="4"/>
  <c r="H74" i="4"/>
  <c r="D77" i="3"/>
  <c r="D78" i="3"/>
  <c r="H64" i="3"/>
  <c r="D60" i="3"/>
  <c r="H63" i="3"/>
  <c r="H78" i="3"/>
  <c r="H79" i="3"/>
  <c r="Q130" i="4"/>
  <c r="Q116" i="4"/>
  <c r="Q123" i="4"/>
  <c r="Q109" i="4"/>
  <c r="Q102" i="4"/>
  <c r="Q95" i="4"/>
  <c r="Q88" i="4"/>
  <c r="Q81" i="4"/>
  <c r="Q95" i="3"/>
  <c r="Q130" i="3"/>
  <c r="Q123" i="3"/>
  <c r="Q116" i="3"/>
  <c r="Q109" i="3"/>
  <c r="Q102" i="3"/>
  <c r="H123" i="4" l="1"/>
  <c r="H121" i="4"/>
  <c r="H120" i="4"/>
  <c r="H119" i="4"/>
  <c r="H116" i="4"/>
  <c r="H115" i="4"/>
  <c r="H114" i="4"/>
  <c r="H113" i="4"/>
  <c r="H109" i="4"/>
  <c r="H108" i="4"/>
  <c r="H107" i="4"/>
  <c r="H106" i="4"/>
  <c r="H105" i="4"/>
  <c r="H123" i="3"/>
  <c r="H121" i="3"/>
  <c r="H120" i="3"/>
  <c r="H119" i="3"/>
  <c r="H116" i="3"/>
  <c r="H115" i="3"/>
  <c r="H114" i="3"/>
  <c r="H113" i="3"/>
  <c r="H106" i="3"/>
  <c r="H107" i="3"/>
  <c r="H105" i="3"/>
  <c r="H73" i="3"/>
  <c r="H72" i="3"/>
  <c r="D73" i="3"/>
  <c r="D72" i="3"/>
  <c r="H77" i="3"/>
  <c r="H74" i="3"/>
  <c r="H60" i="3"/>
  <c r="H59" i="3"/>
  <c r="H50" i="4" l="1"/>
  <c r="H43" i="3"/>
  <c r="D65" i="3"/>
  <c r="D64" i="3"/>
  <c r="G36" i="3"/>
  <c r="Q74" i="4" l="1"/>
  <c r="Q67" i="4"/>
  <c r="H102" i="4"/>
  <c r="H101" i="4"/>
  <c r="H100" i="4"/>
  <c r="H99" i="4"/>
  <c r="H98" i="4"/>
  <c r="H95" i="4"/>
  <c r="H94" i="4"/>
  <c r="H93" i="4"/>
  <c r="H92" i="4"/>
  <c r="H84" i="4"/>
  <c r="H70" i="4"/>
  <c r="H66" i="4"/>
  <c r="H67" i="4"/>
  <c r="H65" i="4"/>
  <c r="H102" i="3"/>
  <c r="H101" i="3"/>
  <c r="H100" i="3"/>
  <c r="H99" i="3"/>
  <c r="H98" i="3"/>
  <c r="H95" i="3"/>
  <c r="H88" i="3"/>
  <c r="H87" i="3"/>
  <c r="H86" i="3"/>
  <c r="H85" i="3"/>
  <c r="H84" i="3"/>
  <c r="H81" i="3"/>
  <c r="H80" i="3"/>
  <c r="H71" i="3"/>
  <c r="H70" i="3"/>
  <c r="H66" i="3"/>
  <c r="H67" i="3"/>
  <c r="H65" i="3"/>
  <c r="Q88" i="3"/>
  <c r="Q81" i="3"/>
  <c r="Q74" i="3"/>
  <c r="Q67" i="3"/>
  <c r="H46" i="3"/>
  <c r="Q60" i="3"/>
  <c r="Q60" i="4"/>
  <c r="Q11" i="4"/>
  <c r="Q18" i="4"/>
  <c r="Q25" i="4"/>
  <c r="Q32" i="4"/>
  <c r="Q39" i="4"/>
  <c r="Q46" i="4"/>
  <c r="Q51" i="4"/>
  <c r="Q51" i="3"/>
  <c r="Q46" i="3"/>
  <c r="Q11" i="3"/>
  <c r="Q18" i="3"/>
  <c r="Q32" i="3"/>
  <c r="Q39" i="3"/>
  <c r="H64" i="4"/>
  <c r="H63" i="4"/>
  <c r="H60" i="4"/>
  <c r="H59" i="4"/>
  <c r="S32" i="4"/>
  <c r="S31" i="4"/>
  <c r="S30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8" i="3"/>
  <c r="H30" i="4"/>
  <c r="H31" i="4"/>
  <c r="H29" i="4"/>
  <c r="G25" i="3" l="1"/>
  <c r="G24" i="3"/>
  <c r="H28" i="3"/>
  <c r="Q25" i="3" l="1"/>
  <c r="M3" i="4" l="1"/>
  <c r="M4" i="4" s="1"/>
  <c r="M5" i="4" s="1"/>
  <c r="M6" i="4" s="1"/>
  <c r="H51" i="4"/>
  <c r="H49" i="4"/>
  <c r="H46" i="4"/>
  <c r="H45" i="4"/>
  <c r="H44" i="4"/>
  <c r="H43" i="4"/>
  <c r="H42" i="4"/>
  <c r="H39" i="4"/>
  <c r="H38" i="4"/>
  <c r="H37" i="4"/>
  <c r="H36" i="4"/>
  <c r="H35" i="4"/>
  <c r="H32" i="4"/>
  <c r="H25" i="4"/>
  <c r="H24" i="4"/>
  <c r="H23" i="4"/>
  <c r="H22" i="4"/>
  <c r="H21" i="4"/>
  <c r="H18" i="4"/>
  <c r="H17" i="4"/>
  <c r="H16" i="4"/>
  <c r="H15" i="4"/>
  <c r="H14" i="4"/>
  <c r="H11" i="4"/>
  <c r="H9" i="4"/>
  <c r="H8" i="4"/>
  <c r="H7" i="4"/>
  <c r="M7" i="4" l="1"/>
  <c r="H51" i="3"/>
  <c r="H50" i="3"/>
  <c r="H49" i="3"/>
  <c r="H45" i="3"/>
  <c r="H44" i="3"/>
  <c r="H42" i="3"/>
  <c r="H39" i="3"/>
  <c r="H38" i="3"/>
  <c r="H37" i="3"/>
  <c r="H36" i="3"/>
  <c r="H35" i="3"/>
  <c r="H32" i="3"/>
  <c r="H30" i="3"/>
  <c r="H29" i="3"/>
  <c r="H25" i="3"/>
  <c r="H24" i="3"/>
  <c r="H23" i="3"/>
  <c r="H22" i="3"/>
  <c r="H17" i="3"/>
  <c r="H9" i="3"/>
  <c r="H8" i="3"/>
  <c r="M8" i="4" l="1"/>
  <c r="M3" i="3"/>
  <c r="M9" i="4" l="1"/>
  <c r="M10" i="4" l="1"/>
  <c r="L4" i="4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E4" i="4"/>
  <c r="L4" i="3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M4" i="3"/>
  <c r="M5" i="3" s="1"/>
  <c r="M6" i="3" s="1"/>
  <c r="M7" i="3" s="1"/>
  <c r="E3" i="3"/>
  <c r="E4" i="3" s="1"/>
  <c r="L74" i="4" l="1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43" i="3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M11" i="4"/>
  <c r="M12" i="4" s="1"/>
  <c r="M13" i="4" s="1"/>
  <c r="M8" i="3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L86" i="4" l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L107" i="4" s="1"/>
  <c r="L108" i="4" s="1"/>
  <c r="L109" i="4" s="1"/>
  <c r="L110" i="4" s="1"/>
  <c r="L111" i="4" s="1"/>
  <c r="L112" i="4" s="1"/>
  <c r="L113" i="4" s="1"/>
  <c r="L114" i="4" s="1"/>
  <c r="L115" i="4" s="1"/>
  <c r="L116" i="4" s="1"/>
  <c r="L117" i="4" s="1"/>
  <c r="L118" i="4" s="1"/>
  <c r="L119" i="4" s="1"/>
  <c r="L120" i="4" s="1"/>
  <c r="L121" i="4" s="1"/>
  <c r="L122" i="4" s="1"/>
  <c r="L123" i="4" s="1"/>
  <c r="L124" i="4" s="1"/>
  <c r="L125" i="4" s="1"/>
  <c r="L126" i="4" s="1"/>
  <c r="L127" i="4" s="1"/>
  <c r="L128" i="4" s="1"/>
  <c r="L129" i="4" s="1"/>
  <c r="L130" i="4" s="1"/>
  <c r="L131" i="4" s="1"/>
  <c r="L132" i="4" s="1"/>
  <c r="L133" i="4" s="1"/>
  <c r="L134" i="4" s="1"/>
  <c r="L135" i="4" s="1"/>
  <c r="L136" i="4" s="1"/>
  <c r="L137" i="4" s="1"/>
  <c r="L138" i="4" s="1"/>
  <c r="L139" i="4" s="1"/>
  <c r="L140" i="4" s="1"/>
  <c r="L141" i="4" s="1"/>
  <c r="L142" i="4" s="1"/>
  <c r="L143" i="4" s="1"/>
  <c r="L144" i="4" s="1"/>
  <c r="L145" i="4" s="1"/>
  <c r="L146" i="4" s="1"/>
  <c r="L147" i="4" s="1"/>
  <c r="L148" i="4" s="1"/>
  <c r="L149" i="4" s="1"/>
  <c r="L150" i="4" s="1"/>
  <c r="L151" i="4" s="1"/>
  <c r="L152" i="4" s="1"/>
  <c r="L153" i="4" s="1"/>
  <c r="L154" i="4" s="1"/>
  <c r="L155" i="4" s="1"/>
  <c r="L156" i="4" s="1"/>
  <c r="L157" i="4" s="1"/>
  <c r="L158" i="4" s="1"/>
  <c r="L159" i="4" s="1"/>
  <c r="L160" i="4" s="1"/>
  <c r="L161" i="4" s="1"/>
  <c r="L162" i="4" s="1"/>
  <c r="L163" i="4" s="1"/>
  <c r="L164" i="4" s="1"/>
  <c r="L165" i="4" s="1"/>
  <c r="L166" i="4" s="1"/>
  <c r="L167" i="4" s="1"/>
  <c r="L168" i="4" s="1"/>
  <c r="L169" i="4" s="1"/>
  <c r="L170" i="4" s="1"/>
  <c r="L171" i="4" s="1"/>
  <c r="L172" i="4" s="1"/>
  <c r="L173" i="4" s="1"/>
  <c r="L174" i="4" s="1"/>
  <c r="L175" i="4" s="1"/>
  <c r="L176" i="4" s="1"/>
  <c r="L177" i="4" s="1"/>
  <c r="L178" i="4" s="1"/>
  <c r="L179" i="4" s="1"/>
  <c r="L180" i="4" s="1"/>
  <c r="L181" i="4" s="1"/>
  <c r="L182" i="4" s="1"/>
  <c r="L183" i="4" s="1"/>
  <c r="L184" i="4" s="1"/>
  <c r="L185" i="4" s="1"/>
  <c r="L186" i="4" s="1"/>
  <c r="L187" i="4" s="1"/>
  <c r="L188" i="4" s="1"/>
  <c r="L189" i="4" s="1"/>
  <c r="L190" i="4" s="1"/>
  <c r="L191" i="4" s="1"/>
  <c r="L192" i="4" s="1"/>
  <c r="L193" i="4" s="1"/>
  <c r="L194" i="4" s="1"/>
  <c r="L195" i="4" s="1"/>
  <c r="L196" i="4" s="1"/>
  <c r="L197" i="4" s="1"/>
  <c r="L198" i="4" s="1"/>
  <c r="L199" i="4" s="1"/>
  <c r="L200" i="4" s="1"/>
  <c r="L201" i="4" s="1"/>
  <c r="L202" i="4" s="1"/>
  <c r="L203" i="4" s="1"/>
  <c r="L204" i="4" s="1"/>
  <c r="L205" i="4" s="1"/>
  <c r="L206" i="4" s="1"/>
  <c r="L207" i="4" s="1"/>
  <c r="L208" i="4" s="1"/>
  <c r="L209" i="4" s="1"/>
  <c r="L210" i="4" s="1"/>
  <c r="L211" i="4" s="1"/>
  <c r="L212" i="4" s="1"/>
  <c r="L213" i="4" s="1"/>
  <c r="L214" i="4" s="1"/>
  <c r="L215" i="4" s="1"/>
  <c r="L216" i="4" s="1"/>
  <c r="L217" i="4" s="1"/>
  <c r="L218" i="4" s="1"/>
  <c r="L219" i="4" s="1"/>
  <c r="L220" i="4" s="1"/>
  <c r="L221" i="4" s="1"/>
  <c r="L222" i="4" s="1"/>
  <c r="L223" i="4" s="1"/>
  <c r="L224" i="4" s="1"/>
  <c r="L225" i="4" s="1"/>
  <c r="L226" i="4" s="1"/>
  <c r="L227" i="4" s="1"/>
  <c r="L228" i="4" s="1"/>
  <c r="L229" i="4" s="1"/>
  <c r="L230" i="4" s="1"/>
  <c r="L231" i="4" s="1"/>
  <c r="L232" i="4" s="1"/>
  <c r="L233" i="4" s="1"/>
  <c r="L234" i="4" s="1"/>
  <c r="L235" i="4" s="1"/>
  <c r="L236" i="4" s="1"/>
  <c r="L237" i="4" s="1"/>
  <c r="L238" i="4" s="1"/>
  <c r="L239" i="4" s="1"/>
  <c r="L240" i="4" s="1"/>
  <c r="L241" i="4" s="1"/>
  <c r="L242" i="4" s="1"/>
  <c r="L243" i="4" s="1"/>
  <c r="L244" i="4" s="1"/>
  <c r="L245" i="4" s="1"/>
  <c r="L246" i="4" s="1"/>
  <c r="L247" i="4" s="1"/>
  <c r="L248" i="4" s="1"/>
  <c r="L249" i="4" s="1"/>
  <c r="L250" i="4" s="1"/>
  <c r="L251" i="4" s="1"/>
  <c r="L252" i="4" s="1"/>
  <c r="L253" i="4" s="1"/>
  <c r="L254" i="4" s="1"/>
  <c r="L255" i="4" s="1"/>
  <c r="L256" i="4" s="1"/>
  <c r="L257" i="4" s="1"/>
  <c r="L258" i="4" s="1"/>
  <c r="L259" i="4" s="1"/>
  <c r="L260" i="4" s="1"/>
  <c r="L261" i="4" s="1"/>
  <c r="L262" i="4" s="1"/>
  <c r="L263" i="4" s="1"/>
  <c r="L264" i="4" s="1"/>
  <c r="L265" i="4" s="1"/>
  <c r="L266" i="4" s="1"/>
  <c r="L267" i="4" s="1"/>
  <c r="L268" i="4" s="1"/>
  <c r="L269" i="4" s="1"/>
  <c r="L270" i="4" s="1"/>
  <c r="L271" i="4" s="1"/>
  <c r="L272" i="4" s="1"/>
  <c r="L273" i="4" s="1"/>
  <c r="L274" i="4" s="1"/>
  <c r="L275" i="4" s="1"/>
  <c r="L276" i="4" s="1"/>
  <c r="L277" i="4" s="1"/>
  <c r="L278" i="4" s="1"/>
  <c r="L279" i="4" s="1"/>
  <c r="L280" i="4" s="1"/>
  <c r="L281" i="4" s="1"/>
  <c r="L282" i="4" s="1"/>
  <c r="L283" i="4" s="1"/>
  <c r="L284" i="4" s="1"/>
  <c r="L285" i="4" s="1"/>
  <c r="L286" i="4" s="1"/>
  <c r="L287" i="4" s="1"/>
  <c r="L288" i="4" s="1"/>
  <c r="L289" i="4" s="1"/>
  <c r="L290" i="4" s="1"/>
  <c r="L291" i="4" s="1"/>
  <c r="L292" i="4" s="1"/>
  <c r="L293" i="4" s="1"/>
  <c r="L294" i="4" s="1"/>
  <c r="L295" i="4" s="1"/>
  <c r="L296" i="4" s="1"/>
  <c r="L297" i="4" s="1"/>
  <c r="L298" i="4" s="1"/>
  <c r="L299" i="4" s="1"/>
  <c r="L300" i="4" s="1"/>
  <c r="L301" i="4" s="1"/>
  <c r="L302" i="4" s="1"/>
  <c r="L303" i="4" s="1"/>
  <c r="L304" i="4" s="1"/>
  <c r="L305" i="4" s="1"/>
  <c r="L306" i="4" s="1"/>
  <c r="L307" i="4" s="1"/>
  <c r="L308" i="4" s="1"/>
  <c r="L309" i="4" s="1"/>
  <c r="L310" i="4" s="1"/>
  <c r="L311" i="4" s="1"/>
  <c r="L312" i="4" s="1"/>
  <c r="L313" i="4" s="1"/>
  <c r="L314" i="4" s="1"/>
  <c r="L315" i="4" s="1"/>
  <c r="L316" i="4" s="1"/>
  <c r="L317" i="4" s="1"/>
  <c r="L318" i="4" s="1"/>
  <c r="L319" i="4" s="1"/>
  <c r="L320" i="4" s="1"/>
  <c r="L321" i="4" s="1"/>
  <c r="L322" i="4" s="1"/>
  <c r="L323" i="4" s="1"/>
  <c r="L324" i="4" s="1"/>
  <c r="L325" i="4" s="1"/>
  <c r="L326" i="4" s="1"/>
  <c r="L327" i="4" s="1"/>
  <c r="L328" i="4" s="1"/>
  <c r="L329" i="4" s="1"/>
  <c r="L330" i="4" s="1"/>
  <c r="L331" i="4" s="1"/>
  <c r="L71" i="3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L104" i="3" s="1"/>
  <c r="L105" i="3" s="1"/>
  <c r="L106" i="3" s="1"/>
  <c r="L107" i="3" s="1"/>
  <c r="L108" i="3" s="1"/>
  <c r="L109" i="3" s="1"/>
  <c r="L110" i="3" s="1"/>
  <c r="L111" i="3" s="1"/>
  <c r="L112" i="3" s="1"/>
  <c r="L113" i="3" s="1"/>
  <c r="L114" i="3" s="1"/>
  <c r="L115" i="3" s="1"/>
  <c r="L116" i="3" s="1"/>
  <c r="L117" i="3" s="1"/>
  <c r="L118" i="3" s="1"/>
  <c r="L119" i="3" s="1"/>
  <c r="L120" i="3" s="1"/>
  <c r="L121" i="3" s="1"/>
  <c r="L122" i="3" s="1"/>
  <c r="L123" i="3" s="1"/>
  <c r="L124" i="3" s="1"/>
  <c r="L125" i="3" s="1"/>
  <c r="L126" i="3" s="1"/>
  <c r="L127" i="3" s="1"/>
  <c r="L128" i="3" s="1"/>
  <c r="L129" i="3" s="1"/>
  <c r="L130" i="3" s="1"/>
  <c r="L131" i="3" s="1"/>
  <c r="L132" i="3" s="1"/>
  <c r="L133" i="3" s="1"/>
  <c r="L134" i="3" s="1"/>
  <c r="L135" i="3" s="1"/>
  <c r="L136" i="3" s="1"/>
  <c r="L137" i="3" s="1"/>
  <c r="L138" i="3" s="1"/>
  <c r="L139" i="3" s="1"/>
  <c r="L140" i="3" s="1"/>
  <c r="L141" i="3" s="1"/>
  <c r="L142" i="3" s="1"/>
  <c r="L143" i="3" s="1"/>
  <c r="L144" i="3" s="1"/>
  <c r="L145" i="3" s="1"/>
  <c r="L146" i="3" s="1"/>
  <c r="L147" i="3" s="1"/>
  <c r="L148" i="3" s="1"/>
  <c r="L149" i="3" s="1"/>
  <c r="L150" i="3" s="1"/>
  <c r="L151" i="3" s="1"/>
  <c r="L152" i="3" s="1"/>
  <c r="L153" i="3" s="1"/>
  <c r="L154" i="3" s="1"/>
  <c r="L155" i="3" s="1"/>
  <c r="L156" i="3" s="1"/>
  <c r="L157" i="3" s="1"/>
  <c r="L158" i="3" s="1"/>
  <c r="L159" i="3" s="1"/>
  <c r="L160" i="3" s="1"/>
  <c r="L161" i="3" s="1"/>
  <c r="L162" i="3" s="1"/>
  <c r="L163" i="3" s="1"/>
  <c r="L164" i="3" s="1"/>
  <c r="L165" i="3" s="1"/>
  <c r="L166" i="3" s="1"/>
  <c r="L167" i="3" s="1"/>
  <c r="L168" i="3" s="1"/>
  <c r="L169" i="3" s="1"/>
  <c r="L170" i="3" s="1"/>
  <c r="L171" i="3" s="1"/>
  <c r="L172" i="3" s="1"/>
  <c r="L173" i="3" s="1"/>
  <c r="L174" i="3" s="1"/>
  <c r="L175" i="3" s="1"/>
  <c r="L176" i="3" s="1"/>
  <c r="L177" i="3" s="1"/>
  <c r="L178" i="3" s="1"/>
  <c r="L179" i="3" s="1"/>
  <c r="L180" i="3" s="1"/>
  <c r="L181" i="3" s="1"/>
  <c r="L182" i="3" s="1"/>
  <c r="L183" i="3" s="1"/>
  <c r="L184" i="3" s="1"/>
  <c r="L185" i="3" s="1"/>
  <c r="L186" i="3" s="1"/>
  <c r="L187" i="3" s="1"/>
  <c r="L188" i="3" s="1"/>
  <c r="L189" i="3" s="1"/>
  <c r="L190" i="3" s="1"/>
  <c r="L191" i="3" s="1"/>
  <c r="L192" i="3" s="1"/>
  <c r="L193" i="3" s="1"/>
  <c r="L194" i="3" s="1"/>
  <c r="L195" i="3" s="1"/>
  <c r="L196" i="3" s="1"/>
  <c r="L197" i="3" s="1"/>
  <c r="L198" i="3" s="1"/>
  <c r="L199" i="3" s="1"/>
  <c r="L200" i="3" s="1"/>
  <c r="L201" i="3" s="1"/>
  <c r="L202" i="3" s="1"/>
  <c r="L203" i="3" s="1"/>
  <c r="L204" i="3" s="1"/>
  <c r="L205" i="3" s="1"/>
  <c r="L206" i="3" s="1"/>
  <c r="L207" i="3" s="1"/>
  <c r="L208" i="3" s="1"/>
  <c r="L209" i="3" s="1"/>
  <c r="L210" i="3" s="1"/>
  <c r="L211" i="3" s="1"/>
  <c r="M44" i="3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E25" i="3"/>
  <c r="E26" i="3" s="1"/>
  <c r="E27" i="3" s="1"/>
  <c r="E28" i="3" s="1"/>
  <c r="E29" i="3" s="1"/>
  <c r="E30" i="3" s="1"/>
  <c r="E31" i="3" s="1"/>
  <c r="E32" i="3" s="1"/>
  <c r="E33" i="3" s="1"/>
  <c r="E34" i="3" s="1"/>
  <c r="M14" i="4"/>
  <c r="E25" i="4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L332" i="4" l="1"/>
  <c r="L333" i="4" s="1"/>
  <c r="L334" i="4" s="1"/>
  <c r="L335" i="4" s="1"/>
  <c r="L336" i="4" s="1"/>
  <c r="L337" i="4" s="1"/>
  <c r="L338" i="4" s="1"/>
  <c r="L339" i="4" s="1"/>
  <c r="L340" i="4" s="1"/>
  <c r="L341" i="4" s="1"/>
  <c r="L342" i="4" s="1"/>
  <c r="L343" i="4" s="1"/>
  <c r="L344" i="4" s="1"/>
  <c r="L345" i="4" s="1"/>
  <c r="L346" i="4" s="1"/>
  <c r="L347" i="4" s="1"/>
  <c r="L348" i="4" s="1"/>
  <c r="L349" i="4" s="1"/>
  <c r="L350" i="4" s="1"/>
  <c r="L351" i="4" s="1"/>
  <c r="L352" i="4" s="1"/>
  <c r="L353" i="4" s="1"/>
  <c r="L354" i="4" s="1"/>
  <c r="L355" i="4" s="1"/>
  <c r="L356" i="4" s="1"/>
  <c r="L357" i="4" s="1"/>
  <c r="L358" i="4" s="1"/>
  <c r="L359" i="4" s="1"/>
  <c r="L360" i="4" s="1"/>
  <c r="L361" i="4" s="1"/>
  <c r="L362" i="4" s="1"/>
  <c r="L363" i="4" s="1"/>
  <c r="L364" i="4" s="1"/>
  <c r="L365" i="4" s="1"/>
  <c r="L366" i="4" s="1"/>
  <c r="L367" i="4" s="1"/>
  <c r="L368" i="4" s="1"/>
  <c r="L369" i="4" s="1"/>
  <c r="L370" i="4" s="1"/>
  <c r="L371" i="4" s="1"/>
  <c r="L372" i="4" s="1"/>
  <c r="L373" i="4" s="1"/>
  <c r="L374" i="4" s="1"/>
  <c r="L375" i="4" s="1"/>
  <c r="L376" i="4" s="1"/>
  <c r="L377" i="4" s="1"/>
  <c r="L378" i="4" s="1"/>
  <c r="L379" i="4" s="1"/>
  <c r="L380" i="4" s="1"/>
  <c r="L381" i="4" s="1"/>
  <c r="L382" i="4" s="1"/>
  <c r="L383" i="4" s="1"/>
  <c r="L384" i="4" s="1"/>
  <c r="L385" i="4" s="1"/>
  <c r="L386" i="4" s="1"/>
  <c r="L387" i="4" s="1"/>
  <c r="L388" i="4" s="1"/>
  <c r="L389" i="4" s="1"/>
  <c r="L390" i="4" s="1"/>
  <c r="L391" i="4" s="1"/>
  <c r="L392" i="4" s="1"/>
  <c r="L393" i="4" s="1"/>
  <c r="L394" i="4" s="1"/>
  <c r="L395" i="4" s="1"/>
  <c r="L396" i="4" s="1"/>
  <c r="L397" i="4" s="1"/>
  <c r="L398" i="4" s="1"/>
  <c r="L399" i="4" s="1"/>
  <c r="L400" i="4" s="1"/>
  <c r="L401" i="4" s="1"/>
  <c r="L402" i="4" s="1"/>
  <c r="L403" i="4" s="1"/>
  <c r="L404" i="4" s="1"/>
  <c r="L405" i="4" s="1"/>
  <c r="L406" i="4" s="1"/>
  <c r="L407" i="4" s="1"/>
  <c r="L408" i="4" s="1"/>
  <c r="L409" i="4" s="1"/>
  <c r="L410" i="4" s="1"/>
  <c r="L411" i="4" s="1"/>
  <c r="L412" i="4" s="1"/>
  <c r="L413" i="4" s="1"/>
  <c r="L414" i="4" s="1"/>
  <c r="L415" i="4" s="1"/>
  <c r="L416" i="4" s="1"/>
  <c r="L417" i="4" s="1"/>
  <c r="L418" i="4" s="1"/>
  <c r="L419" i="4" s="1"/>
  <c r="L420" i="4" s="1"/>
  <c r="L421" i="4" s="1"/>
  <c r="L422" i="4" s="1"/>
  <c r="L423" i="4" s="1"/>
  <c r="L424" i="4" s="1"/>
  <c r="L425" i="4" s="1"/>
  <c r="L426" i="4" s="1"/>
  <c r="L427" i="4" s="1"/>
  <c r="L428" i="4" s="1"/>
  <c r="L429" i="4" s="1"/>
  <c r="L430" i="4" s="1"/>
  <c r="L431" i="4" s="1"/>
  <c r="L432" i="4" s="1"/>
  <c r="L433" i="4" s="1"/>
  <c r="L434" i="4" s="1"/>
  <c r="L435" i="4" s="1"/>
  <c r="L436" i="4" s="1"/>
  <c r="L437" i="4" s="1"/>
  <c r="L438" i="4" s="1"/>
  <c r="L439" i="4" s="1"/>
  <c r="L440" i="4" s="1"/>
  <c r="L441" i="4" s="1"/>
  <c r="L442" i="4" s="1"/>
  <c r="L443" i="4" s="1"/>
  <c r="L444" i="4" s="1"/>
  <c r="L445" i="4" s="1"/>
  <c r="L446" i="4" s="1"/>
  <c r="L447" i="4" s="1"/>
  <c r="L448" i="4" s="1"/>
  <c r="L449" i="4" s="1"/>
  <c r="L450" i="4" s="1"/>
  <c r="L451" i="4" s="1"/>
  <c r="L452" i="4" s="1"/>
  <c r="L453" i="4" s="1"/>
  <c r="L454" i="4" s="1"/>
  <c r="L455" i="4" s="1"/>
  <c r="L456" i="4" s="1"/>
  <c r="L457" i="4" s="1"/>
  <c r="L458" i="4" s="1"/>
  <c r="L459" i="4" s="1"/>
  <c r="L460" i="4" s="1"/>
  <c r="L461" i="4" s="1"/>
  <c r="L462" i="4" s="1"/>
  <c r="L463" i="4" s="1"/>
  <c r="L464" i="4" s="1"/>
  <c r="L465" i="4" s="1"/>
  <c r="L466" i="4" s="1"/>
  <c r="L467" i="4" s="1"/>
  <c r="L468" i="4" s="1"/>
  <c r="L469" i="4" s="1"/>
  <c r="L470" i="4" s="1"/>
  <c r="L471" i="4" s="1"/>
  <c r="L472" i="4" s="1"/>
  <c r="L473" i="4" s="1"/>
  <c r="L474" i="4" s="1"/>
  <c r="L475" i="4" s="1"/>
  <c r="L476" i="4" s="1"/>
  <c r="L477" i="4" s="1"/>
  <c r="L478" i="4" s="1"/>
  <c r="L479" i="4" s="1"/>
  <c r="L480" i="4" s="1"/>
  <c r="L481" i="4" s="1"/>
  <c r="L482" i="4" s="1"/>
  <c r="L483" i="4" s="1"/>
  <c r="L484" i="4" s="1"/>
  <c r="L485" i="4" s="1"/>
  <c r="L486" i="4" s="1"/>
  <c r="L487" i="4" s="1"/>
  <c r="L488" i="4" s="1"/>
  <c r="L489" i="4" s="1"/>
  <c r="L490" i="4" s="1"/>
  <c r="L491" i="4" s="1"/>
  <c r="L492" i="4" s="1"/>
  <c r="L493" i="4" s="1"/>
  <c r="L494" i="4" s="1"/>
  <c r="L495" i="4" s="1"/>
  <c r="L496" i="4" s="1"/>
  <c r="L497" i="4" s="1"/>
  <c r="L498" i="4" s="1"/>
  <c r="L499" i="4" s="1"/>
  <c r="L500" i="4" s="1"/>
  <c r="L501" i="4" s="1"/>
  <c r="L502" i="4" s="1"/>
  <c r="L503" i="4" s="1"/>
  <c r="L504" i="4" s="1"/>
  <c r="L505" i="4" s="1"/>
  <c r="L506" i="4" s="1"/>
  <c r="L507" i="4" s="1"/>
  <c r="L508" i="4" s="1"/>
  <c r="L509" i="4" s="1"/>
  <c r="L510" i="4" s="1"/>
  <c r="L511" i="4" s="1"/>
  <c r="L512" i="4" s="1"/>
  <c r="L513" i="4" s="1"/>
  <c r="L514" i="4" s="1"/>
  <c r="L515" i="4" s="1"/>
  <c r="L516" i="4" s="1"/>
  <c r="L517" i="4" s="1"/>
  <c r="L518" i="4" s="1"/>
  <c r="L519" i="4" s="1"/>
  <c r="L520" i="4" s="1"/>
  <c r="L521" i="4" s="1"/>
  <c r="L522" i="4" s="1"/>
  <c r="L523" i="4" s="1"/>
  <c r="L524" i="4" s="1"/>
  <c r="L525" i="4" s="1"/>
  <c r="L526" i="4" s="1"/>
  <c r="L527" i="4" s="1"/>
  <c r="L528" i="4" s="1"/>
  <c r="L529" i="4" s="1"/>
  <c r="L530" i="4" s="1"/>
  <c r="L531" i="4" s="1"/>
  <c r="L532" i="4" s="1"/>
  <c r="L533" i="4" s="1"/>
  <c r="L534" i="4" s="1"/>
  <c r="L535" i="4" s="1"/>
  <c r="L536" i="4" s="1"/>
  <c r="L537" i="4" s="1"/>
  <c r="L538" i="4" s="1"/>
  <c r="L539" i="4" s="1"/>
  <c r="L540" i="4" s="1"/>
  <c r="L541" i="4" s="1"/>
  <c r="L542" i="4" s="1"/>
  <c r="L543" i="4" s="1"/>
  <c r="L544" i="4" s="1"/>
  <c r="L545" i="4" s="1"/>
  <c r="L546" i="4" s="1"/>
  <c r="L547" i="4" s="1"/>
  <c r="L548" i="4" s="1"/>
  <c r="L549" i="4" s="1"/>
  <c r="L550" i="4" s="1"/>
  <c r="L551" i="4" s="1"/>
  <c r="L552" i="4" s="1"/>
  <c r="L553" i="4" s="1"/>
  <c r="L554" i="4" s="1"/>
  <c r="L555" i="4" s="1"/>
  <c r="L556" i="4" s="1"/>
  <c r="L557" i="4" s="1"/>
  <c r="L558" i="4" s="1"/>
  <c r="L559" i="4" s="1"/>
  <c r="L560" i="4" s="1"/>
  <c r="L561" i="4" s="1"/>
  <c r="L562" i="4" s="1"/>
  <c r="L563" i="4" s="1"/>
  <c r="L564" i="4" s="1"/>
  <c r="L565" i="4" s="1"/>
  <c r="L566" i="4" s="1"/>
  <c r="L567" i="4" s="1"/>
  <c r="L568" i="4" s="1"/>
  <c r="L569" i="4" s="1"/>
  <c r="L570" i="4" s="1"/>
  <c r="L571" i="4" s="1"/>
  <c r="L572" i="4" s="1"/>
  <c r="L573" i="4" s="1"/>
  <c r="L574" i="4" s="1"/>
  <c r="L575" i="4" s="1"/>
  <c r="L576" i="4" s="1"/>
  <c r="L577" i="4" s="1"/>
  <c r="L578" i="4" s="1"/>
  <c r="L579" i="4" s="1"/>
  <c r="L580" i="4" s="1"/>
  <c r="L581" i="4" s="1"/>
  <c r="L582" i="4" s="1"/>
  <c r="L583" i="4" s="1"/>
  <c r="L584" i="4" s="1"/>
  <c r="L585" i="4" s="1"/>
  <c r="L586" i="4" s="1"/>
  <c r="L587" i="4" s="1"/>
  <c r="L588" i="4" s="1"/>
  <c r="L589" i="4" s="1"/>
  <c r="L590" i="4" s="1"/>
  <c r="L591" i="4" s="1"/>
  <c r="L592" i="4" s="1"/>
  <c r="L593" i="4" s="1"/>
  <c r="L594" i="4" s="1"/>
  <c r="L595" i="4" s="1"/>
  <c r="L596" i="4" s="1"/>
  <c r="L597" i="4" s="1"/>
  <c r="L598" i="4" s="1"/>
  <c r="L599" i="4" s="1"/>
  <c r="L600" i="4" s="1"/>
  <c r="L601" i="4" s="1"/>
  <c r="L602" i="4" s="1"/>
  <c r="L603" i="4" s="1"/>
  <c r="L604" i="4" s="1"/>
  <c r="L605" i="4" s="1"/>
  <c r="L606" i="4" s="1"/>
  <c r="L607" i="4" s="1"/>
  <c r="L608" i="4" s="1"/>
  <c r="L609" i="4" s="1"/>
  <c r="L610" i="4" s="1"/>
  <c r="L611" i="4" s="1"/>
  <c r="L612" i="4" s="1"/>
  <c r="L613" i="4" s="1"/>
  <c r="L614" i="4" s="1"/>
  <c r="L615" i="4" s="1"/>
  <c r="L616" i="4" s="1"/>
  <c r="L617" i="4" s="1"/>
  <c r="L618" i="4" s="1"/>
  <c r="L619" i="4" s="1"/>
  <c r="L620" i="4" s="1"/>
  <c r="L621" i="4" s="1"/>
  <c r="L622" i="4" s="1"/>
  <c r="L623" i="4" s="1"/>
  <c r="L624" i="4" s="1"/>
  <c r="L625" i="4" s="1"/>
  <c r="L626" i="4" s="1"/>
  <c r="L627" i="4" s="1"/>
  <c r="L628" i="4" s="1"/>
  <c r="L629" i="4" s="1"/>
  <c r="L630" i="4" s="1"/>
  <c r="L631" i="4" s="1"/>
  <c r="L632" i="4" s="1"/>
  <c r="L633" i="4" s="1"/>
  <c r="L634" i="4" s="1"/>
  <c r="L635" i="4" s="1"/>
  <c r="L636" i="4" s="1"/>
  <c r="L637" i="4" s="1"/>
  <c r="L638" i="4" s="1"/>
  <c r="L639" i="4" s="1"/>
  <c r="L640" i="4" s="1"/>
  <c r="L641" i="4" s="1"/>
  <c r="L642" i="4" s="1"/>
  <c r="L643" i="4" s="1"/>
  <c r="L644" i="4" s="1"/>
  <c r="L645" i="4" s="1"/>
  <c r="L646" i="4" s="1"/>
  <c r="L647" i="4" s="1"/>
  <c r="L648" i="4" s="1"/>
  <c r="L649" i="4" s="1"/>
  <c r="L650" i="4" s="1"/>
  <c r="L651" i="4" s="1"/>
  <c r="L652" i="4" s="1"/>
  <c r="L653" i="4" s="1"/>
  <c r="L654" i="4" s="1"/>
  <c r="L655" i="4" s="1"/>
  <c r="L656" i="4" s="1"/>
  <c r="L657" i="4" s="1"/>
  <c r="L658" i="4" s="1"/>
  <c r="L659" i="4" s="1"/>
  <c r="L660" i="4" s="1"/>
  <c r="L661" i="4" s="1"/>
  <c r="L662" i="4" s="1"/>
  <c r="L663" i="4" s="1"/>
  <c r="L664" i="4" s="1"/>
  <c r="L665" i="4" s="1"/>
  <c r="L666" i="4" s="1"/>
  <c r="L667" i="4" s="1"/>
  <c r="L668" i="4" s="1"/>
  <c r="L669" i="4" s="1"/>
  <c r="L670" i="4" s="1"/>
  <c r="L671" i="4" s="1"/>
  <c r="L672" i="4" s="1"/>
  <c r="L673" i="4" s="1"/>
  <c r="L674" i="4" s="1"/>
  <c r="L675" i="4" s="1"/>
  <c r="L676" i="4" s="1"/>
  <c r="L677" i="4" s="1"/>
  <c r="L678" i="4" s="1"/>
  <c r="L679" i="4" s="1"/>
  <c r="L680" i="4" s="1"/>
  <c r="L681" i="4" s="1"/>
  <c r="L682" i="4" s="1"/>
  <c r="L683" i="4" s="1"/>
  <c r="L684" i="4" s="1"/>
  <c r="L685" i="4" s="1"/>
  <c r="L686" i="4" s="1"/>
  <c r="L687" i="4" s="1"/>
  <c r="L689" i="4" s="1"/>
  <c r="L690" i="4" s="1"/>
  <c r="L691" i="4" s="1"/>
  <c r="L692" i="4" s="1"/>
  <c r="L693" i="4" s="1"/>
  <c r="L694" i="4" s="1"/>
  <c r="L695" i="4" s="1"/>
  <c r="L696" i="4" s="1"/>
  <c r="L697" i="4" s="1"/>
  <c r="L698" i="4" s="1"/>
  <c r="L699" i="4" s="1"/>
  <c r="L700" i="4" s="1"/>
  <c r="L701" i="4" s="1"/>
  <c r="L702" i="4" s="1"/>
  <c r="L703" i="4" s="1"/>
  <c r="L704" i="4" s="1"/>
  <c r="L705" i="4" s="1"/>
  <c r="L706" i="4" s="1"/>
  <c r="L707" i="4" s="1"/>
  <c r="L708" i="4" s="1"/>
  <c r="L709" i="4" s="1"/>
  <c r="L710" i="4" s="1"/>
  <c r="L711" i="4" s="1"/>
  <c r="L712" i="4" s="1"/>
  <c r="L713" i="4" s="1"/>
  <c r="L714" i="4" s="1"/>
  <c r="L715" i="4" s="1"/>
  <c r="L716" i="4" s="1"/>
  <c r="L717" i="4" s="1"/>
  <c r="L718" i="4" s="1"/>
  <c r="L719" i="4" s="1"/>
  <c r="L720" i="4" s="1"/>
  <c r="L721" i="4" s="1"/>
  <c r="L722" i="4" s="1"/>
  <c r="L723" i="4" s="1"/>
  <c r="L724" i="4" s="1"/>
  <c r="L725" i="4" s="1"/>
  <c r="L726" i="4" s="1"/>
  <c r="L727" i="4" s="1"/>
  <c r="L728" i="4" s="1"/>
  <c r="L729" i="4" s="1"/>
  <c r="L730" i="4" s="1"/>
  <c r="L731" i="4" s="1"/>
  <c r="L732" i="4" s="1"/>
  <c r="L733" i="4" s="1"/>
  <c r="L734" i="4" s="1"/>
  <c r="L735" i="4" s="1"/>
  <c r="L736" i="4" s="1"/>
  <c r="L737" i="4" s="1"/>
  <c r="L738" i="4" s="1"/>
  <c r="L739" i="4" s="1"/>
  <c r="L740" i="4" s="1"/>
  <c r="L741" i="4" s="1"/>
  <c r="L742" i="4" s="1"/>
  <c r="L743" i="4" s="1"/>
  <c r="L744" i="4" s="1"/>
  <c r="L745" i="4" s="1"/>
  <c r="L746" i="4" s="1"/>
  <c r="L747" i="4" s="1"/>
  <c r="L748" i="4" s="1"/>
  <c r="L749" i="4" s="1"/>
  <c r="L750" i="4" s="1"/>
  <c r="L751" i="4" s="1"/>
  <c r="L752" i="4" s="1"/>
  <c r="L753" i="4" s="1"/>
  <c r="L754" i="4" s="1"/>
  <c r="L755" i="4" s="1"/>
  <c r="L756" i="4" s="1"/>
  <c r="L757" i="4" s="1"/>
  <c r="L758" i="4" s="1"/>
  <c r="L759" i="4" s="1"/>
  <c r="L760" i="4" s="1"/>
  <c r="L761" i="4" s="1"/>
  <c r="L762" i="4" s="1"/>
  <c r="L763" i="4" s="1"/>
  <c r="L764" i="4" s="1"/>
  <c r="L765" i="4" s="1"/>
  <c r="L766" i="4" s="1"/>
  <c r="L767" i="4" s="1"/>
  <c r="L768" i="4" s="1"/>
  <c r="L769" i="4" s="1"/>
  <c r="L770" i="4" s="1"/>
  <c r="L771" i="4" s="1"/>
  <c r="L772" i="4" s="1"/>
  <c r="L773" i="4" s="1"/>
  <c r="L774" i="4" s="1"/>
  <c r="L775" i="4" s="1"/>
  <c r="L776" i="4" s="1"/>
  <c r="L777" i="4" s="1"/>
  <c r="L778" i="4" s="1"/>
  <c r="L779" i="4" s="1"/>
  <c r="L780" i="4" s="1"/>
  <c r="L781" i="4" s="1"/>
  <c r="L782" i="4" s="1"/>
  <c r="L783" i="4" s="1"/>
  <c r="L784" i="4" s="1"/>
  <c r="L785" i="4" s="1"/>
  <c r="L786" i="4" s="1"/>
  <c r="L787" i="4" s="1"/>
  <c r="L788" i="4" s="1"/>
  <c r="L789" i="4" s="1"/>
  <c r="L790" i="4" s="1"/>
  <c r="L791" i="4" s="1"/>
  <c r="L792" i="4" s="1"/>
  <c r="L793" i="4" s="1"/>
  <c r="L794" i="4" s="1"/>
  <c r="L795" i="4" s="1"/>
  <c r="L796" i="4" s="1"/>
  <c r="L797" i="4" s="1"/>
  <c r="L798" i="4" s="1"/>
  <c r="L799" i="4" s="1"/>
  <c r="L800" i="4" s="1"/>
  <c r="L801" i="4" s="1"/>
  <c r="L802" i="4" s="1"/>
  <c r="L803" i="4" s="1"/>
  <c r="L804" i="4" s="1"/>
  <c r="L805" i="4" s="1"/>
  <c r="L806" i="4" s="1"/>
  <c r="L807" i="4" s="1"/>
  <c r="L808" i="4" s="1"/>
  <c r="L809" i="4" s="1"/>
  <c r="L810" i="4" s="1"/>
  <c r="L811" i="4" s="1"/>
  <c r="L812" i="4" s="1"/>
  <c r="L813" i="4" s="1"/>
  <c r="L814" i="4" s="1"/>
  <c r="L815" i="4" s="1"/>
  <c r="L816" i="4" s="1"/>
  <c r="L817" i="4" s="1"/>
  <c r="L818" i="4" s="1"/>
  <c r="L819" i="4" s="1"/>
  <c r="L820" i="4" s="1"/>
  <c r="L821" i="4" s="1"/>
  <c r="L822" i="4" s="1"/>
  <c r="L823" i="4" s="1"/>
  <c r="L824" i="4" s="1"/>
  <c r="L825" i="4" s="1"/>
  <c r="L826" i="4" s="1"/>
  <c r="L827" i="4" s="1"/>
  <c r="L828" i="4" s="1"/>
  <c r="L829" i="4" s="1"/>
  <c r="L830" i="4" s="1"/>
  <c r="L831" i="4" s="1"/>
  <c r="L832" i="4" s="1"/>
  <c r="L833" i="4" s="1"/>
  <c r="L834" i="4" s="1"/>
  <c r="L835" i="4" s="1"/>
  <c r="L836" i="4" s="1"/>
  <c r="L837" i="4" s="1"/>
  <c r="L838" i="4" s="1"/>
  <c r="L839" i="4" s="1"/>
  <c r="L840" i="4" s="1"/>
  <c r="L841" i="4" s="1"/>
  <c r="L842" i="4" s="1"/>
  <c r="L843" i="4" s="1"/>
  <c r="L844" i="4" s="1"/>
  <c r="L845" i="4" s="1"/>
  <c r="L846" i="4" s="1"/>
  <c r="L847" i="4" s="1"/>
  <c r="L848" i="4" s="1"/>
  <c r="L849" i="4" s="1"/>
  <c r="L850" i="4" s="1"/>
  <c r="L851" i="4" s="1"/>
  <c r="L852" i="4" s="1"/>
  <c r="L853" i="4" s="1"/>
  <c r="L854" i="4" s="1"/>
  <c r="L855" i="4" s="1"/>
  <c r="L856" i="4" s="1"/>
  <c r="L857" i="4" s="1"/>
  <c r="L858" i="4" s="1"/>
  <c r="L859" i="4" s="1"/>
  <c r="L860" i="4" s="1"/>
  <c r="L861" i="4" s="1"/>
  <c r="L862" i="4" s="1"/>
  <c r="L863" i="4" s="1"/>
  <c r="L864" i="4" s="1"/>
  <c r="L865" i="4" s="1"/>
  <c r="L866" i="4" s="1"/>
  <c r="L867" i="4" s="1"/>
  <c r="L868" i="4" s="1"/>
  <c r="L869" i="4" s="1"/>
  <c r="L870" i="4" s="1"/>
  <c r="L871" i="4" s="1"/>
  <c r="L872" i="4" s="1"/>
  <c r="L873" i="4" s="1"/>
  <c r="L874" i="4" s="1"/>
  <c r="L875" i="4" s="1"/>
  <c r="L876" i="4" s="1"/>
  <c r="L877" i="4" s="1"/>
  <c r="L878" i="4" s="1"/>
  <c r="L879" i="4" s="1"/>
  <c r="L880" i="4" s="1"/>
  <c r="L881" i="4" s="1"/>
  <c r="L882" i="4" s="1"/>
  <c r="L883" i="4" s="1"/>
  <c r="L884" i="4" s="1"/>
  <c r="L885" i="4" s="1"/>
  <c r="L886" i="4" s="1"/>
  <c r="L887" i="4" s="1"/>
  <c r="L888" i="4" s="1"/>
  <c r="L889" i="4" s="1"/>
  <c r="L890" i="4" s="1"/>
  <c r="L891" i="4" s="1"/>
  <c r="L892" i="4" s="1"/>
  <c r="L893" i="4" s="1"/>
  <c r="L894" i="4" s="1"/>
  <c r="L895" i="4" s="1"/>
  <c r="L896" i="4" s="1"/>
  <c r="L897" i="4" s="1"/>
  <c r="L898" i="4" s="1"/>
  <c r="L899" i="4" s="1"/>
  <c r="L900" i="4" s="1"/>
  <c r="L901" i="4" s="1"/>
  <c r="L212" i="3"/>
  <c r="L213" i="3" s="1"/>
  <c r="L214" i="3" s="1"/>
  <c r="L215" i="3" s="1"/>
  <c r="L216" i="3" s="1"/>
  <c r="L217" i="3" s="1"/>
  <c r="L218" i="3" s="1"/>
  <c r="L219" i="3" s="1"/>
  <c r="L220" i="3" s="1"/>
  <c r="L221" i="3" s="1"/>
  <c r="L222" i="3" s="1"/>
  <c r="L223" i="3" s="1"/>
  <c r="L224" i="3" s="1"/>
  <c r="L225" i="3" s="1"/>
  <c r="L226" i="3" s="1"/>
  <c r="L227" i="3" s="1"/>
  <c r="L228" i="3" s="1"/>
  <c r="L229" i="3" s="1"/>
  <c r="L230" i="3" s="1"/>
  <c r="L231" i="3" s="1"/>
  <c r="L232" i="3" s="1"/>
  <c r="L233" i="3" s="1"/>
  <c r="L234" i="3" s="1"/>
  <c r="L235" i="3" s="1"/>
  <c r="L236" i="3" s="1"/>
  <c r="L237" i="3" s="1"/>
  <c r="L238" i="3" s="1"/>
  <c r="L239" i="3" s="1"/>
  <c r="L240" i="3" s="1"/>
  <c r="L241" i="3" s="1"/>
  <c r="L242" i="3" s="1"/>
  <c r="L243" i="3" s="1"/>
  <c r="L244" i="3" s="1"/>
  <c r="L245" i="3" s="1"/>
  <c r="L246" i="3" s="1"/>
  <c r="L247" i="3" s="1"/>
  <c r="L248" i="3" s="1"/>
  <c r="L249" i="3" s="1"/>
  <c r="L250" i="3" s="1"/>
  <c r="L251" i="3" s="1"/>
  <c r="L252" i="3" s="1"/>
  <c r="L253" i="3" s="1"/>
  <c r="L254" i="3" s="1"/>
  <c r="L255" i="3" s="1"/>
  <c r="L256" i="3" s="1"/>
  <c r="L257" i="3" s="1"/>
  <c r="L258" i="3" s="1"/>
  <c r="L259" i="3" s="1"/>
  <c r="L260" i="3" s="1"/>
  <c r="L261" i="3" s="1"/>
  <c r="L262" i="3" s="1"/>
  <c r="L263" i="3" s="1"/>
  <c r="L264" i="3" s="1"/>
  <c r="L265" i="3" s="1"/>
  <c r="L266" i="3" s="1"/>
  <c r="L267" i="3" s="1"/>
  <c r="L268" i="3" s="1"/>
  <c r="L269" i="3" s="1"/>
  <c r="L270" i="3" s="1"/>
  <c r="L271" i="3" s="1"/>
  <c r="L272" i="3" s="1"/>
  <c r="L273" i="3" s="1"/>
  <c r="L274" i="3" s="1"/>
  <c r="L275" i="3" s="1"/>
  <c r="L276" i="3" s="1"/>
  <c r="L277" i="3" s="1"/>
  <c r="L278" i="3" s="1"/>
  <c r="L279" i="3" s="1"/>
  <c r="L280" i="3" s="1"/>
  <c r="L281" i="3" s="1"/>
  <c r="L282" i="3" s="1"/>
  <c r="L283" i="3" s="1"/>
  <c r="L284" i="3" s="1"/>
  <c r="L285" i="3" s="1"/>
  <c r="L286" i="3" s="1"/>
  <c r="L287" i="3" s="1"/>
  <c r="L288" i="3" s="1"/>
  <c r="L289" i="3" s="1"/>
  <c r="L290" i="3" s="1"/>
  <c r="L291" i="3" s="1"/>
  <c r="L292" i="3" s="1"/>
  <c r="L293" i="3" s="1"/>
  <c r="L294" i="3" s="1"/>
  <c r="L295" i="3" s="1"/>
  <c r="L296" i="3" s="1"/>
  <c r="L297" i="3" s="1"/>
  <c r="L298" i="3" s="1"/>
  <c r="L299" i="3" s="1"/>
  <c r="L300" i="3" s="1"/>
  <c r="L301" i="3" s="1"/>
  <c r="L302" i="3" s="1"/>
  <c r="L303" i="3" s="1"/>
  <c r="L304" i="3" s="1"/>
  <c r="L305" i="3" s="1"/>
  <c r="L306" i="3" s="1"/>
  <c r="L307" i="3" s="1"/>
  <c r="L308" i="3" s="1"/>
  <c r="L309" i="3" s="1"/>
  <c r="L310" i="3" s="1"/>
  <c r="L311" i="3" s="1"/>
  <c r="L312" i="3" s="1"/>
  <c r="L313" i="3" s="1"/>
  <c r="L314" i="3" s="1"/>
  <c r="L315" i="3" s="1"/>
  <c r="L316" i="3" s="1"/>
  <c r="L317" i="3" s="1"/>
  <c r="L318" i="3" s="1"/>
  <c r="L319" i="3" s="1"/>
  <c r="L320" i="3" s="1"/>
  <c r="L321" i="3" s="1"/>
  <c r="L322" i="3" s="1"/>
  <c r="L323" i="3" s="1"/>
  <c r="L324" i="3" s="1"/>
  <c r="L325" i="3" s="1"/>
  <c r="L326" i="3" s="1"/>
  <c r="L327" i="3" s="1"/>
  <c r="L328" i="3" s="1"/>
  <c r="L329" i="3" s="1"/>
  <c r="L330" i="3" s="1"/>
  <c r="L331" i="3" s="1"/>
  <c r="L332" i="3" s="1"/>
  <c r="L333" i="3" s="1"/>
  <c r="L334" i="3" s="1"/>
  <c r="L335" i="3" s="1"/>
  <c r="L336" i="3" s="1"/>
  <c r="L337" i="3" s="1"/>
  <c r="L338" i="3" s="1"/>
  <c r="L339" i="3" s="1"/>
  <c r="L340" i="3" s="1"/>
  <c r="L341" i="3" s="1"/>
  <c r="L342" i="3" s="1"/>
  <c r="L343" i="3" s="1"/>
  <c r="L344" i="3" s="1"/>
  <c r="L345" i="3" s="1"/>
  <c r="L346" i="3" s="1"/>
  <c r="L347" i="3" s="1"/>
  <c r="L348" i="3" s="1"/>
  <c r="L349" i="3" s="1"/>
  <c r="L350" i="3" s="1"/>
  <c r="L351" i="3" s="1"/>
  <c r="L352" i="3" s="1"/>
  <c r="L353" i="3" s="1"/>
  <c r="L354" i="3" s="1"/>
  <c r="L355" i="3" s="1"/>
  <c r="L356" i="3" s="1"/>
  <c r="L357" i="3" s="1"/>
  <c r="L358" i="3" s="1"/>
  <c r="L359" i="3" s="1"/>
  <c r="L360" i="3" s="1"/>
  <c r="L361" i="3" s="1"/>
  <c r="L362" i="3" s="1"/>
  <c r="L363" i="3" s="1"/>
  <c r="L364" i="3" s="1"/>
  <c r="L365" i="3" s="1"/>
  <c r="L366" i="3" s="1"/>
  <c r="L367" i="3" s="1"/>
  <c r="L368" i="3" s="1"/>
  <c r="L369" i="3" s="1"/>
  <c r="L370" i="3" s="1"/>
  <c r="L371" i="3" s="1"/>
  <c r="L372" i="3" s="1"/>
  <c r="L373" i="3" s="1"/>
  <c r="L374" i="3" s="1"/>
  <c r="L375" i="3" s="1"/>
  <c r="L376" i="3" s="1"/>
  <c r="L377" i="3" s="1"/>
  <c r="L378" i="3" s="1"/>
  <c r="L379" i="3" s="1"/>
  <c r="L380" i="3" s="1"/>
  <c r="L381" i="3" s="1"/>
  <c r="L382" i="3" s="1"/>
  <c r="L383" i="3" s="1"/>
  <c r="L384" i="3" s="1"/>
  <c r="L385" i="3" s="1"/>
  <c r="L386" i="3" s="1"/>
  <c r="L387" i="3" s="1"/>
  <c r="L388" i="3" s="1"/>
  <c r="L389" i="3" s="1"/>
  <c r="L390" i="3" s="1"/>
  <c r="L391" i="3" s="1"/>
  <c r="L392" i="3" s="1"/>
  <c r="L393" i="3" s="1"/>
  <c r="L394" i="3" s="1"/>
  <c r="L395" i="3" s="1"/>
  <c r="L396" i="3" s="1"/>
  <c r="L397" i="3" s="1"/>
  <c r="L398" i="3" s="1"/>
  <c r="L399" i="3" s="1"/>
  <c r="L400" i="3" s="1"/>
  <c r="L401" i="3" s="1"/>
  <c r="L402" i="3" s="1"/>
  <c r="L403" i="3" s="1"/>
  <c r="L404" i="3" s="1"/>
  <c r="L405" i="3" s="1"/>
  <c r="L406" i="3" s="1"/>
  <c r="L407" i="3" s="1"/>
  <c r="L408" i="3" s="1"/>
  <c r="L409" i="3" s="1"/>
  <c r="L410" i="3" s="1"/>
  <c r="L411" i="3" s="1"/>
  <c r="L412" i="3" s="1"/>
  <c r="L413" i="3" s="1"/>
  <c r="L414" i="3" s="1"/>
  <c r="L415" i="3" s="1"/>
  <c r="L416" i="3" s="1"/>
  <c r="L417" i="3" s="1"/>
  <c r="L418" i="3" s="1"/>
  <c r="L419" i="3" s="1"/>
  <c r="L420" i="3" s="1"/>
  <c r="L421" i="3" s="1"/>
  <c r="L422" i="3" s="1"/>
  <c r="L423" i="3" s="1"/>
  <c r="L424" i="3" s="1"/>
  <c r="L425" i="3" s="1"/>
  <c r="L426" i="3" s="1"/>
  <c r="L427" i="3" s="1"/>
  <c r="L428" i="3" s="1"/>
  <c r="L429" i="3" s="1"/>
  <c r="L430" i="3" s="1"/>
  <c r="L431" i="3" s="1"/>
  <c r="L432" i="3" s="1"/>
  <c r="L433" i="3" s="1"/>
  <c r="L434" i="3" s="1"/>
  <c r="L435" i="3" s="1"/>
  <c r="L436" i="3" s="1"/>
  <c r="L437" i="3" s="1"/>
  <c r="L438" i="3" s="1"/>
  <c r="L439" i="3" s="1"/>
  <c r="L440" i="3" s="1"/>
  <c r="L441" i="3" s="1"/>
  <c r="L442" i="3" s="1"/>
  <c r="L443" i="3" s="1"/>
  <c r="L444" i="3" s="1"/>
  <c r="L445" i="3" s="1"/>
  <c r="L446" i="3" s="1"/>
  <c r="L447" i="3" s="1"/>
  <c r="L448" i="3" s="1"/>
  <c r="L449" i="3" s="1"/>
  <c r="L450" i="3" s="1"/>
  <c r="L451" i="3" s="1"/>
  <c r="L452" i="3" s="1"/>
  <c r="L453" i="3" s="1"/>
  <c r="L454" i="3" s="1"/>
  <c r="L455" i="3" s="1"/>
  <c r="L456" i="3" s="1"/>
  <c r="L457" i="3" s="1"/>
  <c r="L458" i="3" s="1"/>
  <c r="L459" i="3" s="1"/>
  <c r="L460" i="3" s="1"/>
  <c r="L461" i="3" s="1"/>
  <c r="L462" i="3" s="1"/>
  <c r="L463" i="3" s="1"/>
  <c r="L464" i="3" s="1"/>
  <c r="L465" i="3" s="1"/>
  <c r="L466" i="3" s="1"/>
  <c r="L467" i="3" s="1"/>
  <c r="L468" i="3" s="1"/>
  <c r="L469" i="3" s="1"/>
  <c r="L470" i="3" s="1"/>
  <c r="L471" i="3" s="1"/>
  <c r="L472" i="3" s="1"/>
  <c r="L473" i="3" s="1"/>
  <c r="L474" i="3" s="1"/>
  <c r="L475" i="3" s="1"/>
  <c r="L476" i="3" s="1"/>
  <c r="L477" i="3" s="1"/>
  <c r="L478" i="3" s="1"/>
  <c r="L479" i="3" s="1"/>
  <c r="L480" i="3" s="1"/>
  <c r="L481" i="3" s="1"/>
  <c r="L482" i="3" s="1"/>
  <c r="L483" i="3" s="1"/>
  <c r="L484" i="3" s="1"/>
  <c r="L485" i="3" s="1"/>
  <c r="L486" i="3" s="1"/>
  <c r="L487" i="3" s="1"/>
  <c r="L488" i="3" s="1"/>
  <c r="L489" i="3" s="1"/>
  <c r="L490" i="3" s="1"/>
  <c r="L491" i="3" s="1"/>
  <c r="L492" i="3" s="1"/>
  <c r="L493" i="3" s="1"/>
  <c r="L494" i="3" s="1"/>
  <c r="L495" i="3" s="1"/>
  <c r="L496" i="3" s="1"/>
  <c r="L497" i="3" s="1"/>
  <c r="L498" i="3" s="1"/>
  <c r="L499" i="3" s="1"/>
  <c r="L500" i="3" s="1"/>
  <c r="L501" i="3" s="1"/>
  <c r="L502" i="3" s="1"/>
  <c r="L503" i="3" s="1"/>
  <c r="L504" i="3" s="1"/>
  <c r="L505" i="3" s="1"/>
  <c r="L506" i="3" s="1"/>
  <c r="L507" i="3" s="1"/>
  <c r="L508" i="3" s="1"/>
  <c r="L509" i="3" s="1"/>
  <c r="L510" i="3" s="1"/>
  <c r="L511" i="3" s="1"/>
  <c r="L512" i="3" s="1"/>
  <c r="L513" i="3" s="1"/>
  <c r="L514" i="3" s="1"/>
  <c r="L515" i="3" s="1"/>
  <c r="L516" i="3" s="1"/>
  <c r="L517" i="3" s="1"/>
  <c r="L518" i="3" s="1"/>
  <c r="L519" i="3" s="1"/>
  <c r="L520" i="3" s="1"/>
  <c r="L521" i="3" s="1"/>
  <c r="L522" i="3" s="1"/>
  <c r="L523" i="3" s="1"/>
  <c r="L524" i="3" s="1"/>
  <c r="L525" i="3" s="1"/>
  <c r="L526" i="3" s="1"/>
  <c r="L527" i="3" s="1"/>
  <c r="L528" i="3" s="1"/>
  <c r="L529" i="3" s="1"/>
  <c r="L530" i="3" s="1"/>
  <c r="E35" i="3"/>
  <c r="E36" i="3" s="1"/>
  <c r="E37" i="3" s="1"/>
  <c r="E38" i="3" s="1"/>
  <c r="E75" i="4"/>
  <c r="E76" i="4" s="1"/>
  <c r="E77" i="4" s="1"/>
  <c r="M70" i="3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5" i="4"/>
  <c r="L531" i="3" l="1"/>
  <c r="L532" i="3" s="1"/>
  <c r="L533" i="3" s="1"/>
  <c r="L534" i="3" s="1"/>
  <c r="L535" i="3" s="1"/>
  <c r="L536" i="3" s="1"/>
  <c r="L537" i="3" s="1"/>
  <c r="L538" i="3" s="1"/>
  <c r="L539" i="3" s="1"/>
  <c r="L540" i="3" s="1"/>
  <c r="L541" i="3" s="1"/>
  <c r="L542" i="3" s="1"/>
  <c r="L543" i="3" s="1"/>
  <c r="L544" i="3" s="1"/>
  <c r="L545" i="3" s="1"/>
  <c r="L546" i="3" s="1"/>
  <c r="L547" i="3" s="1"/>
  <c r="L548" i="3" s="1"/>
  <c r="L549" i="3" s="1"/>
  <c r="L550" i="3" s="1"/>
  <c r="L551" i="3" s="1"/>
  <c r="L552" i="3" s="1"/>
  <c r="L553" i="3" s="1"/>
  <c r="L554" i="3" s="1"/>
  <c r="M102" i="3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M124" i="3" s="1"/>
  <c r="M125" i="3" s="1"/>
  <c r="M126" i="3" s="1"/>
  <c r="M127" i="3" s="1"/>
  <c r="M128" i="3" s="1"/>
  <c r="M129" i="3" s="1"/>
  <c r="M130" i="3" s="1"/>
  <c r="M131" i="3" s="1"/>
  <c r="M132" i="3" s="1"/>
  <c r="M133" i="3" s="1"/>
  <c r="M134" i="3" s="1"/>
  <c r="M135" i="3" s="1"/>
  <c r="M136" i="3" s="1"/>
  <c r="M137" i="3" s="1"/>
  <c r="M138" i="3" s="1"/>
  <c r="M139" i="3" s="1"/>
  <c r="M140" i="3" s="1"/>
  <c r="M141" i="3" s="1"/>
  <c r="M142" i="3" s="1"/>
  <c r="M143" i="3" s="1"/>
  <c r="M144" i="3" s="1"/>
  <c r="M145" i="3" s="1"/>
  <c r="M146" i="3" s="1"/>
  <c r="M147" i="3" s="1"/>
  <c r="M148" i="3" s="1"/>
  <c r="M149" i="3" s="1"/>
  <c r="M150" i="3" s="1"/>
  <c r="M151" i="3" s="1"/>
  <c r="M152" i="3" s="1"/>
  <c r="M153" i="3" s="1"/>
  <c r="M154" i="3" s="1"/>
  <c r="M155" i="3" s="1"/>
  <c r="M156" i="3" s="1"/>
  <c r="M157" i="3" s="1"/>
  <c r="M158" i="3" s="1"/>
  <c r="M159" i="3" s="1"/>
  <c r="M160" i="3" s="1"/>
  <c r="M161" i="3" s="1"/>
  <c r="M162" i="3" s="1"/>
  <c r="E39" i="3"/>
  <c r="E40" i="3" s="1"/>
  <c r="E41" i="3" s="1"/>
  <c r="E78" i="4"/>
  <c r="E79" i="4" s="1"/>
  <c r="E80" i="4" s="1"/>
  <c r="E81" i="4" s="1"/>
  <c r="E82" i="4" s="1"/>
  <c r="E83" i="4" s="1"/>
  <c r="E84" i="4" s="1"/>
  <c r="E85" i="4" s="1"/>
  <c r="M16" i="4"/>
  <c r="L555" i="3" l="1"/>
  <c r="L556" i="3" s="1"/>
  <c r="L557" i="3" s="1"/>
  <c r="L558" i="3" s="1"/>
  <c r="L559" i="3" s="1"/>
  <c r="L560" i="3" s="1"/>
  <c r="L561" i="3" s="1"/>
  <c r="L562" i="3" s="1"/>
  <c r="L563" i="3" s="1"/>
  <c r="L564" i="3" s="1"/>
  <c r="L565" i="3" s="1"/>
  <c r="L566" i="3" s="1"/>
  <c r="L567" i="3" s="1"/>
  <c r="L568" i="3" s="1"/>
  <c r="L569" i="3" s="1"/>
  <c r="L570" i="3" s="1"/>
  <c r="L571" i="3" s="1"/>
  <c r="L572" i="3" s="1"/>
  <c r="L573" i="3" s="1"/>
  <c r="L574" i="3" s="1"/>
  <c r="L575" i="3" s="1"/>
  <c r="L576" i="3" s="1"/>
  <c r="L577" i="3" s="1"/>
  <c r="L578" i="3" s="1"/>
  <c r="L579" i="3" s="1"/>
  <c r="L580" i="3" s="1"/>
  <c r="L581" i="3" s="1"/>
  <c r="L582" i="3" s="1"/>
  <c r="L583" i="3" s="1"/>
  <c r="L584" i="3" s="1"/>
  <c r="L585" i="3" s="1"/>
  <c r="L586" i="3" s="1"/>
  <c r="L587" i="3" s="1"/>
  <c r="L588" i="3" s="1"/>
  <c r="L589" i="3" s="1"/>
  <c r="L590" i="3" s="1"/>
  <c r="L591" i="3" s="1"/>
  <c r="L592" i="3" s="1"/>
  <c r="L593" i="3" s="1"/>
  <c r="L594" i="3" s="1"/>
  <c r="L595" i="3" s="1"/>
  <c r="L596" i="3" s="1"/>
  <c r="L597" i="3" s="1"/>
  <c r="L598" i="3" s="1"/>
  <c r="L599" i="3" s="1"/>
  <c r="L600" i="3" s="1"/>
  <c r="L601" i="3" s="1"/>
  <c r="L602" i="3" s="1"/>
  <c r="L603" i="3" s="1"/>
  <c r="L604" i="3" s="1"/>
  <c r="L605" i="3" s="1"/>
  <c r="L606" i="3" s="1"/>
  <c r="L607" i="3" s="1"/>
  <c r="L608" i="3" s="1"/>
  <c r="L609" i="3" s="1"/>
  <c r="L610" i="3" s="1"/>
  <c r="L611" i="3" s="1"/>
  <c r="L612" i="3" s="1"/>
  <c r="L613" i="3" s="1"/>
  <c r="L614" i="3" s="1"/>
  <c r="L615" i="3" s="1"/>
  <c r="L616" i="3" s="1"/>
  <c r="L617" i="3" s="1"/>
  <c r="L618" i="3" s="1"/>
  <c r="L619" i="3" s="1"/>
  <c r="L620" i="3" s="1"/>
  <c r="L621" i="3" s="1"/>
  <c r="L622" i="3" s="1"/>
  <c r="L623" i="3" s="1"/>
  <c r="L624" i="3" s="1"/>
  <c r="L625" i="3" s="1"/>
  <c r="L626" i="3" s="1"/>
  <c r="L627" i="3" s="1"/>
  <c r="L628" i="3" s="1"/>
  <c r="L629" i="3" s="1"/>
  <c r="L630" i="3" s="1"/>
  <c r="L631" i="3" s="1"/>
  <c r="L632" i="3" s="1"/>
  <c r="L633" i="3" s="1"/>
  <c r="L634" i="3" s="1"/>
  <c r="L635" i="3" s="1"/>
  <c r="L636" i="3" s="1"/>
  <c r="L637" i="3" s="1"/>
  <c r="L638" i="3" s="1"/>
  <c r="L639" i="3" s="1"/>
  <c r="L640" i="3" s="1"/>
  <c r="L641" i="3" s="1"/>
  <c r="L642" i="3" s="1"/>
  <c r="L643" i="3" s="1"/>
  <c r="L644" i="3" s="1"/>
  <c r="L645" i="3" s="1"/>
  <c r="L646" i="3" s="1"/>
  <c r="L647" i="3" s="1"/>
  <c r="L648" i="3" s="1"/>
  <c r="L649" i="3" s="1"/>
  <c r="L650" i="3" s="1"/>
  <c r="L651" i="3" s="1"/>
  <c r="L652" i="3" s="1"/>
  <c r="L653" i="3" s="1"/>
  <c r="L654" i="3" s="1"/>
  <c r="L655" i="3" s="1"/>
  <c r="L656" i="3" s="1"/>
  <c r="L657" i="3" s="1"/>
  <c r="L658" i="3" s="1"/>
  <c r="L659" i="3" s="1"/>
  <c r="L660" i="3" s="1"/>
  <c r="L661" i="3" s="1"/>
  <c r="L662" i="3" s="1"/>
  <c r="L663" i="3" s="1"/>
  <c r="L664" i="3" s="1"/>
  <c r="L665" i="3" s="1"/>
  <c r="L666" i="3" s="1"/>
  <c r="L667" i="3" s="1"/>
  <c r="L668" i="3" s="1"/>
  <c r="L669" i="3" s="1"/>
  <c r="L670" i="3" s="1"/>
  <c r="L671" i="3" s="1"/>
  <c r="L672" i="3" s="1"/>
  <c r="L673" i="3" s="1"/>
  <c r="L674" i="3" s="1"/>
  <c r="L675" i="3" s="1"/>
  <c r="L676" i="3" s="1"/>
  <c r="L677" i="3" s="1"/>
  <c r="L678" i="3" s="1"/>
  <c r="L679" i="3" s="1"/>
  <c r="L680" i="3" s="1"/>
  <c r="L681" i="3" s="1"/>
  <c r="L682" i="3" s="1"/>
  <c r="L683" i="3" s="1"/>
  <c r="L684" i="3" s="1"/>
  <c r="L685" i="3" s="1"/>
  <c r="L686" i="3" s="1"/>
  <c r="L687" i="3" s="1"/>
  <c r="L690" i="3" s="1"/>
  <c r="L691" i="3" s="1"/>
  <c r="L692" i="3" s="1"/>
  <c r="L693" i="3" s="1"/>
  <c r="M163" i="3"/>
  <c r="M164" i="3" s="1"/>
  <c r="M165" i="3" s="1"/>
  <c r="M166" i="3" s="1"/>
  <c r="M167" i="3" s="1"/>
  <c r="M168" i="3" s="1"/>
  <c r="M169" i="3" s="1"/>
  <c r="M170" i="3" s="1"/>
  <c r="M171" i="3" s="1"/>
  <c r="M172" i="3" s="1"/>
  <c r="M173" i="3" s="1"/>
  <c r="M174" i="3" s="1"/>
  <c r="M175" i="3" s="1"/>
  <c r="M176" i="3" s="1"/>
  <c r="M177" i="3" s="1"/>
  <c r="M178" i="3" s="1"/>
  <c r="M179" i="3" s="1"/>
  <c r="M180" i="3" s="1"/>
  <c r="M181" i="3" s="1"/>
  <c r="M182" i="3" s="1"/>
  <c r="M183" i="3" s="1"/>
  <c r="M184" i="3" s="1"/>
  <c r="M185" i="3" s="1"/>
  <c r="M186" i="3" s="1"/>
  <c r="E86" i="4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42" i="3"/>
  <c r="E43" i="3" s="1"/>
  <c r="E44" i="3" s="1"/>
  <c r="E45" i="3" s="1"/>
  <c r="E46" i="3" s="1"/>
  <c r="E47" i="3" s="1"/>
  <c r="E48" i="3" s="1"/>
  <c r="M17" i="4"/>
  <c r="L694" i="3" l="1"/>
  <c r="L695" i="3" s="1"/>
  <c r="L696" i="3" s="1"/>
  <c r="L697" i="3" s="1"/>
  <c r="L698" i="3" s="1"/>
  <c r="L699" i="3" s="1"/>
  <c r="L700" i="3" s="1"/>
  <c r="L701" i="3" s="1"/>
  <c r="L702" i="3" s="1"/>
  <c r="L703" i="3" s="1"/>
  <c r="L704" i="3" s="1"/>
  <c r="L705" i="3" s="1"/>
  <c r="L706" i="3" s="1"/>
  <c r="L707" i="3" s="1"/>
  <c r="L708" i="3" s="1"/>
  <c r="L709" i="3" s="1"/>
  <c r="L710" i="3" s="1"/>
  <c r="L711" i="3" s="1"/>
  <c r="L712" i="3" s="1"/>
  <c r="L713" i="3" s="1"/>
  <c r="L714" i="3" s="1"/>
  <c r="L715" i="3" s="1"/>
  <c r="L716" i="3" s="1"/>
  <c r="L717" i="3" s="1"/>
  <c r="L718" i="3" s="1"/>
  <c r="L719" i="3" s="1"/>
  <c r="L720" i="3" s="1"/>
  <c r="L721" i="3" s="1"/>
  <c r="L722" i="3" s="1"/>
  <c r="L723" i="3" s="1"/>
  <c r="L724" i="3" s="1"/>
  <c r="L725" i="3" s="1"/>
  <c r="L726" i="3" s="1"/>
  <c r="L727" i="3" s="1"/>
  <c r="L728" i="3" s="1"/>
  <c r="L729" i="3" s="1"/>
  <c r="L730" i="3" s="1"/>
  <c r="L731" i="3" s="1"/>
  <c r="L732" i="3" s="1"/>
  <c r="L733" i="3" s="1"/>
  <c r="L734" i="3" s="1"/>
  <c r="L735" i="3" s="1"/>
  <c r="L736" i="3" s="1"/>
  <c r="L737" i="3" s="1"/>
  <c r="L738" i="3" s="1"/>
  <c r="L739" i="3" s="1"/>
  <c r="L740" i="3" s="1"/>
  <c r="L741" i="3" s="1"/>
  <c r="L742" i="3" s="1"/>
  <c r="L743" i="3" s="1"/>
  <c r="L744" i="3" s="1"/>
  <c r="L745" i="3" s="1"/>
  <c r="L746" i="3" s="1"/>
  <c r="L747" i="3" s="1"/>
  <c r="L748" i="3" s="1"/>
  <c r="L749" i="3" s="1"/>
  <c r="L750" i="3" s="1"/>
  <c r="L751" i="3" s="1"/>
  <c r="L752" i="3" s="1"/>
  <c r="L753" i="3" s="1"/>
  <c r="L754" i="3" s="1"/>
  <c r="L755" i="3" s="1"/>
  <c r="L756" i="3" s="1"/>
  <c r="L757" i="3" s="1"/>
  <c r="L758" i="3" s="1"/>
  <c r="L759" i="3" s="1"/>
  <c r="L760" i="3" s="1"/>
  <c r="L761" i="3" s="1"/>
  <c r="L762" i="3" s="1"/>
  <c r="L763" i="3" s="1"/>
  <c r="L764" i="3" s="1"/>
  <c r="L765" i="3" s="1"/>
  <c r="L766" i="3" s="1"/>
  <c r="L767" i="3" s="1"/>
  <c r="L768" i="3" s="1"/>
  <c r="L769" i="3" s="1"/>
  <c r="L770" i="3" s="1"/>
  <c r="L771" i="3" s="1"/>
  <c r="L772" i="3" s="1"/>
  <c r="L773" i="3" s="1"/>
  <c r="L774" i="3" s="1"/>
  <c r="L775" i="3" s="1"/>
  <c r="L776" i="3" s="1"/>
  <c r="L777" i="3" s="1"/>
  <c r="L778" i="3" s="1"/>
  <c r="L779" i="3" s="1"/>
  <c r="L780" i="3" s="1"/>
  <c r="L781" i="3" s="1"/>
  <c r="L782" i="3" s="1"/>
  <c r="L783" i="3" s="1"/>
  <c r="L784" i="3" s="1"/>
  <c r="L785" i="3" s="1"/>
  <c r="L786" i="3" s="1"/>
  <c r="L787" i="3" s="1"/>
  <c r="L788" i="3" s="1"/>
  <c r="L789" i="3" s="1"/>
  <c r="L790" i="3" s="1"/>
  <c r="L791" i="3" s="1"/>
  <c r="L792" i="3" s="1"/>
  <c r="L793" i="3" s="1"/>
  <c r="L794" i="3" s="1"/>
  <c r="L795" i="3" s="1"/>
  <c r="L796" i="3" s="1"/>
  <c r="L797" i="3" s="1"/>
  <c r="L798" i="3" s="1"/>
  <c r="L799" i="3" s="1"/>
  <c r="L800" i="3" s="1"/>
  <c r="L801" i="3" s="1"/>
  <c r="L802" i="3" s="1"/>
  <c r="L803" i="3" s="1"/>
  <c r="L804" i="3" s="1"/>
  <c r="M187" i="3"/>
  <c r="M188" i="3" s="1"/>
  <c r="M189" i="3" s="1"/>
  <c r="M190" i="3" s="1"/>
  <c r="M191" i="3" s="1"/>
  <c r="M192" i="3" s="1"/>
  <c r="M193" i="3" s="1"/>
  <c r="M194" i="3" s="1"/>
  <c r="M195" i="3" s="1"/>
  <c r="M196" i="3" s="1"/>
  <c r="M197" i="3" s="1"/>
  <c r="M198" i="3" s="1"/>
  <c r="M199" i="3" s="1"/>
  <c r="M200" i="3" s="1"/>
  <c r="M201" i="3" s="1"/>
  <c r="M202" i="3" s="1"/>
  <c r="M203" i="3" s="1"/>
  <c r="M204" i="3" s="1"/>
  <c r="M205" i="3" s="1"/>
  <c r="E138" i="4"/>
  <c r="E139" i="4" s="1"/>
  <c r="E140" i="4" s="1"/>
  <c r="E141" i="4" s="1"/>
  <c r="E142" i="4" s="1"/>
  <c r="E143" i="4" s="1"/>
  <c r="E144" i="4" s="1"/>
  <c r="E49" i="3"/>
  <c r="E50" i="3" s="1"/>
  <c r="E51" i="3" s="1"/>
  <c r="E52" i="3" s="1"/>
  <c r="E53" i="3" s="1"/>
  <c r="E54" i="3" s="1"/>
  <c r="E55" i="3" s="1"/>
  <c r="E56" i="3" s="1"/>
  <c r="E57" i="3" s="1"/>
  <c r="E58" i="3" s="1"/>
  <c r="M18" i="4"/>
  <c r="M19" i="4" s="1"/>
  <c r="M20" i="4" s="1"/>
  <c r="L805" i="3" l="1"/>
  <c r="L806" i="3" s="1"/>
  <c r="L807" i="3" s="1"/>
  <c r="L808" i="3" s="1"/>
  <c r="L809" i="3" s="1"/>
  <c r="L810" i="3" s="1"/>
  <c r="L811" i="3" s="1"/>
  <c r="L812" i="3" s="1"/>
  <c r="L813" i="3" s="1"/>
  <c r="L814" i="3" s="1"/>
  <c r="L815" i="3" s="1"/>
  <c r="L816" i="3" s="1"/>
  <c r="L817" i="3" s="1"/>
  <c r="L818" i="3" s="1"/>
  <c r="L819" i="3" s="1"/>
  <c r="L820" i="3" s="1"/>
  <c r="L821" i="3" s="1"/>
  <c r="L822" i="3" s="1"/>
  <c r="L823" i="3" s="1"/>
  <c r="L824" i="3" s="1"/>
  <c r="L825" i="3" s="1"/>
  <c r="L826" i="3" s="1"/>
  <c r="L827" i="3" s="1"/>
  <c r="L828" i="3" s="1"/>
  <c r="L829" i="3" s="1"/>
  <c r="L830" i="3" s="1"/>
  <c r="L831" i="3" s="1"/>
  <c r="L832" i="3" s="1"/>
  <c r="L833" i="3" s="1"/>
  <c r="L834" i="3" s="1"/>
  <c r="L835" i="3" s="1"/>
  <c r="L836" i="3" s="1"/>
  <c r="L837" i="3" s="1"/>
  <c r="L838" i="3" s="1"/>
  <c r="L839" i="3" s="1"/>
  <c r="L840" i="3" s="1"/>
  <c r="L841" i="3" s="1"/>
  <c r="L842" i="3" s="1"/>
  <c r="L843" i="3" s="1"/>
  <c r="L844" i="3" s="1"/>
  <c r="L845" i="3" s="1"/>
  <c r="L846" i="3" s="1"/>
  <c r="L847" i="3" s="1"/>
  <c r="L848" i="3" s="1"/>
  <c r="L849" i="3" s="1"/>
  <c r="L850" i="3" s="1"/>
  <c r="L851" i="3" s="1"/>
  <c r="L852" i="3" s="1"/>
  <c r="L853" i="3" s="1"/>
  <c r="L854" i="3" s="1"/>
  <c r="L855" i="3" s="1"/>
  <c r="L856" i="3" s="1"/>
  <c r="L857" i="3" s="1"/>
  <c r="L858" i="3" s="1"/>
  <c r="L859" i="3" s="1"/>
  <c r="L860" i="3" s="1"/>
  <c r="L861" i="3" s="1"/>
  <c r="L862" i="3" s="1"/>
  <c r="L863" i="3" s="1"/>
  <c r="L864" i="3" s="1"/>
  <c r="L865" i="3" s="1"/>
  <c r="L866" i="3" s="1"/>
  <c r="L867" i="3" s="1"/>
  <c r="L868" i="3" s="1"/>
  <c r="L869" i="3" s="1"/>
  <c r="L870" i="3" s="1"/>
  <c r="L871" i="3" s="1"/>
  <c r="L872" i="3" s="1"/>
  <c r="L873" i="3" s="1"/>
  <c r="L874" i="3" s="1"/>
  <c r="L875" i="3" s="1"/>
  <c r="L876" i="3" s="1"/>
  <c r="L877" i="3" s="1"/>
  <c r="L878" i="3" s="1"/>
  <c r="L879" i="3" s="1"/>
  <c r="L880" i="3" s="1"/>
  <c r="L881" i="3" s="1"/>
  <c r="L882" i="3" s="1"/>
  <c r="L883" i="3" s="1"/>
  <c r="L884" i="3" s="1"/>
  <c r="L885" i="3" s="1"/>
  <c r="L886" i="3" s="1"/>
  <c r="L887" i="3" s="1"/>
  <c r="L888" i="3" s="1"/>
  <c r="L889" i="3" s="1"/>
  <c r="L890" i="3" s="1"/>
  <c r="L891" i="3" s="1"/>
  <c r="L892" i="3" s="1"/>
  <c r="L893" i="3" s="1"/>
  <c r="L894" i="3" s="1"/>
  <c r="L895" i="3" s="1"/>
  <c r="L896" i="3" s="1"/>
  <c r="L897" i="3" s="1"/>
  <c r="L898" i="3" s="1"/>
  <c r="L899" i="3" s="1"/>
  <c r="L900" i="3" s="1"/>
  <c r="L901" i="3" s="1"/>
  <c r="M206" i="3"/>
  <c r="M207" i="3" s="1"/>
  <c r="M208" i="3" s="1"/>
  <c r="M209" i="3" s="1"/>
  <c r="E146" i="4"/>
  <c r="E147" i="4" s="1"/>
  <c r="E148" i="4" s="1"/>
  <c r="E149" i="4" s="1"/>
  <c r="E150" i="4" s="1"/>
  <c r="E151" i="4" s="1"/>
  <c r="E59" i="3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M21" i="4"/>
  <c r="M210" i="3" l="1"/>
  <c r="M211" i="3" s="1"/>
  <c r="E153" i="4"/>
  <c r="E77" i="3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M22" i="4"/>
  <c r="M212" i="3" l="1"/>
  <c r="M213" i="3" s="1"/>
  <c r="E154" i="4"/>
  <c r="E155" i="4" s="1"/>
  <c r="E156" i="4" s="1"/>
  <c r="E157" i="4" s="1"/>
  <c r="E158" i="4" s="1"/>
  <c r="E159" i="4" s="1"/>
  <c r="E160" i="4" s="1"/>
  <c r="E163" i="4" s="1"/>
  <c r="E164" i="4" s="1"/>
  <c r="E126" i="3"/>
  <c r="E127" i="3" s="1"/>
  <c r="E128" i="3" s="1"/>
  <c r="E129" i="3" s="1"/>
  <c r="E130" i="3" s="1"/>
  <c r="E131" i="3" s="1"/>
  <c r="M23" i="4"/>
  <c r="M214" i="3" l="1"/>
  <c r="M215" i="3" s="1"/>
  <c r="M216" i="3" s="1"/>
  <c r="M217" i="3" s="1"/>
  <c r="M218" i="3" s="1"/>
  <c r="M219" i="3" s="1"/>
  <c r="M220" i="3" s="1"/>
  <c r="M221" i="3" s="1"/>
  <c r="M222" i="3" s="1"/>
  <c r="M223" i="3" s="1"/>
  <c r="M224" i="3" s="1"/>
  <c r="M225" i="3" s="1"/>
  <c r="M226" i="3" s="1"/>
  <c r="M227" i="3" s="1"/>
  <c r="M228" i="3" s="1"/>
  <c r="M229" i="3" s="1"/>
  <c r="M230" i="3" s="1"/>
  <c r="M231" i="3" s="1"/>
  <c r="M232" i="3" s="1"/>
  <c r="M233" i="3" s="1"/>
  <c r="M234" i="3" s="1"/>
  <c r="M235" i="3" s="1"/>
  <c r="M236" i="3" s="1"/>
  <c r="M237" i="3" s="1"/>
  <c r="M238" i="3" s="1"/>
  <c r="M239" i="3" s="1"/>
  <c r="M240" i="3" s="1"/>
  <c r="M241" i="3" s="1"/>
  <c r="M242" i="3" s="1"/>
  <c r="M243" i="3" s="1"/>
  <c r="M244" i="3" s="1"/>
  <c r="M245" i="3" s="1"/>
  <c r="M246" i="3" s="1"/>
  <c r="M247" i="3" s="1"/>
  <c r="M248" i="3" s="1"/>
  <c r="M249" i="3" s="1"/>
  <c r="M250" i="3" s="1"/>
  <c r="M251" i="3" s="1"/>
  <c r="M252" i="3" s="1"/>
  <c r="M253" i="3" s="1"/>
  <c r="M254" i="3" s="1"/>
  <c r="M255" i="3" s="1"/>
  <c r="M256" i="3" s="1"/>
  <c r="M257" i="3" s="1"/>
  <c r="M258" i="3" s="1"/>
  <c r="M259" i="3" s="1"/>
  <c r="M260" i="3" s="1"/>
  <c r="M261" i="3" s="1"/>
  <c r="M262" i="3" s="1"/>
  <c r="M263" i="3" s="1"/>
  <c r="M264" i="3" s="1"/>
  <c r="M265" i="3" s="1"/>
  <c r="M266" i="3" s="1"/>
  <c r="M267" i="3" s="1"/>
  <c r="M268" i="3" s="1"/>
  <c r="M269" i="3" s="1"/>
  <c r="M270" i="3" s="1"/>
  <c r="M271" i="3" s="1"/>
  <c r="M272" i="3" s="1"/>
  <c r="M273" i="3" s="1"/>
  <c r="M274" i="3" s="1"/>
  <c r="M275" i="3" s="1"/>
  <c r="M276" i="3" s="1"/>
  <c r="M277" i="3" s="1"/>
  <c r="M278" i="3" s="1"/>
  <c r="M279" i="3" s="1"/>
  <c r="M280" i="3" s="1"/>
  <c r="M281" i="3" s="1"/>
  <c r="M282" i="3" s="1"/>
  <c r="M283" i="3" s="1"/>
  <c r="M284" i="3" s="1"/>
  <c r="M285" i="3" s="1"/>
  <c r="M286" i="3" s="1"/>
  <c r="M287" i="3" s="1"/>
  <c r="M288" i="3" s="1"/>
  <c r="M289" i="3" s="1"/>
  <c r="M290" i="3" s="1"/>
  <c r="M291" i="3" s="1"/>
  <c r="M292" i="3" s="1"/>
  <c r="M293" i="3" s="1"/>
  <c r="M294" i="3" s="1"/>
  <c r="M295" i="3" s="1"/>
  <c r="M296" i="3" s="1"/>
  <c r="M297" i="3" s="1"/>
  <c r="M298" i="3" s="1"/>
  <c r="M299" i="3" s="1"/>
  <c r="M300" i="3" s="1"/>
  <c r="M301" i="3" s="1"/>
  <c r="M302" i="3" s="1"/>
  <c r="M303" i="3" s="1"/>
  <c r="M304" i="3" s="1"/>
  <c r="M305" i="3" s="1"/>
  <c r="M306" i="3" s="1"/>
  <c r="M307" i="3" s="1"/>
  <c r="M308" i="3" s="1"/>
  <c r="M309" i="3" s="1"/>
  <c r="M310" i="3" s="1"/>
  <c r="M311" i="3" s="1"/>
  <c r="M312" i="3" s="1"/>
  <c r="M313" i="3" s="1"/>
  <c r="M314" i="3" s="1"/>
  <c r="M315" i="3" s="1"/>
  <c r="M316" i="3" s="1"/>
  <c r="M317" i="3" s="1"/>
  <c r="M318" i="3" s="1"/>
  <c r="M319" i="3" s="1"/>
  <c r="M320" i="3" s="1"/>
  <c r="M321" i="3" s="1"/>
  <c r="M322" i="3" s="1"/>
  <c r="M323" i="3" s="1"/>
  <c r="M324" i="3" s="1"/>
  <c r="M325" i="3" s="1"/>
  <c r="M326" i="3" s="1"/>
  <c r="M327" i="3" s="1"/>
  <c r="M328" i="3" s="1"/>
  <c r="M329" i="3" s="1"/>
  <c r="M330" i="3" s="1"/>
  <c r="M331" i="3" s="1"/>
  <c r="M332" i="3" s="1"/>
  <c r="M333" i="3" s="1"/>
  <c r="M334" i="3" s="1"/>
  <c r="M335" i="3" s="1"/>
  <c r="M336" i="3" s="1"/>
  <c r="M337" i="3" s="1"/>
  <c r="M338" i="3" s="1"/>
  <c r="M339" i="3" s="1"/>
  <c r="M340" i="3" s="1"/>
  <c r="M341" i="3" s="1"/>
  <c r="M342" i="3" s="1"/>
  <c r="M343" i="3" s="1"/>
  <c r="M344" i="3" s="1"/>
  <c r="M345" i="3" s="1"/>
  <c r="M346" i="3" s="1"/>
  <c r="M347" i="3" s="1"/>
  <c r="M348" i="3" s="1"/>
  <c r="M349" i="3" s="1"/>
  <c r="M350" i="3" s="1"/>
  <c r="M351" i="3" s="1"/>
  <c r="M352" i="3" s="1"/>
  <c r="M353" i="3" s="1"/>
  <c r="M354" i="3" s="1"/>
  <c r="M355" i="3" s="1"/>
  <c r="M356" i="3" s="1"/>
  <c r="M357" i="3" s="1"/>
  <c r="M358" i="3" s="1"/>
  <c r="M359" i="3" s="1"/>
  <c r="M360" i="3" s="1"/>
  <c r="M361" i="3" s="1"/>
  <c r="M362" i="3" s="1"/>
  <c r="M363" i="3" s="1"/>
  <c r="M364" i="3" s="1"/>
  <c r="M365" i="3" s="1"/>
  <c r="M366" i="3" s="1"/>
  <c r="M367" i="3" s="1"/>
  <c r="M368" i="3" s="1"/>
  <c r="M369" i="3" s="1"/>
  <c r="M370" i="3" s="1"/>
  <c r="M371" i="3" s="1"/>
  <c r="M372" i="3" s="1"/>
  <c r="M373" i="3" s="1"/>
  <c r="M374" i="3" s="1"/>
  <c r="M375" i="3" s="1"/>
  <c r="M376" i="3" s="1"/>
  <c r="M377" i="3" s="1"/>
  <c r="M378" i="3" s="1"/>
  <c r="M379" i="3" s="1"/>
  <c r="M380" i="3" s="1"/>
  <c r="M381" i="3" s="1"/>
  <c r="M382" i="3" s="1"/>
  <c r="M383" i="3" s="1"/>
  <c r="M384" i="3" s="1"/>
  <c r="M385" i="3" s="1"/>
  <c r="M386" i="3" s="1"/>
  <c r="M387" i="3" s="1"/>
  <c r="E165" i="4"/>
  <c r="E167" i="4" s="1"/>
  <c r="E168" i="4" s="1"/>
  <c r="E169" i="4" s="1"/>
  <c r="E170" i="4" s="1"/>
  <c r="E171" i="4" s="1"/>
  <c r="E172" i="4" s="1"/>
  <c r="E132" i="3"/>
  <c r="E133" i="3" s="1"/>
  <c r="E134" i="3" s="1"/>
  <c r="E135" i="3" s="1"/>
  <c r="E136" i="3" s="1"/>
  <c r="M24" i="4"/>
  <c r="M388" i="3" l="1"/>
  <c r="M389" i="3" s="1"/>
  <c r="M390" i="3" s="1"/>
  <c r="M391" i="3" s="1"/>
  <c r="M392" i="3" s="1"/>
  <c r="M393" i="3" s="1"/>
  <c r="M394" i="3" s="1"/>
  <c r="M395" i="3" s="1"/>
  <c r="M396" i="3" s="1"/>
  <c r="M397" i="3" s="1"/>
  <c r="M398" i="3" s="1"/>
  <c r="M399" i="3" s="1"/>
  <c r="M400" i="3" s="1"/>
  <c r="M401" i="3" s="1"/>
  <c r="M402" i="3" s="1"/>
  <c r="M403" i="3" s="1"/>
  <c r="M404" i="3" s="1"/>
  <c r="M405" i="3" s="1"/>
  <c r="M406" i="3" s="1"/>
  <c r="M407" i="3" s="1"/>
  <c r="M408" i="3" s="1"/>
  <c r="M409" i="3" s="1"/>
  <c r="M410" i="3" s="1"/>
  <c r="M411" i="3" s="1"/>
  <c r="M412" i="3" s="1"/>
  <c r="M413" i="3" s="1"/>
  <c r="M414" i="3" s="1"/>
  <c r="M415" i="3" s="1"/>
  <c r="M416" i="3" s="1"/>
  <c r="M417" i="3" s="1"/>
  <c r="M418" i="3" s="1"/>
  <c r="M419" i="3" s="1"/>
  <c r="M420" i="3" s="1"/>
  <c r="M421" i="3" s="1"/>
  <c r="M422" i="3" s="1"/>
  <c r="M423" i="3" s="1"/>
  <c r="M424" i="3" s="1"/>
  <c r="M425" i="3" s="1"/>
  <c r="M426" i="3" s="1"/>
  <c r="M427" i="3" s="1"/>
  <c r="M428" i="3" s="1"/>
  <c r="M429" i="3" s="1"/>
  <c r="M430" i="3" s="1"/>
  <c r="M431" i="3" s="1"/>
  <c r="M432" i="3" s="1"/>
  <c r="M433" i="3" s="1"/>
  <c r="M434" i="3" s="1"/>
  <c r="M435" i="3" s="1"/>
  <c r="M436" i="3" s="1"/>
  <c r="M437" i="3" s="1"/>
  <c r="M438" i="3" s="1"/>
  <c r="M439" i="3" s="1"/>
  <c r="M440" i="3" s="1"/>
  <c r="M441" i="3" s="1"/>
  <c r="M442" i="3" s="1"/>
  <c r="M443" i="3" s="1"/>
  <c r="M444" i="3" s="1"/>
  <c r="M445" i="3" s="1"/>
  <c r="M446" i="3" s="1"/>
  <c r="M447" i="3" s="1"/>
  <c r="M448" i="3" s="1"/>
  <c r="M449" i="3" s="1"/>
  <c r="M450" i="3" s="1"/>
  <c r="M451" i="3" s="1"/>
  <c r="M452" i="3" s="1"/>
  <c r="M453" i="3" s="1"/>
  <c r="M454" i="3" s="1"/>
  <c r="M455" i="3" s="1"/>
  <c r="M456" i="3" s="1"/>
  <c r="M457" i="3" s="1"/>
  <c r="M458" i="3" s="1"/>
  <c r="M459" i="3" s="1"/>
  <c r="M460" i="3" s="1"/>
  <c r="M461" i="3" s="1"/>
  <c r="M462" i="3" s="1"/>
  <c r="M463" i="3" s="1"/>
  <c r="M464" i="3" s="1"/>
  <c r="M465" i="3" s="1"/>
  <c r="M466" i="3" s="1"/>
  <c r="M467" i="3" s="1"/>
  <c r="M468" i="3" s="1"/>
  <c r="M469" i="3" s="1"/>
  <c r="M470" i="3" s="1"/>
  <c r="M471" i="3" s="1"/>
  <c r="M472" i="3" s="1"/>
  <c r="M473" i="3" s="1"/>
  <c r="M474" i="3" s="1"/>
  <c r="M475" i="3" s="1"/>
  <c r="M476" i="3" s="1"/>
  <c r="M477" i="3" s="1"/>
  <c r="M478" i="3" s="1"/>
  <c r="M479" i="3" s="1"/>
  <c r="M480" i="3" s="1"/>
  <c r="M481" i="3" s="1"/>
  <c r="M482" i="3" s="1"/>
  <c r="M483" i="3" s="1"/>
  <c r="M484" i="3" s="1"/>
  <c r="M485" i="3" s="1"/>
  <c r="M486" i="3" s="1"/>
  <c r="M487" i="3" s="1"/>
  <c r="M488" i="3" s="1"/>
  <c r="M489" i="3" s="1"/>
  <c r="M490" i="3" s="1"/>
  <c r="M491" i="3" s="1"/>
  <c r="M492" i="3" s="1"/>
  <c r="M493" i="3" s="1"/>
  <c r="M494" i="3" s="1"/>
  <c r="M495" i="3" s="1"/>
  <c r="M496" i="3" s="1"/>
  <c r="M497" i="3" s="1"/>
  <c r="M498" i="3" s="1"/>
  <c r="M499" i="3" s="1"/>
  <c r="M500" i="3" s="1"/>
  <c r="M501" i="3" s="1"/>
  <c r="M502" i="3" s="1"/>
  <c r="M503" i="3" s="1"/>
  <c r="M504" i="3" s="1"/>
  <c r="M505" i="3" s="1"/>
  <c r="M506" i="3" s="1"/>
  <c r="M507" i="3" s="1"/>
  <c r="M508" i="3" s="1"/>
  <c r="M509" i="3" s="1"/>
  <c r="M510" i="3" s="1"/>
  <c r="M511" i="3" s="1"/>
  <c r="M512" i="3" s="1"/>
  <c r="M513" i="3" s="1"/>
  <c r="M514" i="3" s="1"/>
  <c r="M515" i="3" s="1"/>
  <c r="M516" i="3" s="1"/>
  <c r="M517" i="3" s="1"/>
  <c r="M518" i="3" s="1"/>
  <c r="M519" i="3" s="1"/>
  <c r="M520" i="3" s="1"/>
  <c r="M521" i="3" s="1"/>
  <c r="M522" i="3" s="1"/>
  <c r="M523" i="3" s="1"/>
  <c r="M524" i="3" s="1"/>
  <c r="M525" i="3" s="1"/>
  <c r="M526" i="3" s="1"/>
  <c r="M527" i="3" s="1"/>
  <c r="M528" i="3" s="1"/>
  <c r="M529" i="3" s="1"/>
  <c r="M530" i="3" s="1"/>
  <c r="E173" i="4"/>
  <c r="E137" i="3"/>
  <c r="E139" i="3" s="1"/>
  <c r="E140" i="3" s="1"/>
  <c r="E141" i="3" s="1"/>
  <c r="E142" i="3" s="1"/>
  <c r="E143" i="3" s="1"/>
  <c r="E144" i="3" s="1"/>
  <c r="E146" i="3" s="1"/>
  <c r="E147" i="3" s="1"/>
  <c r="E148" i="3" s="1"/>
  <c r="E149" i="3" s="1"/>
  <c r="E150" i="3" s="1"/>
  <c r="E151" i="3" s="1"/>
  <c r="E153" i="3" s="1"/>
  <c r="M25" i="4"/>
  <c r="M26" i="4" s="1"/>
  <c r="M27" i="4" s="1"/>
  <c r="M531" i="3" l="1"/>
  <c r="M532" i="3" s="1"/>
  <c r="M533" i="3" s="1"/>
  <c r="M534" i="3" s="1"/>
  <c r="M535" i="3" s="1"/>
  <c r="M536" i="3" s="1"/>
  <c r="M537" i="3" s="1"/>
  <c r="M538" i="3" s="1"/>
  <c r="M539" i="3" s="1"/>
  <c r="M540" i="3" s="1"/>
  <c r="M541" i="3" s="1"/>
  <c r="M542" i="3" s="1"/>
  <c r="M543" i="3" s="1"/>
  <c r="M544" i="3" s="1"/>
  <c r="M545" i="3" s="1"/>
  <c r="M546" i="3" s="1"/>
  <c r="M547" i="3" s="1"/>
  <c r="M548" i="3" s="1"/>
  <c r="M549" i="3" s="1"/>
  <c r="M550" i="3" s="1"/>
  <c r="M551" i="3" s="1"/>
  <c r="M552" i="3" s="1"/>
  <c r="M553" i="3" s="1"/>
  <c r="M554" i="3" s="1"/>
  <c r="M555" i="3" s="1"/>
  <c r="M556" i="3" s="1"/>
  <c r="M557" i="3" s="1"/>
  <c r="M558" i="3" s="1"/>
  <c r="M559" i="3" s="1"/>
  <c r="M560" i="3" s="1"/>
  <c r="M561" i="3" s="1"/>
  <c r="M562" i="3" s="1"/>
  <c r="M563" i="3" s="1"/>
  <c r="M564" i="3" s="1"/>
  <c r="M565" i="3" s="1"/>
  <c r="M566" i="3" s="1"/>
  <c r="M567" i="3" s="1"/>
  <c r="M568" i="3" s="1"/>
  <c r="M569" i="3" s="1"/>
  <c r="M570" i="3" s="1"/>
  <c r="M571" i="3" s="1"/>
  <c r="M572" i="3" s="1"/>
  <c r="M573" i="3" s="1"/>
  <c r="M574" i="3" s="1"/>
  <c r="M575" i="3" s="1"/>
  <c r="M576" i="3" s="1"/>
  <c r="M577" i="3" s="1"/>
  <c r="M578" i="3" s="1"/>
  <c r="M579" i="3" s="1"/>
  <c r="M580" i="3" s="1"/>
  <c r="M581" i="3" s="1"/>
  <c r="M582" i="3" s="1"/>
  <c r="M583" i="3" s="1"/>
  <c r="M584" i="3" s="1"/>
  <c r="M585" i="3" s="1"/>
  <c r="M586" i="3" s="1"/>
  <c r="M587" i="3" s="1"/>
  <c r="M588" i="3" s="1"/>
  <c r="M589" i="3" s="1"/>
  <c r="M590" i="3" s="1"/>
  <c r="M591" i="3" s="1"/>
  <c r="M592" i="3" s="1"/>
  <c r="M593" i="3" s="1"/>
  <c r="M594" i="3" s="1"/>
  <c r="M595" i="3" s="1"/>
  <c r="M596" i="3" s="1"/>
  <c r="M597" i="3" s="1"/>
  <c r="M598" i="3" s="1"/>
  <c r="M599" i="3" s="1"/>
  <c r="M600" i="3" s="1"/>
  <c r="M601" i="3" s="1"/>
  <c r="M602" i="3" s="1"/>
  <c r="M603" i="3" s="1"/>
  <c r="M604" i="3" s="1"/>
  <c r="M605" i="3" s="1"/>
  <c r="M606" i="3" s="1"/>
  <c r="M607" i="3" s="1"/>
  <c r="M608" i="3" s="1"/>
  <c r="M609" i="3" s="1"/>
  <c r="M610" i="3" s="1"/>
  <c r="M611" i="3" s="1"/>
  <c r="M612" i="3" s="1"/>
  <c r="M613" i="3" s="1"/>
  <c r="M614" i="3" s="1"/>
  <c r="M615" i="3" s="1"/>
  <c r="M616" i="3" s="1"/>
  <c r="M617" i="3" s="1"/>
  <c r="M618" i="3" s="1"/>
  <c r="M619" i="3" s="1"/>
  <c r="M620" i="3" s="1"/>
  <c r="M621" i="3" s="1"/>
  <c r="M622" i="3" s="1"/>
  <c r="M623" i="3" s="1"/>
  <c r="M624" i="3" s="1"/>
  <c r="M625" i="3" s="1"/>
  <c r="M626" i="3" s="1"/>
  <c r="M627" i="3" s="1"/>
  <c r="M628" i="3" s="1"/>
  <c r="M629" i="3" s="1"/>
  <c r="M630" i="3" s="1"/>
  <c r="M631" i="3" s="1"/>
  <c r="M632" i="3" s="1"/>
  <c r="M633" i="3" s="1"/>
  <c r="M634" i="3" s="1"/>
  <c r="M635" i="3" s="1"/>
  <c r="M636" i="3" s="1"/>
  <c r="M637" i="3" s="1"/>
  <c r="M638" i="3" s="1"/>
  <c r="M639" i="3" s="1"/>
  <c r="M640" i="3" s="1"/>
  <c r="M641" i="3" s="1"/>
  <c r="M642" i="3" s="1"/>
  <c r="M643" i="3" s="1"/>
  <c r="M644" i="3" s="1"/>
  <c r="M645" i="3" s="1"/>
  <c r="M646" i="3" s="1"/>
  <c r="M647" i="3" s="1"/>
  <c r="M648" i="3" s="1"/>
  <c r="M649" i="3" s="1"/>
  <c r="M650" i="3" s="1"/>
  <c r="M651" i="3" s="1"/>
  <c r="M652" i="3" s="1"/>
  <c r="M653" i="3" s="1"/>
  <c r="M654" i="3" s="1"/>
  <c r="M655" i="3" s="1"/>
  <c r="M656" i="3" s="1"/>
  <c r="M657" i="3" s="1"/>
  <c r="M658" i="3" s="1"/>
  <c r="M659" i="3" s="1"/>
  <c r="M660" i="3" s="1"/>
  <c r="M661" i="3" s="1"/>
  <c r="M662" i="3" s="1"/>
  <c r="M663" i="3" s="1"/>
  <c r="M664" i="3" s="1"/>
  <c r="M665" i="3" s="1"/>
  <c r="M666" i="3" s="1"/>
  <c r="M667" i="3" s="1"/>
  <c r="M668" i="3" s="1"/>
  <c r="M669" i="3" s="1"/>
  <c r="M670" i="3" s="1"/>
  <c r="M671" i="3" s="1"/>
  <c r="M672" i="3" s="1"/>
  <c r="M673" i="3" s="1"/>
  <c r="M674" i="3" s="1"/>
  <c r="M675" i="3" s="1"/>
  <c r="M676" i="3" s="1"/>
  <c r="M677" i="3" s="1"/>
  <c r="M678" i="3" s="1"/>
  <c r="M679" i="3" s="1"/>
  <c r="M680" i="3" s="1"/>
  <c r="M681" i="3" s="1"/>
  <c r="M682" i="3" s="1"/>
  <c r="M683" i="3" s="1"/>
  <c r="M684" i="3" s="1"/>
  <c r="M685" i="3" s="1"/>
  <c r="M686" i="3" s="1"/>
  <c r="M687" i="3" s="1"/>
  <c r="M689" i="3" s="1"/>
  <c r="M690" i="3" s="1"/>
  <c r="M691" i="3" s="1"/>
  <c r="M692" i="3" s="1"/>
  <c r="M693" i="3" s="1"/>
  <c r="M694" i="3" s="1"/>
  <c r="M695" i="3" s="1"/>
  <c r="M696" i="3" s="1"/>
  <c r="M697" i="3" s="1"/>
  <c r="M698" i="3" s="1"/>
  <c r="M699" i="3" s="1"/>
  <c r="M700" i="3" s="1"/>
  <c r="M701" i="3" s="1"/>
  <c r="M702" i="3" s="1"/>
  <c r="M703" i="3" s="1"/>
  <c r="M704" i="3" s="1"/>
  <c r="M705" i="3" s="1"/>
  <c r="M706" i="3" s="1"/>
  <c r="M707" i="3" s="1"/>
  <c r="M708" i="3" s="1"/>
  <c r="M709" i="3" s="1"/>
  <c r="M710" i="3" s="1"/>
  <c r="M711" i="3" s="1"/>
  <c r="M712" i="3" s="1"/>
  <c r="M713" i="3" s="1"/>
  <c r="M714" i="3" s="1"/>
  <c r="M715" i="3" s="1"/>
  <c r="M716" i="3" s="1"/>
  <c r="M717" i="3" s="1"/>
  <c r="M718" i="3" s="1"/>
  <c r="M719" i="3" s="1"/>
  <c r="M720" i="3" s="1"/>
  <c r="M721" i="3" s="1"/>
  <c r="M722" i="3" s="1"/>
  <c r="M723" i="3" s="1"/>
  <c r="M724" i="3" s="1"/>
  <c r="M725" i="3" s="1"/>
  <c r="M726" i="3" s="1"/>
  <c r="M727" i="3" s="1"/>
  <c r="M728" i="3" s="1"/>
  <c r="M729" i="3" s="1"/>
  <c r="M730" i="3" s="1"/>
  <c r="M731" i="3" s="1"/>
  <c r="M732" i="3" s="1"/>
  <c r="M733" i="3" s="1"/>
  <c r="M734" i="3" s="1"/>
  <c r="M735" i="3" s="1"/>
  <c r="M736" i="3" s="1"/>
  <c r="M737" i="3" s="1"/>
  <c r="M738" i="3" s="1"/>
  <c r="M739" i="3" s="1"/>
  <c r="M740" i="3" s="1"/>
  <c r="M741" i="3" s="1"/>
  <c r="M742" i="3" s="1"/>
  <c r="M743" i="3" s="1"/>
  <c r="M744" i="3" s="1"/>
  <c r="M745" i="3" s="1"/>
  <c r="M746" i="3" s="1"/>
  <c r="M747" i="3" s="1"/>
  <c r="M748" i="3" s="1"/>
  <c r="M749" i="3" s="1"/>
  <c r="M750" i="3" s="1"/>
  <c r="M751" i="3" s="1"/>
  <c r="M752" i="3" s="1"/>
  <c r="M753" i="3" s="1"/>
  <c r="M754" i="3" s="1"/>
  <c r="M755" i="3" s="1"/>
  <c r="M756" i="3" s="1"/>
  <c r="M757" i="3" s="1"/>
  <c r="M758" i="3" s="1"/>
  <c r="M759" i="3" s="1"/>
  <c r="M760" i="3" s="1"/>
  <c r="M761" i="3" s="1"/>
  <c r="M762" i="3" s="1"/>
  <c r="M763" i="3" s="1"/>
  <c r="M764" i="3" s="1"/>
  <c r="M765" i="3" s="1"/>
  <c r="M766" i="3" s="1"/>
  <c r="M767" i="3" s="1"/>
  <c r="M768" i="3" s="1"/>
  <c r="M769" i="3" s="1"/>
  <c r="M770" i="3" s="1"/>
  <c r="M771" i="3" s="1"/>
  <c r="M772" i="3" s="1"/>
  <c r="M773" i="3" s="1"/>
  <c r="M774" i="3" s="1"/>
  <c r="M775" i="3" s="1"/>
  <c r="M776" i="3" s="1"/>
  <c r="M777" i="3" s="1"/>
  <c r="M778" i="3" s="1"/>
  <c r="M779" i="3" s="1"/>
  <c r="M780" i="3" s="1"/>
  <c r="M781" i="3" s="1"/>
  <c r="M782" i="3" s="1"/>
  <c r="M783" i="3" s="1"/>
  <c r="M784" i="3" s="1"/>
  <c r="M785" i="3" s="1"/>
  <c r="M786" i="3" s="1"/>
  <c r="M787" i="3" s="1"/>
  <c r="M788" i="3" s="1"/>
  <c r="M789" i="3" s="1"/>
  <c r="M790" i="3" s="1"/>
  <c r="M791" i="3" s="1"/>
  <c r="M792" i="3" s="1"/>
  <c r="M793" i="3" s="1"/>
  <c r="M794" i="3" s="1"/>
  <c r="M795" i="3" s="1"/>
  <c r="M796" i="3" s="1"/>
  <c r="M797" i="3" s="1"/>
  <c r="M798" i="3" s="1"/>
  <c r="M799" i="3" s="1"/>
  <c r="M800" i="3" s="1"/>
  <c r="M801" i="3" s="1"/>
  <c r="M802" i="3" s="1"/>
  <c r="M803" i="3" s="1"/>
  <c r="M804" i="3" s="1"/>
  <c r="M805" i="3" s="1"/>
  <c r="M806" i="3" s="1"/>
  <c r="M807" i="3" s="1"/>
  <c r="M808" i="3" s="1"/>
  <c r="M809" i="3" s="1"/>
  <c r="M810" i="3" s="1"/>
  <c r="M811" i="3" s="1"/>
  <c r="M812" i="3" s="1"/>
  <c r="M813" i="3" s="1"/>
  <c r="M814" i="3" s="1"/>
  <c r="M815" i="3" s="1"/>
  <c r="M816" i="3" s="1"/>
  <c r="M817" i="3" s="1"/>
  <c r="M818" i="3" s="1"/>
  <c r="M819" i="3" s="1"/>
  <c r="M820" i="3" s="1"/>
  <c r="M821" i="3" s="1"/>
  <c r="M822" i="3" s="1"/>
  <c r="M823" i="3" s="1"/>
  <c r="M824" i="3" s="1"/>
  <c r="M825" i="3" s="1"/>
  <c r="M826" i="3" s="1"/>
  <c r="M827" i="3" s="1"/>
  <c r="M828" i="3" s="1"/>
  <c r="M829" i="3" s="1"/>
  <c r="M830" i="3" s="1"/>
  <c r="M831" i="3" s="1"/>
  <c r="M832" i="3" s="1"/>
  <c r="M833" i="3" s="1"/>
  <c r="M834" i="3" s="1"/>
  <c r="M835" i="3" s="1"/>
  <c r="M836" i="3" s="1"/>
  <c r="M837" i="3" s="1"/>
  <c r="M838" i="3" s="1"/>
  <c r="M839" i="3" s="1"/>
  <c r="M840" i="3" s="1"/>
  <c r="M841" i="3" s="1"/>
  <c r="M842" i="3" s="1"/>
  <c r="M843" i="3" s="1"/>
  <c r="M844" i="3" s="1"/>
  <c r="M845" i="3" s="1"/>
  <c r="M846" i="3" s="1"/>
  <c r="M847" i="3" s="1"/>
  <c r="M848" i="3" s="1"/>
  <c r="M849" i="3" s="1"/>
  <c r="M850" i="3" s="1"/>
  <c r="M851" i="3" s="1"/>
  <c r="M852" i="3" s="1"/>
  <c r="M853" i="3" s="1"/>
  <c r="M854" i="3" s="1"/>
  <c r="M855" i="3" s="1"/>
  <c r="M856" i="3" s="1"/>
  <c r="M857" i="3" s="1"/>
  <c r="M858" i="3" s="1"/>
  <c r="M859" i="3" s="1"/>
  <c r="M860" i="3" s="1"/>
  <c r="M861" i="3" s="1"/>
  <c r="M862" i="3" s="1"/>
  <c r="M863" i="3" s="1"/>
  <c r="M864" i="3" s="1"/>
  <c r="M865" i="3" s="1"/>
  <c r="M866" i="3" s="1"/>
  <c r="M867" i="3" s="1"/>
  <c r="M868" i="3" s="1"/>
  <c r="M869" i="3" s="1"/>
  <c r="M870" i="3" s="1"/>
  <c r="M871" i="3" s="1"/>
  <c r="M872" i="3" s="1"/>
  <c r="M873" i="3" s="1"/>
  <c r="M874" i="3" s="1"/>
  <c r="M875" i="3" s="1"/>
  <c r="M876" i="3" s="1"/>
  <c r="M877" i="3" s="1"/>
  <c r="M878" i="3" s="1"/>
  <c r="M879" i="3" s="1"/>
  <c r="M880" i="3" s="1"/>
  <c r="M881" i="3" s="1"/>
  <c r="M882" i="3" s="1"/>
  <c r="M883" i="3" s="1"/>
  <c r="M884" i="3" s="1"/>
  <c r="M885" i="3" s="1"/>
  <c r="M886" i="3" s="1"/>
  <c r="M887" i="3" s="1"/>
  <c r="M888" i="3" s="1"/>
  <c r="M889" i="3" s="1"/>
  <c r="M890" i="3" s="1"/>
  <c r="M891" i="3" s="1"/>
  <c r="M892" i="3" s="1"/>
  <c r="M893" i="3" s="1"/>
  <c r="M894" i="3" s="1"/>
  <c r="M895" i="3" s="1"/>
  <c r="M896" i="3" s="1"/>
  <c r="M897" i="3" s="1"/>
  <c r="M898" i="3" s="1"/>
  <c r="M899" i="3" s="1"/>
  <c r="M900" i="3" s="1"/>
  <c r="M901" i="3" s="1"/>
  <c r="E174" i="4"/>
  <c r="E175" i="4" s="1"/>
  <c r="E176" i="4" s="1"/>
  <c r="E177" i="4" s="1"/>
  <c r="E178" i="4" s="1"/>
  <c r="E179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154" i="3"/>
  <c r="E155" i="3" s="1"/>
  <c r="E156" i="3" s="1"/>
  <c r="E157" i="3" s="1"/>
  <c r="E158" i="3" s="1"/>
  <c r="M28" i="4"/>
  <c r="R191" i="4" l="1"/>
  <c r="E160" i="3"/>
  <c r="E159" i="3"/>
  <c r="M29" i="4"/>
  <c r="E164" i="3" l="1"/>
  <c r="E166" i="3"/>
  <c r="M30" i="4"/>
  <c r="E167" i="3" l="1"/>
  <c r="E168" i="3" s="1"/>
  <c r="E169" i="3" s="1"/>
  <c r="E170" i="3" s="1"/>
  <c r="E171" i="3" s="1"/>
  <c r="E172" i="3" s="1"/>
  <c r="E173" i="3" s="1"/>
  <c r="E174" i="3" s="1"/>
  <c r="E175" i="3" s="1"/>
  <c r="M31" i="4"/>
  <c r="E176" i="3" l="1"/>
  <c r="E177" i="3" s="1"/>
  <c r="E178" i="3" s="1"/>
  <c r="E179" i="3" s="1"/>
  <c r="E181" i="3" s="1"/>
  <c r="E182" i="3" s="1"/>
  <c r="M32" i="4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M109" i="4" s="1"/>
  <c r="M110" i="4" s="1"/>
  <c r="M111" i="4" s="1"/>
  <c r="M112" i="4" s="1"/>
  <c r="M113" i="4" s="1"/>
  <c r="M114" i="4" s="1"/>
  <c r="M115" i="4" s="1"/>
  <c r="M116" i="4" s="1"/>
  <c r="M117" i="4" s="1"/>
  <c r="M118" i="4" s="1"/>
  <c r="M119" i="4" s="1"/>
  <c r="M120" i="4" s="1"/>
  <c r="M121" i="4" s="1"/>
  <c r="M122" i="4" s="1"/>
  <c r="M123" i="4" s="1"/>
  <c r="M124" i="4" s="1"/>
  <c r="M125" i="4" s="1"/>
  <c r="M126" i="4" s="1"/>
  <c r="M127" i="4" s="1"/>
  <c r="M128" i="4" s="1"/>
  <c r="M129" i="4" s="1"/>
  <c r="M130" i="4" s="1"/>
  <c r="M131" i="4" s="1"/>
  <c r="M132" i="4" s="1"/>
  <c r="M133" i="4" s="1"/>
  <c r="M134" i="4" s="1"/>
  <c r="M135" i="4" s="1"/>
  <c r="M136" i="4" s="1"/>
  <c r="M137" i="4" s="1"/>
  <c r="M138" i="4" s="1"/>
  <c r="M139" i="4" s="1"/>
  <c r="M140" i="4" s="1"/>
  <c r="M141" i="4" s="1"/>
  <c r="M142" i="4" s="1"/>
  <c r="M143" i="4" s="1"/>
  <c r="M144" i="4" s="1"/>
  <c r="M145" i="4" s="1"/>
  <c r="M146" i="4" s="1"/>
  <c r="M147" i="4" s="1"/>
  <c r="M148" i="4" s="1"/>
  <c r="M149" i="4" s="1"/>
  <c r="M150" i="4" s="1"/>
  <c r="M151" i="4" s="1"/>
  <c r="M152" i="4" s="1"/>
  <c r="M153" i="4" s="1"/>
  <c r="M154" i="4" s="1"/>
  <c r="M155" i="4" s="1"/>
  <c r="M156" i="4" s="1"/>
  <c r="M157" i="4" s="1"/>
  <c r="M158" i="4" s="1"/>
  <c r="M159" i="4" s="1"/>
  <c r="M160" i="4" s="1"/>
  <c r="M161" i="4" s="1"/>
  <c r="M162" i="4" s="1"/>
  <c r="E183" i="3" l="1"/>
  <c r="M163" i="4"/>
  <c r="M164" i="4" s="1"/>
  <c r="M165" i="4" s="1"/>
  <c r="M166" i="4" s="1"/>
  <c r="M167" i="4" s="1"/>
  <c r="M168" i="4" s="1"/>
  <c r="M169" i="4" s="1"/>
  <c r="M170" i="4" s="1"/>
  <c r="M171" i="4" s="1"/>
  <c r="M172" i="4" s="1"/>
  <c r="M173" i="4" s="1"/>
  <c r="M174" i="4" s="1"/>
  <c r="M175" i="4" s="1"/>
  <c r="M176" i="4" s="1"/>
  <c r="M177" i="4" s="1"/>
  <c r="M178" i="4" s="1"/>
  <c r="M179" i="4" s="1"/>
  <c r="M180" i="4" s="1"/>
  <c r="M181" i="4" s="1"/>
  <c r="M182" i="4" s="1"/>
  <c r="M183" i="4" s="1"/>
  <c r="M184" i="4" s="1"/>
  <c r="M185" i="4" s="1"/>
  <c r="M186" i="4" s="1"/>
  <c r="M187" i="4" s="1"/>
  <c r="M188" i="4" s="1"/>
  <c r="M189" i="4" s="1"/>
  <c r="M190" i="4" s="1"/>
  <c r="M191" i="4" s="1"/>
  <c r="M192" i="4" s="1"/>
  <c r="M193" i="4" s="1"/>
  <c r="M194" i="4" s="1"/>
  <c r="M195" i="4" s="1"/>
  <c r="M196" i="4" s="1"/>
  <c r="M197" i="4" s="1"/>
  <c r="M198" i="4" s="1"/>
  <c r="M199" i="4" s="1"/>
  <c r="M200" i="4" s="1"/>
  <c r="M201" i="4" s="1"/>
  <c r="M202" i="4" s="1"/>
  <c r="M203" i="4" s="1"/>
  <c r="M204" i="4" s="1"/>
  <c r="M205" i="4" s="1"/>
  <c r="M206" i="4" s="1"/>
  <c r="M207" i="4" l="1"/>
  <c r="M208" i="4" s="1"/>
  <c r="M209" i="4" s="1"/>
  <c r="M210" i="4" s="1"/>
  <c r="M211" i="4" s="1"/>
  <c r="M212" i="4" s="1"/>
  <c r="M213" i="4" s="1"/>
  <c r="M214" i="4" s="1"/>
  <c r="M215" i="4" s="1"/>
  <c r="M216" i="4" s="1"/>
  <c r="M217" i="4" s="1"/>
  <c r="M218" i="4" s="1"/>
  <c r="M219" i="4" s="1"/>
  <c r="M220" i="4" s="1"/>
  <c r="M221" i="4" s="1"/>
  <c r="M222" i="4" s="1"/>
  <c r="M223" i="4" s="1"/>
  <c r="M224" i="4" s="1"/>
  <c r="M225" i="4" s="1"/>
  <c r="M226" i="4" s="1"/>
  <c r="M227" i="4" s="1"/>
  <c r="M228" i="4" s="1"/>
  <c r="M229" i="4" s="1"/>
  <c r="M230" i="4" s="1"/>
  <c r="M231" i="4" s="1"/>
  <c r="M232" i="4" s="1"/>
  <c r="M233" i="4" s="1"/>
  <c r="M234" i="4" s="1"/>
  <c r="M235" i="4" s="1"/>
  <c r="M236" i="4" s="1"/>
  <c r="M237" i="4" s="1"/>
  <c r="M238" i="4" s="1"/>
  <c r="M239" i="4" s="1"/>
  <c r="M240" i="4" s="1"/>
  <c r="M241" i="4" s="1"/>
  <c r="M242" i="4" s="1"/>
  <c r="M243" i="4" s="1"/>
  <c r="M244" i="4" s="1"/>
  <c r="M245" i="4" s="1"/>
  <c r="M246" i="4" s="1"/>
  <c r="M247" i="4" s="1"/>
  <c r="M248" i="4" s="1"/>
  <c r="M249" i="4" s="1"/>
  <c r="M250" i="4" s="1"/>
  <c r="M251" i="4" s="1"/>
  <c r="M252" i="4" s="1"/>
  <c r="M253" i="4" s="1"/>
  <c r="M254" i="4" s="1"/>
  <c r="M255" i="4" s="1"/>
  <c r="M256" i="4" s="1"/>
  <c r="M257" i="4" s="1"/>
  <c r="M258" i="4" s="1"/>
  <c r="M259" i="4" s="1"/>
  <c r="M260" i="4" s="1"/>
  <c r="M261" i="4" s="1"/>
  <c r="M262" i="4" s="1"/>
  <c r="M263" i="4" s="1"/>
  <c r="M264" i="4" s="1"/>
  <c r="M265" i="4" s="1"/>
  <c r="M266" i="4" s="1"/>
  <c r="M267" i="4" s="1"/>
  <c r="M268" i="4" s="1"/>
  <c r="M269" i="4" s="1"/>
  <c r="M270" i="4" s="1"/>
  <c r="M271" i="4" s="1"/>
  <c r="M272" i="4" s="1"/>
  <c r="M273" i="4" s="1"/>
  <c r="M274" i="4" s="1"/>
  <c r="M275" i="4" s="1"/>
  <c r="M276" i="4" s="1"/>
  <c r="M277" i="4" s="1"/>
  <c r="M278" i="4" s="1"/>
  <c r="M279" i="4" s="1"/>
  <c r="M280" i="4" s="1"/>
  <c r="M281" i="4" s="1"/>
  <c r="M282" i="4" s="1"/>
  <c r="M283" i="4" s="1"/>
  <c r="M284" i="4" s="1"/>
  <c r="M285" i="4" s="1"/>
  <c r="M286" i="4" s="1"/>
  <c r="M287" i="4" s="1"/>
  <c r="M288" i="4" s="1"/>
  <c r="M289" i="4" s="1"/>
  <c r="M290" i="4" s="1"/>
  <c r="M291" i="4" s="1"/>
  <c r="M292" i="4" s="1"/>
  <c r="M293" i="4" s="1"/>
  <c r="M294" i="4" s="1"/>
  <c r="M295" i="4" s="1"/>
  <c r="M296" i="4" s="1"/>
  <c r="M297" i="4" s="1"/>
  <c r="M298" i="4" s="1"/>
  <c r="M299" i="4" s="1"/>
  <c r="M300" i="4" s="1"/>
  <c r="M301" i="4" s="1"/>
  <c r="M302" i="4" s="1"/>
  <c r="M303" i="4" s="1"/>
  <c r="M304" i="4" s="1"/>
  <c r="M305" i="4" s="1"/>
  <c r="M306" i="4" s="1"/>
  <c r="M307" i="4" s="1"/>
  <c r="M308" i="4" s="1"/>
  <c r="M309" i="4" s="1"/>
  <c r="M310" i="4" s="1"/>
  <c r="M311" i="4" s="1"/>
  <c r="M312" i="4" s="1"/>
  <c r="M313" i="4" s="1"/>
  <c r="M314" i="4" s="1"/>
  <c r="M315" i="4" s="1"/>
  <c r="M316" i="4" s="1"/>
  <c r="M317" i="4" s="1"/>
  <c r="M318" i="4" s="1"/>
  <c r="M319" i="4" s="1"/>
  <c r="M320" i="4" s="1"/>
  <c r="M321" i="4" s="1"/>
  <c r="M322" i="4" s="1"/>
  <c r="M323" i="4" s="1"/>
  <c r="M324" i="4" s="1"/>
  <c r="M325" i="4" s="1"/>
  <c r="M326" i="4" s="1"/>
  <c r="M327" i="4" s="1"/>
  <c r="M328" i="4" s="1"/>
  <c r="M329" i="4" s="1"/>
  <c r="M330" i="4" s="1"/>
  <c r="M331" i="4" s="1"/>
  <c r="M332" i="4" s="1"/>
  <c r="M333" i="4" s="1"/>
  <c r="M334" i="4" s="1"/>
  <c r="M335" i="4" s="1"/>
  <c r="M336" i="4" s="1"/>
  <c r="M337" i="4" s="1"/>
  <c r="M338" i="4" s="1"/>
  <c r="M339" i="4" s="1"/>
  <c r="M340" i="4" s="1"/>
  <c r="M341" i="4" s="1"/>
  <c r="M342" i="4" s="1"/>
  <c r="M343" i="4" s="1"/>
  <c r="M344" i="4" s="1"/>
  <c r="M345" i="4" s="1"/>
  <c r="M346" i="4" s="1"/>
  <c r="M347" i="4" s="1"/>
  <c r="M348" i="4" s="1"/>
  <c r="M349" i="4" s="1"/>
  <c r="M350" i="4" s="1"/>
  <c r="M351" i="4" s="1"/>
  <c r="M352" i="4" s="1"/>
  <c r="M353" i="4" s="1"/>
  <c r="M354" i="4" s="1"/>
  <c r="M355" i="4" s="1"/>
  <c r="M356" i="4" s="1"/>
  <c r="M357" i="4" s="1"/>
  <c r="M358" i="4" s="1"/>
  <c r="M359" i="4" s="1"/>
  <c r="M360" i="4" s="1"/>
  <c r="M361" i="4" s="1"/>
  <c r="M362" i="4" s="1"/>
  <c r="M363" i="4" s="1"/>
  <c r="M364" i="4" s="1"/>
  <c r="M365" i="4" s="1"/>
  <c r="M366" i="4" s="1"/>
  <c r="M367" i="4" s="1"/>
  <c r="M368" i="4" s="1"/>
  <c r="M369" i="4" s="1"/>
  <c r="M370" i="4" s="1"/>
  <c r="M371" i="4" s="1"/>
  <c r="M372" i="4" s="1"/>
  <c r="M373" i="4" s="1"/>
  <c r="M374" i="4" s="1"/>
  <c r="M375" i="4" s="1"/>
  <c r="M376" i="4" s="1"/>
  <c r="M377" i="4" s="1"/>
  <c r="M378" i="4" s="1"/>
  <c r="M379" i="4" s="1"/>
  <c r="M380" i="4" s="1"/>
  <c r="M381" i="4" s="1"/>
  <c r="M382" i="4" s="1"/>
  <c r="M383" i="4" s="1"/>
  <c r="M384" i="4" s="1"/>
  <c r="M385" i="4" s="1"/>
  <c r="M386" i="4" s="1"/>
  <c r="M387" i="4" s="1"/>
  <c r="M388" i="4" s="1"/>
  <c r="M389" i="4" s="1"/>
  <c r="M390" i="4" s="1"/>
  <c r="M391" i="4" s="1"/>
  <c r="M392" i="4" s="1"/>
  <c r="M393" i="4" s="1"/>
  <c r="M394" i="4" s="1"/>
  <c r="M395" i="4" s="1"/>
  <c r="M396" i="4" s="1"/>
  <c r="M397" i="4" s="1"/>
  <c r="M398" i="4" s="1"/>
  <c r="M399" i="4" s="1"/>
  <c r="M400" i="4" s="1"/>
  <c r="M401" i="4" s="1"/>
  <c r="M402" i="4" s="1"/>
  <c r="M403" i="4" s="1"/>
  <c r="M404" i="4" s="1"/>
  <c r="M405" i="4" s="1"/>
  <c r="M406" i="4" s="1"/>
  <c r="M407" i="4" s="1"/>
  <c r="M408" i="4" s="1"/>
  <c r="M409" i="4" s="1"/>
  <c r="M410" i="4" s="1"/>
  <c r="M411" i="4" s="1"/>
  <c r="M412" i="4" s="1"/>
  <c r="M413" i="4" s="1"/>
  <c r="M414" i="4" s="1"/>
  <c r="M415" i="4" s="1"/>
  <c r="M416" i="4" s="1"/>
  <c r="M417" i="4" s="1"/>
  <c r="M418" i="4" s="1"/>
  <c r="M419" i="4" s="1"/>
  <c r="M420" i="4" s="1"/>
  <c r="M421" i="4" s="1"/>
  <c r="M422" i="4" s="1"/>
  <c r="M423" i="4" s="1"/>
  <c r="M424" i="4" s="1"/>
  <c r="M425" i="4" s="1"/>
  <c r="M426" i="4" s="1"/>
  <c r="M427" i="4" s="1"/>
  <c r="M428" i="4" s="1"/>
  <c r="M429" i="4" s="1"/>
  <c r="M430" i="4" s="1"/>
  <c r="M431" i="4" s="1"/>
  <c r="M432" i="4" s="1"/>
  <c r="M433" i="4" s="1"/>
  <c r="M434" i="4" s="1"/>
  <c r="M435" i="4" s="1"/>
  <c r="M436" i="4" s="1"/>
  <c r="M437" i="4" s="1"/>
  <c r="M438" i="4" s="1"/>
  <c r="M439" i="4" s="1"/>
  <c r="M440" i="4" s="1"/>
  <c r="M441" i="4" s="1"/>
  <c r="M442" i="4" s="1"/>
  <c r="M443" i="4" s="1"/>
  <c r="M444" i="4" s="1"/>
  <c r="M445" i="4" s="1"/>
  <c r="M446" i="4" s="1"/>
  <c r="M447" i="4" s="1"/>
  <c r="M448" i="4" s="1"/>
  <c r="M449" i="4" s="1"/>
  <c r="M450" i="4" s="1"/>
  <c r="M451" i="4" s="1"/>
  <c r="M452" i="4" s="1"/>
  <c r="M453" i="4" s="1"/>
  <c r="M454" i="4" s="1"/>
  <c r="M455" i="4" s="1"/>
  <c r="M456" i="4" s="1"/>
  <c r="M457" i="4" s="1"/>
  <c r="M458" i="4" s="1"/>
  <c r="M459" i="4" s="1"/>
  <c r="M460" i="4" s="1"/>
  <c r="M461" i="4" s="1"/>
  <c r="M462" i="4" s="1"/>
  <c r="M463" i="4" s="1"/>
  <c r="M464" i="4" s="1"/>
  <c r="M465" i="4" s="1"/>
  <c r="M466" i="4" s="1"/>
  <c r="M467" i="4" s="1"/>
  <c r="M468" i="4" s="1"/>
  <c r="M469" i="4" s="1"/>
  <c r="M470" i="4" s="1"/>
  <c r="M471" i="4" s="1"/>
  <c r="M472" i="4" s="1"/>
  <c r="M473" i="4" s="1"/>
  <c r="M474" i="4" s="1"/>
  <c r="M475" i="4" s="1"/>
  <c r="M476" i="4" s="1"/>
  <c r="M477" i="4" s="1"/>
  <c r="M478" i="4" s="1"/>
  <c r="M479" i="4" s="1"/>
  <c r="M480" i="4" s="1"/>
  <c r="M481" i="4" s="1"/>
  <c r="M482" i="4" s="1"/>
  <c r="M483" i="4" s="1"/>
  <c r="M484" i="4" s="1"/>
  <c r="M485" i="4" s="1"/>
  <c r="M486" i="4" s="1"/>
  <c r="M487" i="4" s="1"/>
  <c r="M488" i="4" s="1"/>
  <c r="M489" i="4" s="1"/>
  <c r="M490" i="4" s="1"/>
  <c r="M491" i="4" s="1"/>
  <c r="M492" i="4" s="1"/>
  <c r="M493" i="4" s="1"/>
  <c r="M494" i="4" s="1"/>
  <c r="M495" i="4" s="1"/>
  <c r="M496" i="4" s="1"/>
  <c r="M497" i="4" s="1"/>
  <c r="M498" i="4" s="1"/>
  <c r="M499" i="4" s="1"/>
  <c r="M500" i="4" s="1"/>
  <c r="M501" i="4" s="1"/>
  <c r="M502" i="4" s="1"/>
  <c r="M503" i="4" s="1"/>
  <c r="M504" i="4" s="1"/>
  <c r="M505" i="4" s="1"/>
  <c r="M506" i="4" s="1"/>
  <c r="M507" i="4" s="1"/>
  <c r="M508" i="4" s="1"/>
  <c r="M509" i="4" s="1"/>
  <c r="M510" i="4" s="1"/>
  <c r="M511" i="4" s="1"/>
  <c r="M512" i="4" s="1"/>
  <c r="M513" i="4" s="1"/>
  <c r="M514" i="4" s="1"/>
  <c r="M515" i="4" s="1"/>
  <c r="M516" i="4" s="1"/>
  <c r="M517" i="4" s="1"/>
  <c r="M518" i="4" s="1"/>
  <c r="M519" i="4" s="1"/>
  <c r="M520" i="4" s="1"/>
  <c r="M521" i="4" s="1"/>
  <c r="M522" i="4" s="1"/>
  <c r="M523" i="4" s="1"/>
  <c r="M524" i="4" s="1"/>
  <c r="M525" i="4" s="1"/>
  <c r="M526" i="4" s="1"/>
  <c r="M527" i="4" s="1"/>
  <c r="M528" i="4" s="1"/>
  <c r="M529" i="4" s="1"/>
  <c r="M530" i="4" s="1"/>
  <c r="M531" i="4" s="1"/>
  <c r="M532" i="4" s="1"/>
  <c r="M533" i="4" s="1"/>
  <c r="M534" i="4" s="1"/>
  <c r="M535" i="4" s="1"/>
  <c r="M536" i="4" s="1"/>
  <c r="M537" i="4" s="1"/>
  <c r="M538" i="4" s="1"/>
  <c r="M539" i="4" s="1"/>
  <c r="M540" i="4" s="1"/>
  <c r="M541" i="4" s="1"/>
  <c r="M542" i="4" s="1"/>
  <c r="M543" i="4" s="1"/>
  <c r="M544" i="4" s="1"/>
  <c r="M545" i="4" s="1"/>
  <c r="M546" i="4" s="1"/>
  <c r="M547" i="4" s="1"/>
  <c r="M548" i="4" s="1"/>
  <c r="M549" i="4" s="1"/>
  <c r="M550" i="4" s="1"/>
  <c r="M551" i="4" s="1"/>
  <c r="M552" i="4" s="1"/>
  <c r="M553" i="4" s="1"/>
  <c r="M554" i="4" s="1"/>
  <c r="M555" i="4" s="1"/>
  <c r="M556" i="4" s="1"/>
  <c r="M557" i="4" s="1"/>
  <c r="M558" i="4" s="1"/>
  <c r="M559" i="4" s="1"/>
  <c r="M560" i="4" s="1"/>
  <c r="M561" i="4" s="1"/>
  <c r="M562" i="4" s="1"/>
  <c r="M563" i="4" s="1"/>
  <c r="M564" i="4" s="1"/>
  <c r="M565" i="4" s="1"/>
  <c r="M566" i="4" s="1"/>
  <c r="M567" i="4" s="1"/>
  <c r="M568" i="4" s="1"/>
  <c r="M569" i="4" s="1"/>
  <c r="M570" i="4" s="1"/>
  <c r="M571" i="4" s="1"/>
  <c r="M572" i="4" s="1"/>
  <c r="M573" i="4" s="1"/>
  <c r="M574" i="4" s="1"/>
  <c r="M575" i="4" s="1"/>
  <c r="M576" i="4" s="1"/>
  <c r="M577" i="4" s="1"/>
  <c r="M578" i="4" s="1"/>
  <c r="M579" i="4" s="1"/>
  <c r="M580" i="4" s="1"/>
  <c r="M581" i="4" s="1"/>
  <c r="M582" i="4" s="1"/>
  <c r="M583" i="4" s="1"/>
  <c r="M584" i="4" s="1"/>
  <c r="M585" i="4" s="1"/>
  <c r="M586" i="4" s="1"/>
  <c r="M587" i="4" s="1"/>
  <c r="M588" i="4" s="1"/>
  <c r="M589" i="4" s="1"/>
  <c r="M590" i="4" s="1"/>
  <c r="M591" i="4" s="1"/>
  <c r="M592" i="4" s="1"/>
  <c r="M593" i="4" s="1"/>
  <c r="M594" i="4" s="1"/>
  <c r="M595" i="4" s="1"/>
  <c r="M596" i="4" s="1"/>
  <c r="M597" i="4" s="1"/>
  <c r="M598" i="4" s="1"/>
  <c r="M599" i="4" s="1"/>
  <c r="M600" i="4" s="1"/>
  <c r="M601" i="4" s="1"/>
  <c r="M602" i="4" s="1"/>
  <c r="M603" i="4" s="1"/>
  <c r="M604" i="4" s="1"/>
  <c r="M605" i="4" s="1"/>
  <c r="M606" i="4" s="1"/>
  <c r="M607" i="4" s="1"/>
  <c r="M608" i="4" s="1"/>
  <c r="M609" i="4" s="1"/>
  <c r="M610" i="4" s="1"/>
  <c r="M611" i="4" s="1"/>
  <c r="M612" i="4" s="1"/>
  <c r="M613" i="4" s="1"/>
  <c r="M614" i="4" s="1"/>
  <c r="M615" i="4" s="1"/>
  <c r="M616" i="4" s="1"/>
  <c r="M617" i="4" s="1"/>
  <c r="M618" i="4" s="1"/>
  <c r="M619" i="4" s="1"/>
  <c r="M620" i="4" s="1"/>
  <c r="M621" i="4" s="1"/>
  <c r="M622" i="4" s="1"/>
  <c r="M623" i="4" s="1"/>
  <c r="M624" i="4" s="1"/>
  <c r="M625" i="4" s="1"/>
  <c r="M626" i="4" s="1"/>
  <c r="M627" i="4" s="1"/>
  <c r="M628" i="4" s="1"/>
  <c r="M629" i="4" s="1"/>
  <c r="M630" i="4" s="1"/>
  <c r="M631" i="4" s="1"/>
  <c r="M632" i="4" s="1"/>
  <c r="M633" i="4" s="1"/>
  <c r="M634" i="4" s="1"/>
  <c r="M635" i="4" s="1"/>
  <c r="M636" i="4" s="1"/>
  <c r="M637" i="4" s="1"/>
  <c r="M638" i="4" s="1"/>
  <c r="M639" i="4" s="1"/>
  <c r="M640" i="4" s="1"/>
  <c r="M641" i="4" s="1"/>
  <c r="M642" i="4" s="1"/>
  <c r="M643" i="4" s="1"/>
  <c r="M644" i="4" s="1"/>
  <c r="M645" i="4" s="1"/>
  <c r="M646" i="4" s="1"/>
  <c r="M647" i="4" s="1"/>
  <c r="M648" i="4" s="1"/>
  <c r="M649" i="4" s="1"/>
  <c r="M650" i="4" s="1"/>
  <c r="M651" i="4" s="1"/>
  <c r="M652" i="4" s="1"/>
  <c r="M653" i="4" s="1"/>
  <c r="M654" i="4" s="1"/>
  <c r="M655" i="4" s="1"/>
  <c r="M656" i="4" s="1"/>
  <c r="M657" i="4" s="1"/>
  <c r="M658" i="4" s="1"/>
  <c r="M659" i="4" s="1"/>
  <c r="M660" i="4" s="1"/>
  <c r="M661" i="4" s="1"/>
  <c r="M662" i="4" s="1"/>
  <c r="M663" i="4" s="1"/>
  <c r="M664" i="4" s="1"/>
  <c r="M665" i="4" s="1"/>
  <c r="M666" i="4" s="1"/>
  <c r="M667" i="4" s="1"/>
  <c r="M668" i="4" s="1"/>
  <c r="M669" i="4" s="1"/>
  <c r="M670" i="4" s="1"/>
  <c r="M671" i="4" s="1"/>
  <c r="M672" i="4" s="1"/>
  <c r="M673" i="4" s="1"/>
  <c r="M674" i="4" s="1"/>
  <c r="M675" i="4" s="1"/>
  <c r="M676" i="4" s="1"/>
  <c r="M677" i="4" s="1"/>
  <c r="M678" i="4" s="1"/>
  <c r="M679" i="4" s="1"/>
  <c r="M680" i="4" s="1"/>
  <c r="M681" i="4" s="1"/>
  <c r="M682" i="4" s="1"/>
  <c r="M683" i="4" s="1"/>
  <c r="M684" i="4" s="1"/>
  <c r="M685" i="4" s="1"/>
  <c r="M686" i="4" s="1"/>
  <c r="M687" i="4" s="1"/>
  <c r="M689" i="4" s="1"/>
  <c r="M690" i="4" s="1"/>
  <c r="M691" i="4" s="1"/>
  <c r="M692" i="4" s="1"/>
  <c r="M693" i="4" s="1"/>
  <c r="M694" i="4" s="1"/>
  <c r="M695" i="4" s="1"/>
  <c r="M696" i="4" s="1"/>
  <c r="M697" i="4" s="1"/>
  <c r="M698" i="4" s="1"/>
  <c r="M699" i="4" s="1"/>
  <c r="M700" i="4" s="1"/>
  <c r="M701" i="4" s="1"/>
  <c r="M702" i="4" s="1"/>
  <c r="M703" i="4" s="1"/>
  <c r="M704" i="4" s="1"/>
  <c r="M705" i="4" s="1"/>
  <c r="M706" i="4" s="1"/>
  <c r="M707" i="4" s="1"/>
  <c r="M708" i="4" s="1"/>
  <c r="M709" i="4" s="1"/>
  <c r="M710" i="4" s="1"/>
  <c r="M711" i="4" s="1"/>
  <c r="M712" i="4" s="1"/>
  <c r="M713" i="4" s="1"/>
  <c r="M714" i="4" s="1"/>
  <c r="E184" i="3"/>
  <c r="E185" i="3" s="1"/>
  <c r="E186" i="3" s="1"/>
  <c r="E187" i="3" s="1"/>
  <c r="E188" i="3" s="1"/>
  <c r="E189" i="3" l="1"/>
  <c r="E190" i="3" l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R191" i="3" l="1"/>
  <c r="E252" i="3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E411" i="3" s="1"/>
  <c r="E412" i="3" s="1"/>
  <c r="E413" i="3" s="1"/>
  <c r="E414" i="3" s="1"/>
  <c r="E415" i="3" s="1"/>
  <c r="E416" i="3" s="1"/>
  <c r="E417" i="3" s="1"/>
  <c r="E418" i="3" s="1"/>
  <c r="E419" i="3" s="1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 s="1"/>
  <c r="E441" i="3" s="1"/>
  <c r="E442" i="3" s="1"/>
  <c r="E443" i="3" s="1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454" i="3" s="1"/>
  <c r="E455" i="3" s="1"/>
  <c r="E456" i="3" s="1"/>
  <c r="E457" i="3" s="1"/>
  <c r="E458" i="3" s="1"/>
  <c r="E459" i="3" s="1"/>
  <c r="E460" i="3" s="1"/>
  <c r="E461" i="3" s="1"/>
  <c r="E462" i="3" s="1"/>
  <c r="E463" i="3" s="1"/>
  <c r="E464" i="3" s="1"/>
  <c r="E465" i="3" s="1"/>
  <c r="E466" i="3" s="1"/>
  <c r="E467" i="3" s="1"/>
  <c r="E468" i="3" s="1"/>
  <c r="E469" i="3" s="1"/>
  <c r="E470" i="3" s="1"/>
  <c r="E471" i="3" s="1"/>
  <c r="E472" i="3" s="1"/>
  <c r="E473" i="3" s="1"/>
  <c r="E474" i="3" s="1"/>
  <c r="E475" i="3" s="1"/>
  <c r="E476" i="3" s="1"/>
  <c r="E477" i="3" s="1"/>
  <c r="E478" i="3" s="1"/>
  <c r="E479" i="3" s="1"/>
  <c r="E480" i="3" s="1"/>
  <c r="E481" i="3" s="1"/>
  <c r="E482" i="3" s="1"/>
  <c r="E483" i="3" s="1"/>
  <c r="E484" i="3" s="1"/>
  <c r="E485" i="3" s="1"/>
  <c r="E486" i="3" s="1"/>
  <c r="E487" i="3" s="1"/>
  <c r="E488" i="3" s="1"/>
  <c r="E489" i="3" s="1"/>
  <c r="E490" i="3" s="1"/>
  <c r="E491" i="3" s="1"/>
  <c r="E492" i="3" s="1"/>
  <c r="E493" i="3" s="1"/>
  <c r="E494" i="3" s="1"/>
  <c r="E495" i="3" s="1"/>
  <c r="E496" i="3" s="1"/>
  <c r="E497" i="3" s="1"/>
  <c r="E498" i="3" s="1"/>
  <c r="E499" i="3" s="1"/>
  <c r="E500" i="3" s="1"/>
  <c r="E501" i="3" s="1"/>
  <c r="E502" i="3" s="1"/>
  <c r="E503" i="3" s="1"/>
  <c r="E504" i="3" s="1"/>
  <c r="E505" i="3" s="1"/>
  <c r="E506" i="3" s="1"/>
  <c r="E507" i="3" s="1"/>
  <c r="E508" i="3" s="1"/>
  <c r="E509" i="3" s="1"/>
  <c r="E510" i="3" s="1"/>
  <c r="E511" i="3" s="1"/>
  <c r="E512" i="3" s="1"/>
  <c r="E513" i="3" s="1"/>
  <c r="E514" i="3" s="1"/>
  <c r="E515" i="3" s="1"/>
  <c r="E516" i="3" s="1"/>
  <c r="E517" i="3" s="1"/>
  <c r="E518" i="3" s="1"/>
  <c r="E519" i="3" s="1"/>
  <c r="E520" i="3" s="1"/>
  <c r="E521" i="3" s="1"/>
  <c r="E522" i="3" s="1"/>
  <c r="E523" i="3" s="1"/>
  <c r="E524" i="3" s="1"/>
  <c r="E525" i="3" s="1"/>
  <c r="E526" i="3" s="1"/>
  <c r="E527" i="3" s="1"/>
  <c r="E528" i="3" s="1"/>
  <c r="E529" i="3" s="1"/>
  <c r="E530" i="3" s="1"/>
  <c r="E531" i="3" s="1"/>
  <c r="E532" i="3" s="1"/>
  <c r="E533" i="3" s="1"/>
  <c r="E534" i="3" s="1"/>
  <c r="E535" i="3" s="1"/>
  <c r="E536" i="3" s="1"/>
  <c r="E537" i="3" s="1"/>
  <c r="E538" i="3" s="1"/>
  <c r="E539" i="3" s="1"/>
  <c r="E540" i="3" s="1"/>
  <c r="E541" i="3" s="1"/>
  <c r="E542" i="3" s="1"/>
  <c r="E543" i="3" s="1"/>
  <c r="E544" i="3" s="1"/>
  <c r="E545" i="3" s="1"/>
  <c r="E546" i="3" s="1"/>
  <c r="E547" i="3" s="1"/>
  <c r="E548" i="3" s="1"/>
  <c r="E549" i="3" s="1"/>
  <c r="E550" i="3" s="1"/>
  <c r="E551" i="3" s="1"/>
  <c r="E552" i="3" s="1"/>
  <c r="E553" i="3" s="1"/>
  <c r="E554" i="3" s="1"/>
  <c r="E555" i="3" s="1"/>
  <c r="E556" i="3" s="1"/>
  <c r="E557" i="3" s="1"/>
  <c r="E558" i="3" s="1"/>
  <c r="E559" i="3" s="1"/>
  <c r="E560" i="3" s="1"/>
  <c r="E561" i="3" s="1"/>
  <c r="E562" i="3" s="1"/>
  <c r="E563" i="3" s="1"/>
  <c r="E564" i="3" s="1"/>
  <c r="E565" i="3" s="1"/>
  <c r="E566" i="3" s="1"/>
  <c r="E567" i="3" s="1"/>
  <c r="E568" i="3" s="1"/>
  <c r="E569" i="3" s="1"/>
  <c r="E570" i="3" s="1"/>
  <c r="E571" i="3" s="1"/>
  <c r="E572" i="3" s="1"/>
  <c r="E573" i="3" s="1"/>
  <c r="E574" i="3" s="1"/>
  <c r="E575" i="3" s="1"/>
  <c r="E576" i="3" s="1"/>
  <c r="E577" i="3" s="1"/>
  <c r="E578" i="3" s="1"/>
  <c r="E579" i="3" s="1"/>
  <c r="E580" i="3" s="1"/>
  <c r="E581" i="3" s="1"/>
  <c r="E582" i="3" s="1"/>
  <c r="E583" i="3" s="1"/>
  <c r="E584" i="3" s="1"/>
  <c r="E585" i="3" s="1"/>
  <c r="E586" i="3" s="1"/>
  <c r="E587" i="3" s="1"/>
  <c r="E588" i="3" s="1"/>
  <c r="E589" i="3" s="1"/>
  <c r="E590" i="3" s="1"/>
  <c r="E591" i="3" s="1"/>
  <c r="E592" i="3" s="1"/>
  <c r="E593" i="3" s="1"/>
  <c r="E594" i="3" s="1"/>
  <c r="E595" i="3" s="1"/>
  <c r="E596" i="3" s="1"/>
  <c r="E597" i="3" s="1"/>
  <c r="E598" i="3" s="1"/>
  <c r="E599" i="3" s="1"/>
  <c r="E600" i="3" s="1"/>
  <c r="E601" i="3" s="1"/>
  <c r="E602" i="3" s="1"/>
  <c r="E603" i="3" s="1"/>
  <c r="E604" i="3" s="1"/>
  <c r="E605" i="3" s="1"/>
  <c r="E606" i="3" s="1"/>
  <c r="E607" i="3" s="1"/>
  <c r="E608" i="3" s="1"/>
  <c r="E609" i="3" s="1"/>
  <c r="E610" i="3" s="1"/>
  <c r="E611" i="3" s="1"/>
  <c r="E612" i="3" s="1"/>
  <c r="E613" i="3" s="1"/>
  <c r="E614" i="3" s="1"/>
  <c r="E615" i="3" s="1"/>
  <c r="E616" i="3" s="1"/>
  <c r="E617" i="3" s="1"/>
  <c r="E618" i="3" s="1"/>
  <c r="E619" i="3" s="1"/>
  <c r="E620" i="3" s="1"/>
  <c r="E621" i="3" s="1"/>
  <c r="E622" i="3" s="1"/>
  <c r="E623" i="3" s="1"/>
  <c r="E624" i="3" s="1"/>
  <c r="E625" i="3" s="1"/>
  <c r="E626" i="3" s="1"/>
  <c r="E627" i="3" s="1"/>
  <c r="E628" i="3" s="1"/>
  <c r="E629" i="3" s="1"/>
  <c r="E630" i="3" s="1"/>
  <c r="E631" i="3" s="1"/>
  <c r="E632" i="3" s="1"/>
  <c r="E633" i="3" s="1"/>
  <c r="E634" i="3" s="1"/>
  <c r="E635" i="3" s="1"/>
  <c r="E636" i="3" s="1"/>
  <c r="E637" i="3" s="1"/>
  <c r="E638" i="3" s="1"/>
  <c r="E639" i="3" s="1"/>
  <c r="E640" i="3" s="1"/>
  <c r="E641" i="3" s="1"/>
  <c r="E642" i="3" s="1"/>
  <c r="E643" i="3" s="1"/>
  <c r="E644" i="3" s="1"/>
  <c r="E645" i="3" s="1"/>
  <c r="E646" i="3" s="1"/>
  <c r="E647" i="3" s="1"/>
  <c r="E648" i="3" s="1"/>
  <c r="E649" i="3" s="1"/>
  <c r="E650" i="3" s="1"/>
  <c r="E651" i="3" s="1"/>
  <c r="E652" i="3" s="1"/>
  <c r="E653" i="3" s="1"/>
  <c r="E654" i="3" s="1"/>
  <c r="E655" i="3" s="1"/>
  <c r="E656" i="3" s="1"/>
  <c r="E657" i="3" s="1"/>
  <c r="E658" i="3" s="1"/>
  <c r="E659" i="3" s="1"/>
  <c r="E660" i="3" s="1"/>
  <c r="E661" i="3" s="1"/>
  <c r="E662" i="3" s="1"/>
  <c r="E663" i="3" s="1"/>
  <c r="E664" i="3" s="1"/>
  <c r="E665" i="3" s="1"/>
  <c r="E666" i="3" s="1"/>
  <c r="E667" i="3" s="1"/>
  <c r="E668" i="3" s="1"/>
  <c r="E669" i="3" s="1"/>
  <c r="E670" i="3" s="1"/>
  <c r="E671" i="3" s="1"/>
  <c r="E672" i="3" s="1"/>
  <c r="E673" i="3" s="1"/>
  <c r="E674" i="3" s="1"/>
  <c r="E675" i="3" s="1"/>
  <c r="E676" i="3" s="1"/>
  <c r="E677" i="3" s="1"/>
  <c r="E678" i="3" s="1"/>
  <c r="E679" i="3" s="1"/>
  <c r="E680" i="3" s="1"/>
  <c r="E681" i="3" s="1"/>
  <c r="E682" i="3" s="1"/>
  <c r="E683" i="3" s="1"/>
  <c r="E684" i="3" s="1"/>
  <c r="E685" i="3" s="1"/>
  <c r="E686" i="3" s="1"/>
  <c r="E687" i="3" s="1"/>
  <c r="E688" i="3" s="1"/>
  <c r="E689" i="3" s="1"/>
  <c r="E690" i="3" s="1"/>
  <c r="E691" i="3" s="1"/>
  <c r="E692" i="3" s="1"/>
  <c r="E693" i="3" s="1"/>
  <c r="E694" i="3" s="1"/>
  <c r="E695" i="3" s="1"/>
  <c r="E696" i="3" s="1"/>
  <c r="E697" i="3" s="1"/>
  <c r="E698" i="3" s="1"/>
  <c r="E699" i="3" s="1"/>
  <c r="E700" i="3" s="1"/>
  <c r="E701" i="3" s="1"/>
  <c r="E702" i="3" s="1"/>
  <c r="E703" i="3" s="1"/>
  <c r="E704" i="3" s="1"/>
  <c r="E705" i="3" s="1"/>
  <c r="E706" i="3" s="1"/>
  <c r="E707" i="3" s="1"/>
  <c r="E708" i="3" s="1"/>
  <c r="E709" i="3" s="1"/>
  <c r="E710" i="3" s="1"/>
  <c r="E711" i="3" s="1"/>
  <c r="E712" i="3" s="1"/>
  <c r="E713" i="3" s="1"/>
  <c r="E714" i="3" s="1"/>
  <c r="E715" i="3" s="1"/>
  <c r="E716" i="3" s="1"/>
  <c r="E717" i="3" s="1"/>
  <c r="E718" i="3" s="1"/>
  <c r="E719" i="3" s="1"/>
  <c r="E720" i="3" s="1"/>
  <c r="E721" i="3" s="1"/>
  <c r="E722" i="3" s="1"/>
  <c r="E723" i="3" s="1"/>
  <c r="E724" i="3" s="1"/>
  <c r="E725" i="3" s="1"/>
  <c r="E726" i="3" s="1"/>
  <c r="E727" i="3" s="1"/>
  <c r="E728" i="3" s="1"/>
  <c r="E729" i="3" s="1"/>
  <c r="E730" i="3" s="1"/>
  <c r="E731" i="3" s="1"/>
  <c r="E732" i="3" s="1"/>
  <c r="E733" i="3" s="1"/>
  <c r="E734" i="3" s="1"/>
  <c r="E735" i="3" s="1"/>
  <c r="E736" i="3" s="1"/>
  <c r="E737" i="3" s="1"/>
  <c r="E738" i="3" s="1"/>
  <c r="E739" i="3" s="1"/>
  <c r="E740" i="3" s="1"/>
  <c r="E741" i="3" s="1"/>
  <c r="E742" i="3" s="1"/>
  <c r="E743" i="3" s="1"/>
  <c r="E744" i="3" s="1"/>
  <c r="E745" i="3" s="1"/>
  <c r="E746" i="3" s="1"/>
  <c r="E747" i="3" s="1"/>
  <c r="E748" i="3" s="1"/>
  <c r="E749" i="3" s="1"/>
  <c r="E750" i="3" s="1"/>
  <c r="E751" i="3" s="1"/>
  <c r="E752" i="3" s="1"/>
  <c r="E753" i="3" s="1"/>
  <c r="E754" i="3" s="1"/>
  <c r="E755" i="3" s="1"/>
  <c r="E756" i="3" s="1"/>
  <c r="E757" i="3" s="1"/>
  <c r="E758" i="3" s="1"/>
  <c r="E759" i="3" s="1"/>
  <c r="E760" i="3" s="1"/>
  <c r="E761" i="3" s="1"/>
  <c r="E762" i="3" s="1"/>
  <c r="E763" i="3" s="1"/>
  <c r="E764" i="3" s="1"/>
  <c r="E765" i="3" s="1"/>
  <c r="E766" i="3" s="1"/>
  <c r="E767" i="3" s="1"/>
  <c r="E768" i="3" s="1"/>
  <c r="E769" i="3" s="1"/>
  <c r="E770" i="3" s="1"/>
  <c r="E771" i="3" s="1"/>
  <c r="E772" i="3" s="1"/>
  <c r="E773" i="3" s="1"/>
  <c r="E774" i="3" s="1"/>
  <c r="E775" i="3" s="1"/>
  <c r="E776" i="3" s="1"/>
  <c r="E777" i="3" s="1"/>
  <c r="E778" i="3" s="1"/>
  <c r="E779" i="3" s="1"/>
  <c r="E780" i="3" s="1"/>
  <c r="E781" i="3" s="1"/>
  <c r="E782" i="3" s="1"/>
  <c r="E783" i="3" s="1"/>
  <c r="E784" i="3" s="1"/>
  <c r="E785" i="3" s="1"/>
  <c r="E786" i="3" s="1"/>
  <c r="E787" i="3" s="1"/>
  <c r="E788" i="3" s="1"/>
  <c r="E789" i="3" s="1"/>
  <c r="E790" i="3" s="1"/>
  <c r="E791" i="3" s="1"/>
  <c r="E792" i="3" s="1"/>
  <c r="E793" i="3" s="1"/>
  <c r="E794" i="3" s="1"/>
  <c r="E795" i="3" s="1"/>
  <c r="E796" i="3" s="1"/>
  <c r="E797" i="3" s="1"/>
  <c r="E798" i="3" s="1"/>
  <c r="E799" i="3" s="1"/>
  <c r="E800" i="3" s="1"/>
  <c r="E801" i="3" s="1"/>
  <c r="E802" i="3" s="1"/>
  <c r="E803" i="3" s="1"/>
  <c r="E804" i="3" s="1"/>
  <c r="E805" i="3" s="1"/>
  <c r="E806" i="3" s="1"/>
  <c r="E807" i="3" s="1"/>
  <c r="E808" i="3" s="1"/>
  <c r="E809" i="3" s="1"/>
  <c r="E810" i="3" s="1"/>
  <c r="E811" i="3" s="1"/>
  <c r="E812" i="3" s="1"/>
  <c r="E813" i="3" s="1"/>
  <c r="E814" i="3" s="1"/>
  <c r="E815" i="3" s="1"/>
  <c r="E816" i="3" s="1"/>
  <c r="E817" i="3" s="1"/>
  <c r="E818" i="3" s="1"/>
  <c r="E819" i="3" s="1"/>
  <c r="E820" i="3" s="1"/>
  <c r="E821" i="3" s="1"/>
  <c r="E822" i="3" s="1"/>
  <c r="E823" i="3" s="1"/>
  <c r="E824" i="3" s="1"/>
  <c r="E825" i="3" s="1"/>
  <c r="E826" i="3" s="1"/>
  <c r="E827" i="3" s="1"/>
  <c r="E828" i="3" s="1"/>
  <c r="E829" i="3" s="1"/>
  <c r="E830" i="3" s="1"/>
  <c r="E831" i="3" s="1"/>
  <c r="E832" i="3" s="1"/>
  <c r="E833" i="3" s="1"/>
  <c r="E834" i="3" s="1"/>
  <c r="E835" i="3" s="1"/>
  <c r="E836" i="3" s="1"/>
  <c r="E837" i="3" s="1"/>
  <c r="E838" i="3" s="1"/>
  <c r="E839" i="3" s="1"/>
  <c r="E840" i="3" s="1"/>
  <c r="E841" i="3" s="1"/>
  <c r="E842" i="3" s="1"/>
  <c r="E843" i="3" s="1"/>
  <c r="E844" i="3" s="1"/>
  <c r="E845" i="3" s="1"/>
  <c r="E846" i="3" s="1"/>
  <c r="E847" i="3" s="1"/>
  <c r="E848" i="3" s="1"/>
  <c r="E849" i="3" s="1"/>
  <c r="E850" i="3" s="1"/>
  <c r="E851" i="3" s="1"/>
  <c r="E852" i="3" s="1"/>
  <c r="E853" i="3" s="1"/>
  <c r="E854" i="3" s="1"/>
  <c r="E855" i="3" s="1"/>
  <c r="E856" i="3" s="1"/>
  <c r="E857" i="3" s="1"/>
  <c r="E858" i="3" s="1"/>
  <c r="E859" i="3" s="1"/>
  <c r="E860" i="3" s="1"/>
  <c r="E861" i="3" s="1"/>
  <c r="E862" i="3" s="1"/>
  <c r="E863" i="3" s="1"/>
  <c r="E864" i="3" s="1"/>
  <c r="E865" i="3" s="1"/>
  <c r="E866" i="3" s="1"/>
  <c r="E867" i="3" s="1"/>
  <c r="E868" i="3" s="1"/>
  <c r="E869" i="3" s="1"/>
  <c r="E870" i="3" s="1"/>
  <c r="E871" i="3" s="1"/>
  <c r="E872" i="3" s="1"/>
  <c r="E873" i="3" s="1"/>
  <c r="E874" i="3" s="1"/>
  <c r="E875" i="3" s="1"/>
  <c r="E876" i="3" s="1"/>
  <c r="E877" i="3" s="1"/>
  <c r="E878" i="3" s="1"/>
  <c r="E879" i="3" s="1"/>
  <c r="E880" i="3" s="1"/>
  <c r="E881" i="3" s="1"/>
  <c r="E882" i="3" s="1"/>
  <c r="E883" i="3" s="1"/>
  <c r="E884" i="3" s="1"/>
  <c r="E885" i="3" s="1"/>
  <c r="E886" i="3" s="1"/>
  <c r="E887" i="3" s="1"/>
  <c r="E888" i="3" s="1"/>
  <c r="E889" i="3" s="1"/>
  <c r="E890" i="3" s="1"/>
  <c r="E891" i="3" s="1"/>
  <c r="E892" i="3" s="1"/>
  <c r="E893" i="3" s="1"/>
  <c r="E894" i="3" s="1"/>
  <c r="E895" i="3" s="1"/>
  <c r="E896" i="3" s="1"/>
  <c r="E897" i="3" s="1"/>
  <c r="E898" i="3" s="1"/>
  <c r="E899" i="3" s="1"/>
  <c r="E900" i="3" s="1"/>
  <c r="E901" i="3" s="1"/>
  <c r="R550" i="1"/>
  <c r="AB550" i="1" s="1"/>
  <c r="AG550" i="1" s="1"/>
  <c r="AG551" i="1" s="1"/>
  <c r="AG552" i="1" s="1"/>
  <c r="AG553" i="1" s="1"/>
  <c r="AG554" i="1" s="1"/>
  <c r="AG555" i="1" s="1"/>
  <c r="AG556" i="1" s="1"/>
  <c r="AG557" i="1" s="1"/>
  <c r="AG558" i="1" s="1"/>
  <c r="AG559" i="1" s="1"/>
  <c r="AG560" i="1" s="1"/>
  <c r="AG561" i="1" s="1"/>
  <c r="AG562" i="1" s="1"/>
  <c r="AG563" i="1" s="1"/>
  <c r="AG564" i="1" s="1"/>
  <c r="AG565" i="1" s="1"/>
  <c r="AG566" i="1" s="1"/>
  <c r="AG567" i="1" s="1"/>
  <c r="AG568" i="1" s="1"/>
  <c r="AG569" i="1" s="1"/>
  <c r="AG570" i="1" s="1"/>
  <c r="AG571" i="1" s="1"/>
  <c r="AG572" i="1" s="1"/>
  <c r="AG573" i="1" s="1"/>
  <c r="AG574" i="1" s="1"/>
  <c r="AG575" i="1" s="1"/>
  <c r="AG576" i="1" s="1"/>
  <c r="AG577" i="1" s="1"/>
  <c r="AG578" i="1" s="1"/>
  <c r="AG579" i="1" s="1"/>
  <c r="AG580" i="1" s="1"/>
  <c r="AG581" i="1" s="1"/>
  <c r="AG582" i="1" s="1"/>
  <c r="AG583" i="1" s="1"/>
  <c r="AG584" i="1" s="1"/>
  <c r="AG585" i="1" s="1"/>
  <c r="AG586" i="1" s="1"/>
  <c r="AG587" i="1" s="1"/>
  <c r="AG588" i="1" s="1"/>
  <c r="AG589" i="1" s="1"/>
  <c r="AG590" i="1" s="1"/>
  <c r="AG591" i="1" s="1"/>
  <c r="AG592" i="1" s="1"/>
  <c r="AG593" i="1" s="1"/>
  <c r="AG594" i="1" s="1"/>
  <c r="AG595" i="1" s="1"/>
  <c r="AG596" i="1" s="1"/>
  <c r="AG597" i="1" s="1"/>
  <c r="AG598" i="1" s="1"/>
  <c r="AG599" i="1" s="1"/>
  <c r="AG600" i="1" s="1"/>
  <c r="AG601" i="1" s="1"/>
  <c r="AG602" i="1" s="1"/>
  <c r="AG603" i="1" s="1"/>
  <c r="AG604" i="1" s="1"/>
  <c r="AG605" i="1" s="1"/>
  <c r="AG606" i="1" s="1"/>
  <c r="AG607" i="1" s="1"/>
  <c r="AG608" i="1" s="1"/>
  <c r="AG609" i="1" s="1"/>
  <c r="AG610" i="1" s="1"/>
  <c r="AG611" i="1" s="1"/>
  <c r="AG612" i="1" s="1"/>
  <c r="AG613" i="1" s="1"/>
  <c r="AG614" i="1" s="1"/>
  <c r="AG615" i="1" s="1"/>
  <c r="AG616" i="1" s="1"/>
  <c r="AG617" i="1" s="1"/>
  <c r="AG618" i="1" s="1"/>
  <c r="AG619" i="1" s="1"/>
  <c r="AG620" i="1" s="1"/>
  <c r="AG621" i="1" s="1"/>
  <c r="AG622" i="1" s="1"/>
  <c r="AG623" i="1" s="1"/>
  <c r="AG624" i="1" s="1"/>
  <c r="AG625" i="1" s="1"/>
  <c r="AG626" i="1" s="1"/>
  <c r="AG627" i="1" s="1"/>
  <c r="AG628" i="1" s="1"/>
  <c r="AG629" i="1" s="1"/>
  <c r="AG630" i="1" s="1"/>
  <c r="AG631" i="1" s="1"/>
  <c r="AG632" i="1" s="1"/>
  <c r="AG633" i="1" s="1"/>
  <c r="AG634" i="1" s="1"/>
  <c r="AG635" i="1" s="1"/>
  <c r="AG636" i="1" s="1"/>
  <c r="AG637" i="1" s="1"/>
  <c r="AG638" i="1" s="1"/>
  <c r="AG639" i="1" s="1"/>
  <c r="AG640" i="1" s="1"/>
  <c r="AG641" i="1" s="1"/>
  <c r="AG642" i="1" s="1"/>
  <c r="AG643" i="1" s="1"/>
  <c r="AG644" i="1" s="1"/>
  <c r="AG645" i="1" s="1"/>
  <c r="W550" i="1" l="1"/>
  <c r="W551" i="1" s="1"/>
  <c r="W552" i="1" s="1"/>
  <c r="W553" i="1" s="1"/>
  <c r="W554" i="1" s="1"/>
  <c r="W555" i="1" s="1"/>
  <c r="W556" i="1" s="1"/>
  <c r="W557" i="1" s="1"/>
  <c r="W558" i="1" s="1"/>
  <c r="W559" i="1" s="1"/>
  <c r="W560" i="1" s="1"/>
  <c r="W561" i="1" s="1"/>
  <c r="W562" i="1" s="1"/>
  <c r="W563" i="1" s="1"/>
  <c r="W564" i="1" s="1"/>
  <c r="W565" i="1" s="1"/>
  <c r="W566" i="1" s="1"/>
  <c r="W567" i="1" s="1"/>
  <c r="W568" i="1" s="1"/>
  <c r="W569" i="1" s="1"/>
  <c r="W570" i="1" s="1"/>
  <c r="W571" i="1" s="1"/>
  <c r="W572" i="1" s="1"/>
  <c r="W573" i="1" s="1"/>
  <c r="W574" i="1" s="1"/>
  <c r="W575" i="1" s="1"/>
  <c r="W576" i="1" s="1"/>
  <c r="W577" i="1" s="1"/>
  <c r="W578" i="1" s="1"/>
  <c r="W579" i="1" s="1"/>
  <c r="W580" i="1" s="1"/>
  <c r="W581" i="1" s="1"/>
  <c r="W582" i="1" s="1"/>
  <c r="W583" i="1" s="1"/>
  <c r="W584" i="1" s="1"/>
  <c r="W585" i="1" s="1"/>
  <c r="W586" i="1" s="1"/>
  <c r="W587" i="1" s="1"/>
  <c r="W588" i="1" s="1"/>
  <c r="W589" i="1" s="1"/>
  <c r="W590" i="1" s="1"/>
  <c r="W591" i="1" s="1"/>
  <c r="W592" i="1" s="1"/>
  <c r="W593" i="1" s="1"/>
  <c r="W594" i="1" s="1"/>
  <c r="W595" i="1" s="1"/>
  <c r="W596" i="1" s="1"/>
  <c r="W597" i="1" s="1"/>
  <c r="W598" i="1" s="1"/>
  <c r="W599" i="1" s="1"/>
  <c r="W600" i="1" s="1"/>
  <c r="W601" i="1" s="1"/>
  <c r="W602" i="1" s="1"/>
  <c r="W603" i="1" s="1"/>
  <c r="W604" i="1" s="1"/>
  <c r="W605" i="1" s="1"/>
  <c r="W606" i="1" s="1"/>
  <c r="W607" i="1" s="1"/>
  <c r="W608" i="1" s="1"/>
  <c r="W609" i="1" s="1"/>
  <c r="W610" i="1" s="1"/>
  <c r="W611" i="1" s="1"/>
  <c r="W612" i="1" s="1"/>
  <c r="W613" i="1" s="1"/>
  <c r="W614" i="1" s="1"/>
  <c r="W615" i="1" s="1"/>
  <c r="W616" i="1" s="1"/>
  <c r="W617" i="1" s="1"/>
  <c r="W618" i="1" s="1"/>
  <c r="W619" i="1" s="1"/>
  <c r="W620" i="1" s="1"/>
  <c r="W621" i="1" s="1"/>
  <c r="W622" i="1" s="1"/>
  <c r="W623" i="1" s="1"/>
  <c r="W624" i="1" s="1"/>
  <c r="W625" i="1" s="1"/>
  <c r="W626" i="1" s="1"/>
  <c r="W627" i="1" s="1"/>
  <c r="W628" i="1" s="1"/>
  <c r="W629" i="1" s="1"/>
  <c r="W630" i="1" s="1"/>
  <c r="W631" i="1" s="1"/>
  <c r="W632" i="1" s="1"/>
  <c r="W633" i="1" s="1"/>
  <c r="W634" i="1" s="1"/>
  <c r="W635" i="1" s="1"/>
  <c r="W636" i="1" s="1"/>
  <c r="W637" i="1" s="1"/>
  <c r="W638" i="1" s="1"/>
  <c r="W639" i="1" s="1"/>
  <c r="W640" i="1" s="1"/>
  <c r="W641" i="1" s="1"/>
  <c r="W642" i="1" s="1"/>
  <c r="W643" i="1" s="1"/>
  <c r="W644" i="1" s="1"/>
  <c r="W645" i="1" s="1"/>
  <c r="W646" i="1" s="1"/>
  <c r="W647" i="1" s="1"/>
  <c r="W648" i="1" s="1"/>
  <c r="W649" i="1" s="1"/>
  <c r="W650" i="1" s="1"/>
  <c r="W651" i="1" s="1"/>
  <c r="W652" i="1" s="1"/>
  <c r="W653" i="1" s="1"/>
  <c r="W654" i="1" s="1"/>
  <c r="W655" i="1" s="1"/>
  <c r="W656" i="1" s="1"/>
  <c r="W657" i="1" s="1"/>
  <c r="W658" i="1" s="1"/>
  <c r="W659" i="1" s="1"/>
  <c r="W660" i="1" s="1"/>
  <c r="W661" i="1" s="1"/>
  <c r="W662" i="1" s="1"/>
  <c r="W663" i="1" s="1"/>
  <c r="W664" i="1" s="1"/>
  <c r="W665" i="1" s="1"/>
  <c r="W666" i="1" s="1"/>
  <c r="W667" i="1" s="1"/>
  <c r="W668" i="1" s="1"/>
  <c r="W669" i="1" s="1"/>
  <c r="W670" i="1" s="1"/>
  <c r="W671" i="1" s="1"/>
  <c r="W672" i="1" s="1"/>
  <c r="W673" i="1" s="1"/>
  <c r="W674" i="1" s="1"/>
  <c r="W675" i="1" s="1"/>
  <c r="W676" i="1" s="1"/>
  <c r="W677" i="1" s="1"/>
  <c r="W678" i="1" s="1"/>
  <c r="W679" i="1" s="1"/>
  <c r="W680" i="1" s="1"/>
  <c r="W681" i="1" s="1"/>
  <c r="W682" i="1" s="1"/>
  <c r="W683" i="1" s="1"/>
  <c r="W684" i="1" s="1"/>
  <c r="W685" i="1" s="1"/>
  <c r="W686" i="1" s="1"/>
  <c r="W687" i="1" s="1"/>
  <c r="W688" i="1" s="1"/>
  <c r="W689" i="1" s="1"/>
  <c r="W690" i="1" s="1"/>
  <c r="W691" i="1" s="1"/>
  <c r="W692" i="1" s="1"/>
  <c r="W693" i="1" s="1"/>
  <c r="W694" i="1" s="1"/>
  <c r="W695" i="1" s="1"/>
  <c r="W696" i="1" s="1"/>
  <c r="W697" i="1" s="1"/>
  <c r="W698" i="1" s="1"/>
  <c r="W699" i="1" s="1"/>
  <c r="W700" i="1" s="1"/>
  <c r="W701" i="1" s="1"/>
  <c r="W702" i="1" s="1"/>
  <c r="W703" i="1" s="1"/>
  <c r="W704" i="1" s="1"/>
  <c r="W705" i="1" s="1"/>
  <c r="W706" i="1" s="1"/>
  <c r="W707" i="1" s="1"/>
  <c r="W708" i="1" s="1"/>
  <c r="W709" i="1" s="1"/>
  <c r="W710" i="1" s="1"/>
  <c r="W711" i="1" s="1"/>
  <c r="W712" i="1" s="1"/>
  <c r="W713" i="1" s="1"/>
  <c r="W714" i="1" s="1"/>
  <c r="W715" i="1" s="1"/>
  <c r="W716" i="1" s="1"/>
  <c r="W717" i="1" s="1"/>
  <c r="W718" i="1" s="1"/>
  <c r="W719" i="1" s="1"/>
  <c r="W720" i="1" s="1"/>
  <c r="W721" i="1" s="1"/>
  <c r="W722" i="1" s="1"/>
  <c r="W723" i="1" s="1"/>
  <c r="W724" i="1" s="1"/>
  <c r="W725" i="1" s="1"/>
  <c r="W726" i="1" s="1"/>
  <c r="W727" i="1" s="1"/>
  <c r="W728" i="1" s="1"/>
  <c r="W729" i="1" s="1"/>
  <c r="W730" i="1" s="1"/>
  <c r="W731" i="1" s="1"/>
  <c r="W732" i="1" s="1"/>
  <c r="W733" i="1" s="1"/>
  <c r="W734" i="1" s="1"/>
  <c r="W735" i="1" s="1"/>
  <c r="W736" i="1" s="1"/>
  <c r="W737" i="1" s="1"/>
  <c r="W738" i="1" s="1"/>
  <c r="W739" i="1" s="1"/>
  <c r="W740" i="1" s="1"/>
  <c r="W741" i="1" s="1"/>
  <c r="W742" i="1" s="1"/>
  <c r="W743" i="1" s="1"/>
  <c r="W744" i="1" s="1"/>
  <c r="W745" i="1" s="1"/>
  <c r="W746" i="1" s="1"/>
  <c r="W747" i="1" s="1"/>
  <c r="W748" i="1" s="1"/>
  <c r="W749" i="1" s="1"/>
  <c r="W750" i="1" s="1"/>
  <c r="W751" i="1" s="1"/>
  <c r="W752" i="1" s="1"/>
  <c r="W753" i="1" s="1"/>
  <c r="W754" i="1" s="1"/>
  <c r="W755" i="1" s="1"/>
  <c r="W756" i="1" s="1"/>
  <c r="W757" i="1" s="1"/>
  <c r="W758" i="1" s="1"/>
  <c r="W759" i="1" s="1"/>
  <c r="W760" i="1" s="1"/>
  <c r="W761" i="1" s="1"/>
  <c r="W762" i="1" s="1"/>
  <c r="W763" i="1" s="1"/>
  <c r="W764" i="1" s="1"/>
  <c r="W765" i="1" s="1"/>
  <c r="W766" i="1" s="1"/>
  <c r="W767" i="1" s="1"/>
  <c r="W768" i="1" s="1"/>
  <c r="W769" i="1" s="1"/>
  <c r="W770" i="1" s="1"/>
  <c r="W771" i="1" s="1"/>
  <c r="W772" i="1" s="1"/>
  <c r="W773" i="1" s="1"/>
  <c r="W774" i="1" s="1"/>
  <c r="W775" i="1" s="1"/>
  <c r="W776" i="1" s="1"/>
  <c r="W777" i="1" s="1"/>
  <c r="W778" i="1" s="1"/>
  <c r="W779" i="1" s="1"/>
  <c r="W780" i="1" s="1"/>
  <c r="W781" i="1" s="1"/>
  <c r="W782" i="1" s="1"/>
  <c r="W783" i="1" s="1"/>
  <c r="W784" i="1" s="1"/>
  <c r="W785" i="1" s="1"/>
  <c r="W786" i="1" s="1"/>
  <c r="W787" i="1" s="1"/>
  <c r="W788" i="1" s="1"/>
  <c r="W789" i="1" s="1"/>
  <c r="W790" i="1" s="1"/>
  <c r="W791" i="1" s="1"/>
  <c r="W792" i="1" s="1"/>
  <c r="W793" i="1" s="1"/>
  <c r="W794" i="1" s="1"/>
  <c r="W795" i="1" s="1"/>
  <c r="W796" i="1" s="1"/>
  <c r="W797" i="1" s="1"/>
  <c r="W798" i="1" s="1"/>
  <c r="W799" i="1" s="1"/>
  <c r="W800" i="1" s="1"/>
  <c r="W801" i="1" s="1"/>
  <c r="W802" i="1" s="1"/>
  <c r="W803" i="1" s="1"/>
  <c r="W804" i="1" s="1"/>
  <c r="W805" i="1" s="1"/>
  <c r="W806" i="1" s="1"/>
  <c r="W807" i="1" s="1"/>
  <c r="W808" i="1" s="1"/>
  <c r="W809" i="1" s="1"/>
  <c r="W810" i="1" s="1"/>
  <c r="W811" i="1" s="1"/>
  <c r="W812" i="1" s="1"/>
  <c r="W813" i="1" s="1"/>
  <c r="W814" i="1" s="1"/>
  <c r="W815" i="1" s="1"/>
  <c r="W816" i="1" s="1"/>
  <c r="W817" i="1" s="1"/>
  <c r="W818" i="1" s="1"/>
  <c r="W819" i="1" s="1"/>
  <c r="W820" i="1" s="1"/>
  <c r="W821" i="1" s="1"/>
  <c r="W822" i="1" s="1"/>
  <c r="W823" i="1" s="1"/>
  <c r="W824" i="1" s="1"/>
  <c r="W825" i="1" s="1"/>
  <c r="W826" i="1" s="1"/>
  <c r="W827" i="1" s="1"/>
  <c r="W828" i="1" s="1"/>
  <c r="W829" i="1" s="1"/>
  <c r="W830" i="1" s="1"/>
  <c r="W831" i="1" s="1"/>
  <c r="W832" i="1" s="1"/>
  <c r="W833" i="1" s="1"/>
  <c r="W834" i="1" s="1"/>
  <c r="W835" i="1" s="1"/>
  <c r="W836" i="1" s="1"/>
  <c r="W837" i="1" s="1"/>
  <c r="W838" i="1" s="1"/>
  <c r="W839" i="1" s="1"/>
  <c r="W840" i="1" s="1"/>
  <c r="W841" i="1" s="1"/>
  <c r="W842" i="1" s="1"/>
  <c r="W843" i="1" s="1"/>
  <c r="W844" i="1" s="1"/>
  <c r="W845" i="1" s="1"/>
  <c r="W846" i="1" s="1"/>
  <c r="W847" i="1" s="1"/>
  <c r="W848" i="1" s="1"/>
  <c r="W849" i="1" s="1"/>
  <c r="W850" i="1" s="1"/>
  <c r="W851" i="1" s="1"/>
  <c r="W852" i="1" s="1"/>
  <c r="W853" i="1" s="1"/>
  <c r="W854" i="1" s="1"/>
  <c r="W855" i="1" s="1"/>
  <c r="W856" i="1" s="1"/>
  <c r="W857" i="1" s="1"/>
  <c r="W858" i="1" s="1"/>
  <c r="W859" i="1" s="1"/>
  <c r="W860" i="1" s="1"/>
  <c r="W861" i="1" s="1"/>
  <c r="W862" i="1" s="1"/>
  <c r="W863" i="1" s="1"/>
  <c r="W864" i="1" s="1"/>
  <c r="W865" i="1" s="1"/>
  <c r="W866" i="1" s="1"/>
  <c r="W867" i="1" s="1"/>
  <c r="W868" i="1" s="1"/>
  <c r="W869" i="1" s="1"/>
  <c r="W870" i="1" s="1"/>
  <c r="W871" i="1" s="1"/>
  <c r="W872" i="1" s="1"/>
  <c r="W873" i="1" s="1"/>
  <c r="W874" i="1" s="1"/>
  <c r="W875" i="1" s="1"/>
  <c r="W876" i="1" s="1"/>
  <c r="W877" i="1" s="1"/>
  <c r="W878" i="1" s="1"/>
  <c r="W879" i="1" s="1"/>
  <c r="W880" i="1" s="1"/>
  <c r="W881" i="1" s="1"/>
  <c r="W882" i="1" s="1"/>
  <c r="W883" i="1" s="1"/>
  <c r="W884" i="1" s="1"/>
  <c r="W885" i="1" s="1"/>
  <c r="W886" i="1" s="1"/>
  <c r="W887" i="1" s="1"/>
  <c r="W888" i="1" s="1"/>
  <c r="W889" i="1" s="1"/>
  <c r="W890" i="1" s="1"/>
  <c r="W891" i="1" s="1"/>
  <c r="W892" i="1" s="1"/>
  <c r="W893" i="1" s="1"/>
  <c r="W894" i="1" s="1"/>
  <c r="W895" i="1" s="1"/>
  <c r="W896" i="1" s="1"/>
  <c r="W897" i="1" s="1"/>
  <c r="W898" i="1" s="1"/>
  <c r="W899" i="1" s="1"/>
  <c r="W900" i="1" s="1"/>
  <c r="W901" i="1" s="1"/>
  <c r="Z83" i="2"/>
  <c r="AE83" i="2" s="1"/>
  <c r="AE84" i="2" s="1"/>
  <c r="AE85" i="2" s="1"/>
  <c r="AE86" i="2" s="1"/>
  <c r="AE87" i="2" s="1"/>
  <c r="AE88" i="2" s="1"/>
  <c r="AE89" i="2" s="1"/>
  <c r="AE90" i="2" s="1"/>
  <c r="AE91" i="2" s="1"/>
  <c r="AE92" i="2" s="1"/>
  <c r="AE93" i="2" s="1"/>
  <c r="AE94" i="2" s="1"/>
  <c r="AE95" i="2" s="1"/>
  <c r="AE96" i="2" s="1"/>
  <c r="AE97" i="2" s="1"/>
  <c r="AE98" i="2" s="1"/>
  <c r="AE99" i="2" s="1"/>
  <c r="AE100" i="2" s="1"/>
  <c r="AE101" i="2" s="1"/>
  <c r="AE102" i="2" s="1"/>
  <c r="AE103" i="2" s="1"/>
  <c r="AE104" i="2" s="1"/>
  <c r="AE105" i="2" s="1"/>
  <c r="AE106" i="2" s="1"/>
  <c r="AE107" i="2" s="1"/>
  <c r="AE108" i="2" s="1"/>
  <c r="AE109" i="2" s="1"/>
  <c r="AE110" i="2" s="1"/>
  <c r="AE111" i="2" s="1"/>
  <c r="AE112" i="2" s="1"/>
  <c r="AE113" i="2" s="1"/>
  <c r="AE114" i="2" s="1"/>
  <c r="AE115" i="2" s="1"/>
  <c r="AE116" i="2" s="1"/>
  <c r="AE117" i="2" s="1"/>
  <c r="AE118" i="2" s="1"/>
  <c r="AE119" i="2" s="1"/>
  <c r="AE120" i="2" s="1"/>
  <c r="AE121" i="2" s="1"/>
  <c r="AE122" i="2" s="1"/>
  <c r="AE123" i="2" s="1"/>
  <c r="AE124" i="2" s="1"/>
  <c r="AE125" i="2" s="1"/>
  <c r="AE126" i="2" s="1"/>
  <c r="AE127" i="2" s="1"/>
  <c r="AE128" i="2" s="1"/>
  <c r="AE129" i="2" s="1"/>
  <c r="AE130" i="2" s="1"/>
  <c r="E644" i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AB646" i="1"/>
  <c r="AG646" i="1" s="1"/>
  <c r="E665" i="1" l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AE131" i="2"/>
  <c r="AE132" i="2" s="1"/>
  <c r="AE133" i="2" s="1"/>
  <c r="AE134" i="2" s="1"/>
  <c r="AE135" i="2" s="1"/>
  <c r="AE136" i="2" s="1"/>
  <c r="AE137" i="2" s="1"/>
  <c r="AE138" i="2" s="1"/>
  <c r="AE139" i="2" s="1"/>
  <c r="AE140" i="2" s="1"/>
  <c r="AE141" i="2" s="1"/>
  <c r="AE142" i="2" s="1"/>
  <c r="AE143" i="2" s="1"/>
  <c r="AE144" i="2" s="1"/>
  <c r="AE145" i="2" s="1"/>
  <c r="AE146" i="2" s="1"/>
  <c r="AE147" i="2" s="1"/>
  <c r="AE148" i="2" s="1"/>
  <c r="AE149" i="2" s="1"/>
  <c r="AE150" i="2" s="1"/>
  <c r="AE151" i="2" s="1"/>
  <c r="AE152" i="2" s="1"/>
  <c r="AE153" i="2" s="1"/>
  <c r="AE154" i="2" s="1"/>
  <c r="AE155" i="2" s="1"/>
  <c r="AE156" i="2" s="1"/>
  <c r="AE157" i="2" s="1"/>
  <c r="AE158" i="2" s="1"/>
  <c r="AE159" i="2" s="1"/>
  <c r="AE160" i="2" s="1"/>
  <c r="AE161" i="2" s="1"/>
  <c r="AE162" i="2" s="1"/>
  <c r="AE163" i="2" s="1"/>
  <c r="AE164" i="2" s="1"/>
  <c r="AE165" i="2" s="1"/>
  <c r="AE166" i="2" s="1"/>
  <c r="AE167" i="2" s="1"/>
  <c r="AE168" i="2" s="1"/>
  <c r="AE169" i="2" s="1"/>
  <c r="AE170" i="2" s="1"/>
  <c r="AE171" i="2" s="1"/>
  <c r="AE172" i="2" s="1"/>
  <c r="AE173" i="2" s="1"/>
  <c r="AE174" i="2" s="1"/>
  <c r="AE175" i="2" s="1"/>
  <c r="AE176" i="2" s="1"/>
  <c r="AE177" i="2" s="1"/>
  <c r="AE178" i="2" s="1"/>
  <c r="AE179" i="2" s="1"/>
  <c r="AE180" i="2" s="1"/>
  <c r="AE181" i="2" s="1"/>
  <c r="AE182" i="2" s="1"/>
  <c r="AE183" i="2" s="1"/>
  <c r="AE184" i="2" s="1"/>
  <c r="AE185" i="2" s="1"/>
  <c r="AE187" i="2" s="1"/>
  <c r="AE188" i="2" s="1"/>
  <c r="AE189" i="2" s="1"/>
  <c r="AE190" i="2" s="1"/>
  <c r="AE191" i="2" s="1"/>
  <c r="AE192" i="2" s="1"/>
  <c r="AE193" i="2" s="1"/>
  <c r="AE194" i="2" s="1"/>
  <c r="AE195" i="2" s="1"/>
  <c r="AE196" i="2" s="1"/>
  <c r="AE197" i="2" s="1"/>
  <c r="AE198" i="2" s="1"/>
  <c r="AE199" i="2" s="1"/>
  <c r="AE200" i="2" s="1"/>
  <c r="AE201" i="2" s="1"/>
  <c r="AE202" i="2" s="1"/>
  <c r="AE203" i="2" s="1"/>
  <c r="AE204" i="2" s="1"/>
  <c r="AE205" i="2" s="1"/>
  <c r="AE206" i="2" s="1"/>
  <c r="AE207" i="2" s="1"/>
  <c r="AE208" i="2" s="1"/>
  <c r="AE209" i="2" s="1"/>
  <c r="AE210" i="2" s="1"/>
  <c r="AE211" i="2" s="1"/>
  <c r="AE212" i="2" s="1"/>
  <c r="AE213" i="2" s="1"/>
  <c r="AE214" i="2" s="1"/>
  <c r="AE215" i="2" s="1"/>
  <c r="AE216" i="2" s="1"/>
  <c r="AE217" i="2" s="1"/>
  <c r="AE218" i="2" s="1"/>
  <c r="AE219" i="2" s="1"/>
  <c r="AE220" i="2" s="1"/>
  <c r="AE221" i="2" s="1"/>
  <c r="AE222" i="2" s="1"/>
  <c r="AE223" i="2" s="1"/>
  <c r="AE224" i="2" s="1"/>
  <c r="AE225" i="2" s="1"/>
  <c r="AE226" i="2" s="1"/>
  <c r="AE227" i="2" s="1"/>
  <c r="AE228" i="2" s="1"/>
  <c r="AE229" i="2" s="1"/>
  <c r="AE230" i="2" s="1"/>
  <c r="AE231" i="2" s="1"/>
  <c r="AE232" i="2" s="1"/>
  <c r="AE233" i="2" s="1"/>
  <c r="AE234" i="2" s="1"/>
  <c r="AE235" i="2" s="1"/>
  <c r="AE236" i="2" s="1"/>
  <c r="AE237" i="2" s="1"/>
  <c r="AE238" i="2" s="1"/>
  <c r="AE239" i="2" s="1"/>
  <c r="AE240" i="2" s="1"/>
  <c r="AE241" i="2" s="1"/>
  <c r="AE242" i="2" s="1"/>
  <c r="AE243" i="2" s="1"/>
  <c r="AE244" i="2" s="1"/>
  <c r="AE245" i="2" s="1"/>
  <c r="AE246" i="2" s="1"/>
  <c r="AE247" i="2" s="1"/>
  <c r="AE248" i="2" s="1"/>
  <c r="AE249" i="2" s="1"/>
  <c r="AE250" i="2" s="1"/>
  <c r="AE251" i="2" s="1"/>
  <c r="AE252" i="2" s="1"/>
  <c r="AE253" i="2" s="1"/>
  <c r="AE254" i="2" s="1"/>
  <c r="AE255" i="2" s="1"/>
  <c r="AE256" i="2" s="1"/>
  <c r="AE257" i="2" s="1"/>
  <c r="AE258" i="2" s="1"/>
  <c r="AE259" i="2" s="1"/>
  <c r="AE260" i="2" s="1"/>
  <c r="AE261" i="2" s="1"/>
  <c r="AE262" i="2" s="1"/>
  <c r="AE263" i="2" s="1"/>
  <c r="AE264" i="2" s="1"/>
  <c r="AE265" i="2" s="1"/>
  <c r="AE266" i="2" s="1"/>
  <c r="AE267" i="2" s="1"/>
  <c r="AE268" i="2" s="1"/>
  <c r="AE269" i="2" s="1"/>
  <c r="AE270" i="2" s="1"/>
  <c r="AE271" i="2" s="1"/>
  <c r="AE272" i="2" s="1"/>
  <c r="AE273" i="2" s="1"/>
  <c r="AE274" i="2" s="1"/>
  <c r="AE275" i="2" s="1"/>
  <c r="AE276" i="2" s="1"/>
  <c r="AE277" i="2" s="1"/>
  <c r="AE278" i="2" s="1"/>
  <c r="AE279" i="2" s="1"/>
  <c r="AE280" i="2" s="1"/>
  <c r="AE281" i="2" s="1"/>
  <c r="AE282" i="2" s="1"/>
  <c r="AE283" i="2" s="1"/>
  <c r="AE284" i="2" s="1"/>
  <c r="AE285" i="2" s="1"/>
  <c r="AE286" i="2" s="1"/>
  <c r="AE287" i="2" s="1"/>
  <c r="AE288" i="2" s="1"/>
  <c r="AE289" i="2" s="1"/>
  <c r="AE290" i="2" s="1"/>
  <c r="AE291" i="2" s="1"/>
  <c r="AE292" i="2" s="1"/>
  <c r="AE293" i="2" s="1"/>
  <c r="AE294" i="2" s="1"/>
  <c r="AE295" i="2" s="1"/>
  <c r="AE296" i="2" s="1"/>
  <c r="AE297" i="2" s="1"/>
  <c r="AE298" i="2" s="1"/>
  <c r="AE299" i="2" s="1"/>
  <c r="AE300" i="2" s="1"/>
  <c r="AE301" i="2" s="1"/>
  <c r="AE302" i="2" s="1"/>
  <c r="AK130" i="2"/>
  <c r="AM130" i="2" s="1"/>
  <c r="AG647" i="1"/>
  <c r="AG648" i="1" s="1"/>
  <c r="AG649" i="1" s="1"/>
  <c r="AG650" i="1" s="1"/>
  <c r="AG651" i="1" s="1"/>
  <c r="AG652" i="1" s="1"/>
  <c r="AG653" i="1" s="1"/>
  <c r="AG654" i="1" s="1"/>
  <c r="AG655" i="1" s="1"/>
  <c r="AG656" i="1" s="1"/>
  <c r="AG657" i="1" s="1"/>
  <c r="AG658" i="1" s="1"/>
  <c r="AG659" i="1" s="1"/>
  <c r="AG660" i="1" s="1"/>
  <c r="AG661" i="1" s="1"/>
  <c r="AG662" i="1" s="1"/>
  <c r="AG663" i="1" s="1"/>
  <c r="AG664" i="1" s="1"/>
  <c r="AG665" i="1" s="1"/>
  <c r="AG666" i="1" s="1"/>
  <c r="AG667" i="1" s="1"/>
  <c r="AG668" i="1" s="1"/>
  <c r="AG669" i="1" s="1"/>
  <c r="AG670" i="1" s="1"/>
  <c r="AG671" i="1" s="1"/>
  <c r="AG672" i="1" s="1"/>
  <c r="AG673" i="1" s="1"/>
  <c r="AG674" i="1" s="1"/>
  <c r="AG675" i="1" s="1"/>
  <c r="AG676" i="1" s="1"/>
  <c r="AG677" i="1" s="1"/>
  <c r="AG678" i="1" s="1"/>
  <c r="AG679" i="1" s="1"/>
  <c r="AG680" i="1" s="1"/>
  <c r="AG681" i="1" s="1"/>
  <c r="AG682" i="1" s="1"/>
  <c r="AG683" i="1" s="1"/>
  <c r="AG684" i="1" s="1"/>
  <c r="AG685" i="1" s="1"/>
  <c r="AG686" i="1" s="1"/>
  <c r="AG687" i="1" s="1"/>
  <c r="AG689" i="1" s="1"/>
  <c r="AG690" i="1" s="1"/>
  <c r="AG691" i="1" s="1"/>
  <c r="AG692" i="1" s="1"/>
  <c r="AG693" i="1" s="1"/>
  <c r="AG694" i="1" s="1"/>
  <c r="AG695" i="1" s="1"/>
  <c r="AG696" i="1" s="1"/>
  <c r="AG697" i="1" s="1"/>
  <c r="AG698" i="1" s="1"/>
  <c r="AG699" i="1" s="1"/>
  <c r="AG700" i="1" s="1"/>
  <c r="AG701" i="1" s="1"/>
  <c r="AG702" i="1" s="1"/>
  <c r="AG703" i="1" s="1"/>
  <c r="AG704" i="1" s="1"/>
  <c r="AG705" i="1" s="1"/>
  <c r="AG706" i="1" s="1"/>
  <c r="AE303" i="2" l="1"/>
  <c r="AE304" i="2" s="1"/>
  <c r="AE305" i="2" s="1"/>
  <c r="AE306" i="2" s="1"/>
  <c r="AE307" i="2" s="1"/>
  <c r="AE308" i="2" s="1"/>
  <c r="AE309" i="2" s="1"/>
  <c r="AE310" i="2" s="1"/>
  <c r="AE311" i="2" s="1"/>
  <c r="AE312" i="2" s="1"/>
  <c r="AE313" i="2" s="1"/>
  <c r="AE314" i="2" s="1"/>
  <c r="AE315" i="2" s="1"/>
  <c r="AE316" i="2" s="1"/>
  <c r="AE317" i="2" s="1"/>
  <c r="AE318" i="2" s="1"/>
  <c r="AE319" i="2" s="1"/>
  <c r="AE320" i="2" s="1"/>
  <c r="AE321" i="2" s="1"/>
  <c r="AE322" i="2" s="1"/>
  <c r="AE323" i="2" s="1"/>
  <c r="AE324" i="2" s="1"/>
  <c r="AE325" i="2" s="1"/>
  <c r="AE326" i="2" s="1"/>
  <c r="AE327" i="2" s="1"/>
  <c r="AE328" i="2" s="1"/>
  <c r="AE329" i="2" s="1"/>
  <c r="AE330" i="2" s="1"/>
  <c r="AE331" i="2" s="1"/>
  <c r="AE332" i="2" s="1"/>
  <c r="AE333" i="2" s="1"/>
  <c r="AE334" i="2" s="1"/>
  <c r="AE335" i="2" s="1"/>
  <c r="AE336" i="2" s="1"/>
  <c r="AE337" i="2" s="1"/>
  <c r="AE338" i="2" s="1"/>
  <c r="AE339" i="2" s="1"/>
  <c r="AE340" i="2" s="1"/>
  <c r="AE341" i="2" s="1"/>
  <c r="AE342" i="2" s="1"/>
  <c r="AE343" i="2" s="1"/>
  <c r="AE344" i="2" s="1"/>
  <c r="AE345" i="2" s="1"/>
  <c r="AE346" i="2" s="1"/>
  <c r="AE347" i="2" s="1"/>
  <c r="AE348" i="2" s="1"/>
  <c r="AE349" i="2" s="1"/>
  <c r="AE350" i="2" s="1"/>
  <c r="AE351" i="2" s="1"/>
  <c r="AE352" i="2" s="1"/>
  <c r="AE353" i="2" s="1"/>
  <c r="AE354" i="2" s="1"/>
  <c r="AE355" i="2" s="1"/>
  <c r="AE356" i="2" s="1"/>
  <c r="AE357" i="2" s="1"/>
  <c r="AE358" i="2" s="1"/>
  <c r="AE359" i="2" s="1"/>
  <c r="AE360" i="2" s="1"/>
  <c r="AE361" i="2" s="1"/>
  <c r="AE362" i="2" s="1"/>
  <c r="AE363" i="2" s="1"/>
  <c r="AE364" i="2" s="1"/>
  <c r="AE365" i="2" s="1"/>
  <c r="AE366" i="2" s="1"/>
  <c r="AE367" i="2" s="1"/>
  <c r="AE368" i="2" s="1"/>
  <c r="AE369" i="2" s="1"/>
  <c r="AE370" i="2" s="1"/>
  <c r="AE371" i="2" s="1"/>
  <c r="AE372" i="2" s="1"/>
  <c r="AE373" i="2" s="1"/>
  <c r="AE374" i="2" s="1"/>
  <c r="AE375" i="2" s="1"/>
  <c r="AE376" i="2" s="1"/>
  <c r="AE377" i="2" s="1"/>
  <c r="AE378" i="2" s="1"/>
  <c r="AE379" i="2" s="1"/>
  <c r="AE380" i="2" s="1"/>
  <c r="AE381" i="2" s="1"/>
  <c r="AE382" i="2" s="1"/>
  <c r="AE383" i="2" s="1"/>
  <c r="AE384" i="2" s="1"/>
  <c r="AE385" i="2" s="1"/>
  <c r="AE386" i="2" s="1"/>
  <c r="AE387" i="2" s="1"/>
  <c r="AE388" i="2" s="1"/>
  <c r="AE389" i="2" s="1"/>
  <c r="AE390" i="2" s="1"/>
  <c r="AE391" i="2" s="1"/>
  <c r="AE392" i="2" s="1"/>
  <c r="AE393" i="2" s="1"/>
  <c r="AE394" i="2" s="1"/>
  <c r="AE395" i="2" s="1"/>
  <c r="AE396" i="2" s="1"/>
  <c r="AE397" i="2" s="1"/>
  <c r="AE398" i="2" s="1"/>
  <c r="AE399" i="2" s="1"/>
  <c r="E693" i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AB707" i="1"/>
  <c r="AG707" i="1" s="1"/>
  <c r="AG708" i="1" s="1"/>
  <c r="AG709" i="1" s="1"/>
  <c r="AG710" i="1" s="1"/>
  <c r="AG711" i="1" s="1"/>
  <c r="AG712" i="1" s="1"/>
  <c r="AG713" i="1" s="1"/>
  <c r="AG714" i="1" s="1"/>
  <c r="AG715" i="1" s="1"/>
  <c r="AG716" i="1" s="1"/>
  <c r="AG717" i="1" s="1"/>
  <c r="AG718" i="1" s="1"/>
  <c r="AG719" i="1" s="1"/>
  <c r="AG720" i="1" s="1"/>
  <c r="AG721" i="1" s="1"/>
  <c r="AG722" i="1" s="1"/>
  <c r="AG723" i="1" s="1"/>
  <c r="AG724" i="1" s="1"/>
  <c r="AG725" i="1" s="1"/>
  <c r="AG726" i="1" s="1"/>
  <c r="AG727" i="1" s="1"/>
  <c r="AG728" i="1" s="1"/>
  <c r="AG729" i="1" s="1"/>
  <c r="AG730" i="1" s="1"/>
  <c r="AG731" i="1" s="1"/>
  <c r="AG732" i="1" s="1"/>
  <c r="AG733" i="1" s="1"/>
  <c r="AG734" i="1" s="1"/>
  <c r="AG735" i="1" s="1"/>
  <c r="AG736" i="1" s="1"/>
  <c r="AG737" i="1" s="1"/>
  <c r="AG738" i="1" s="1"/>
  <c r="AG739" i="1" s="1"/>
  <c r="AG740" i="1" s="1"/>
  <c r="AG741" i="1" s="1"/>
  <c r="AG742" i="1" s="1"/>
  <c r="AG743" i="1" s="1"/>
  <c r="AG744" i="1" s="1"/>
  <c r="AG745" i="1" s="1"/>
  <c r="AG746" i="1" s="1"/>
  <c r="AG747" i="1" s="1"/>
  <c r="AG748" i="1" s="1"/>
  <c r="AG749" i="1" s="1"/>
  <c r="AG750" i="1" s="1"/>
  <c r="AG751" i="1" s="1"/>
  <c r="AG752" i="1" s="1"/>
  <c r="AG753" i="1" s="1"/>
  <c r="AG754" i="1" s="1"/>
  <c r="AG755" i="1" s="1"/>
  <c r="AG756" i="1" s="1"/>
  <c r="AG757" i="1" s="1"/>
  <c r="AG758" i="1" s="1"/>
  <c r="AG759" i="1" s="1"/>
  <c r="AG760" i="1" s="1"/>
  <c r="AG761" i="1" s="1"/>
  <c r="AG762" i="1" s="1"/>
  <c r="AG763" i="1" s="1"/>
  <c r="AG764" i="1" s="1"/>
  <c r="AG765" i="1" s="1"/>
  <c r="AG766" i="1" s="1"/>
  <c r="AG767" i="1" s="1"/>
  <c r="AG768" i="1" s="1"/>
  <c r="AG769" i="1" s="1"/>
  <c r="AG770" i="1" s="1"/>
  <c r="AG771" i="1" s="1"/>
  <c r="AG772" i="1" s="1"/>
  <c r="AG773" i="1" s="1"/>
  <c r="AG774" i="1" s="1"/>
  <c r="AG775" i="1" s="1"/>
  <c r="AG776" i="1" s="1"/>
  <c r="AG777" i="1" s="1"/>
  <c r="AG778" i="1" s="1"/>
  <c r="AG779" i="1" s="1"/>
  <c r="AG780" i="1" s="1"/>
  <c r="AG781" i="1" s="1"/>
  <c r="AG782" i="1" s="1"/>
  <c r="AG783" i="1" s="1"/>
  <c r="AG784" i="1" s="1"/>
  <c r="AG785" i="1" s="1"/>
  <c r="AG786" i="1" s="1"/>
  <c r="AG787" i="1" s="1"/>
  <c r="AG788" i="1" s="1"/>
  <c r="AG789" i="1" s="1"/>
  <c r="AG790" i="1" s="1"/>
  <c r="AG791" i="1" s="1"/>
  <c r="AG792" i="1" s="1"/>
  <c r="AG793" i="1" s="1"/>
  <c r="AG794" i="1" s="1"/>
  <c r="AG795" i="1" s="1"/>
  <c r="AG796" i="1" s="1"/>
  <c r="AG797" i="1" s="1"/>
  <c r="AG798" i="1" s="1"/>
  <c r="AG799" i="1" s="1"/>
  <c r="AG800" i="1" s="1"/>
  <c r="AG801" i="1" s="1"/>
  <c r="AG802" i="1" s="1"/>
  <c r="AG803" i="1" s="1"/>
  <c r="AG804" i="1" s="1"/>
  <c r="AG805" i="1" s="1"/>
  <c r="AG806" i="1" s="1"/>
  <c r="AG807" i="1" s="1"/>
  <c r="AG808" i="1" s="1"/>
  <c r="AG809" i="1" s="1"/>
  <c r="AG810" i="1" s="1"/>
  <c r="AG811" i="1" s="1"/>
  <c r="AG812" i="1" s="1"/>
  <c r="AG813" i="1" s="1"/>
  <c r="AG814" i="1" s="1"/>
  <c r="AG815" i="1" s="1"/>
  <c r="AG816" i="1" s="1"/>
  <c r="AG817" i="1" s="1"/>
  <c r="AG818" i="1" s="1"/>
  <c r="AG819" i="1" s="1"/>
  <c r="AG820" i="1" s="1"/>
  <c r="AG821" i="1" s="1"/>
  <c r="AG822" i="1" s="1"/>
  <c r="AG823" i="1" s="1"/>
  <c r="AG824" i="1" s="1"/>
  <c r="AG825" i="1" s="1"/>
  <c r="AG826" i="1" s="1"/>
  <c r="AG827" i="1" s="1"/>
  <c r="AG828" i="1" s="1"/>
  <c r="AG829" i="1" s="1"/>
  <c r="AG830" i="1" s="1"/>
  <c r="AG831" i="1" s="1"/>
  <c r="AG832" i="1" s="1"/>
  <c r="AG833" i="1" s="1"/>
  <c r="AG834" i="1" s="1"/>
  <c r="AG835" i="1" s="1"/>
  <c r="AG836" i="1" s="1"/>
  <c r="AG837" i="1" s="1"/>
  <c r="AG838" i="1" s="1"/>
  <c r="AG839" i="1" s="1"/>
  <c r="AG840" i="1" s="1"/>
  <c r="AG841" i="1" s="1"/>
  <c r="AG842" i="1" s="1"/>
  <c r="AG843" i="1" s="1"/>
  <c r="AG844" i="1" s="1"/>
  <c r="AG845" i="1" s="1"/>
  <c r="AG846" i="1" s="1"/>
  <c r="AG847" i="1" s="1"/>
  <c r="AG848" i="1" s="1"/>
  <c r="AG849" i="1" s="1"/>
  <c r="AG850" i="1" s="1"/>
  <c r="AG851" i="1" s="1"/>
  <c r="AG852" i="1" s="1"/>
  <c r="AG853" i="1" s="1"/>
  <c r="AG854" i="1" s="1"/>
  <c r="AG855" i="1" s="1"/>
  <c r="AG856" i="1" s="1"/>
  <c r="AG857" i="1" s="1"/>
  <c r="AG858" i="1" s="1"/>
  <c r="AG859" i="1" s="1"/>
  <c r="AG860" i="1" s="1"/>
  <c r="AG861" i="1" s="1"/>
  <c r="AG862" i="1" s="1"/>
  <c r="AG863" i="1" s="1"/>
  <c r="AG864" i="1" s="1"/>
  <c r="AG865" i="1" s="1"/>
  <c r="AG866" i="1" s="1"/>
  <c r="AG867" i="1" s="1"/>
  <c r="AG868" i="1" s="1"/>
  <c r="AG869" i="1" s="1"/>
  <c r="AG870" i="1" s="1"/>
  <c r="AG871" i="1" s="1"/>
  <c r="AG872" i="1" s="1"/>
  <c r="AG873" i="1" s="1"/>
  <c r="AG874" i="1" s="1"/>
  <c r="AG875" i="1" s="1"/>
  <c r="AG876" i="1" s="1"/>
  <c r="AG877" i="1" s="1"/>
  <c r="AG878" i="1" s="1"/>
  <c r="AG879" i="1" s="1"/>
  <c r="AG880" i="1" s="1"/>
  <c r="AG881" i="1" s="1"/>
  <c r="AG882" i="1" s="1"/>
  <c r="AG883" i="1" s="1"/>
  <c r="AG884" i="1" s="1"/>
  <c r="AG885" i="1" s="1"/>
  <c r="AG886" i="1" s="1"/>
  <c r="AG887" i="1" s="1"/>
  <c r="AG888" i="1" s="1"/>
  <c r="AG889" i="1" s="1"/>
  <c r="AG890" i="1" s="1"/>
  <c r="AG891" i="1" s="1"/>
  <c r="AG892" i="1" s="1"/>
  <c r="AG893" i="1" s="1"/>
  <c r="AG894" i="1" s="1"/>
  <c r="AG895" i="1" s="1"/>
  <c r="AG896" i="1" s="1"/>
  <c r="AG897" i="1" s="1"/>
  <c r="AG898" i="1" s="1"/>
  <c r="AG899" i="1" s="1"/>
  <c r="AG900" i="1" s="1"/>
  <c r="AG901" i="1" s="1"/>
  <c r="AF707" i="1"/>
  <c r="AF708" i="1" s="1"/>
  <c r="AF709" i="1" s="1"/>
  <c r="AF710" i="1" s="1"/>
  <c r="AF711" i="1" s="1"/>
  <c r="AF712" i="1" s="1"/>
  <c r="AF713" i="1" s="1"/>
  <c r="AF714" i="1" s="1"/>
  <c r="AF715" i="1" s="1"/>
  <c r="AF716" i="1" s="1"/>
  <c r="AF717" i="1" s="1"/>
  <c r="AF718" i="1" s="1"/>
  <c r="AF719" i="1" s="1"/>
  <c r="AF720" i="1" s="1"/>
  <c r="AF721" i="1" s="1"/>
  <c r="AF722" i="1" s="1"/>
  <c r="AF723" i="1" s="1"/>
  <c r="AF724" i="1" s="1"/>
  <c r="AF725" i="1" s="1"/>
  <c r="AF726" i="1" s="1"/>
  <c r="AF727" i="1" s="1"/>
  <c r="AF728" i="1" s="1"/>
  <c r="AF729" i="1" s="1"/>
  <c r="AF730" i="1" s="1"/>
  <c r="AF731" i="1" s="1"/>
  <c r="AF732" i="1" s="1"/>
  <c r="AF733" i="1" s="1"/>
  <c r="AF734" i="1" s="1"/>
  <c r="AF735" i="1" s="1"/>
  <c r="AF736" i="1" s="1"/>
  <c r="AF737" i="1" s="1"/>
  <c r="AF738" i="1" s="1"/>
  <c r="AF739" i="1" s="1"/>
  <c r="AF740" i="1" s="1"/>
  <c r="AF741" i="1" s="1"/>
  <c r="AF742" i="1" s="1"/>
  <c r="AF743" i="1" s="1"/>
  <c r="AF744" i="1" s="1"/>
  <c r="AF745" i="1" s="1"/>
  <c r="AF746" i="1" s="1"/>
  <c r="AF747" i="1" s="1"/>
  <c r="AF748" i="1" s="1"/>
  <c r="AF749" i="1" s="1"/>
  <c r="AF750" i="1" s="1"/>
  <c r="AF751" i="1" s="1"/>
  <c r="AF752" i="1" s="1"/>
  <c r="AF753" i="1" s="1"/>
  <c r="AF754" i="1" s="1"/>
  <c r="AF755" i="1" s="1"/>
  <c r="AF756" i="1" s="1"/>
  <c r="AF757" i="1" s="1"/>
  <c r="AF758" i="1" s="1"/>
  <c r="AF759" i="1" s="1"/>
  <c r="AF760" i="1" s="1"/>
  <c r="AF761" i="1" s="1"/>
  <c r="AF762" i="1" s="1"/>
  <c r="AF763" i="1" s="1"/>
  <c r="AF764" i="1" s="1"/>
  <c r="AF765" i="1" s="1"/>
  <c r="AF766" i="1" s="1"/>
  <c r="AF767" i="1" s="1"/>
  <c r="AF768" i="1" s="1"/>
  <c r="AF769" i="1" s="1"/>
  <c r="AF770" i="1" s="1"/>
  <c r="AF771" i="1" s="1"/>
  <c r="AF772" i="1" s="1"/>
  <c r="AF773" i="1" s="1"/>
  <c r="AF774" i="1" s="1"/>
  <c r="AF775" i="1" s="1"/>
  <c r="AF776" i="1" s="1"/>
  <c r="AF777" i="1" s="1"/>
  <c r="AF778" i="1" s="1"/>
  <c r="AF779" i="1" s="1"/>
  <c r="AF780" i="1" s="1"/>
  <c r="AF781" i="1" s="1"/>
  <c r="AF782" i="1" s="1"/>
  <c r="AF783" i="1" s="1"/>
  <c r="AF784" i="1" s="1"/>
  <c r="AF785" i="1" s="1"/>
  <c r="AF786" i="1" s="1"/>
  <c r="AF787" i="1" s="1"/>
  <c r="AF788" i="1" s="1"/>
  <c r="AF789" i="1" s="1"/>
  <c r="AF790" i="1" s="1"/>
  <c r="AF791" i="1" s="1"/>
  <c r="AF792" i="1" s="1"/>
  <c r="AF793" i="1" s="1"/>
  <c r="AF794" i="1" s="1"/>
  <c r="AF795" i="1" s="1"/>
  <c r="AF796" i="1" s="1"/>
  <c r="AF797" i="1" s="1"/>
  <c r="AF798" i="1" s="1"/>
  <c r="AF799" i="1" s="1"/>
  <c r="AF800" i="1" s="1"/>
  <c r="AF801" i="1" s="1"/>
  <c r="AF802" i="1" s="1"/>
  <c r="AF803" i="1" s="1"/>
  <c r="AF804" i="1" s="1"/>
  <c r="AF805" i="1" s="1"/>
  <c r="AF806" i="1" s="1"/>
  <c r="AF807" i="1" s="1"/>
  <c r="AF808" i="1" s="1"/>
  <c r="AF809" i="1" s="1"/>
  <c r="AF810" i="1" s="1"/>
  <c r="AF811" i="1" s="1"/>
  <c r="AF812" i="1" s="1"/>
  <c r="AF813" i="1" s="1"/>
  <c r="AF814" i="1" s="1"/>
  <c r="AF815" i="1" s="1"/>
  <c r="AF816" i="1" s="1"/>
  <c r="AF817" i="1" s="1"/>
  <c r="AF818" i="1" s="1"/>
  <c r="AF819" i="1" s="1"/>
  <c r="AF820" i="1" s="1"/>
  <c r="AF821" i="1" s="1"/>
  <c r="AF822" i="1" s="1"/>
  <c r="AF823" i="1" s="1"/>
  <c r="AF824" i="1" s="1"/>
  <c r="AF825" i="1" s="1"/>
  <c r="AF826" i="1" s="1"/>
  <c r="AF827" i="1" s="1"/>
  <c r="AF828" i="1" s="1"/>
  <c r="AF829" i="1" s="1"/>
  <c r="AF830" i="1" s="1"/>
  <c r="AF831" i="1" s="1"/>
  <c r="AF832" i="1" s="1"/>
  <c r="AF833" i="1" s="1"/>
  <c r="AF834" i="1" s="1"/>
  <c r="AF835" i="1" s="1"/>
  <c r="AF836" i="1" s="1"/>
  <c r="AF837" i="1" s="1"/>
  <c r="AF838" i="1" s="1"/>
  <c r="AF839" i="1" s="1"/>
  <c r="AF840" i="1" s="1"/>
  <c r="AF841" i="1" s="1"/>
  <c r="AF842" i="1" s="1"/>
  <c r="AF843" i="1" s="1"/>
  <c r="AF844" i="1" s="1"/>
  <c r="AF845" i="1" s="1"/>
  <c r="AF846" i="1" s="1"/>
  <c r="AF847" i="1" s="1"/>
  <c r="AF848" i="1" s="1"/>
  <c r="AF849" i="1" s="1"/>
  <c r="AF850" i="1" s="1"/>
  <c r="AF851" i="1" s="1"/>
  <c r="AF852" i="1" s="1"/>
  <c r="AF853" i="1" s="1"/>
  <c r="AF854" i="1" s="1"/>
  <c r="AF855" i="1" s="1"/>
  <c r="AF856" i="1" s="1"/>
  <c r="AF857" i="1" s="1"/>
  <c r="AF858" i="1" s="1"/>
  <c r="AF859" i="1" s="1"/>
  <c r="AF860" i="1" s="1"/>
  <c r="AF861" i="1" s="1"/>
  <c r="AF862" i="1" s="1"/>
  <c r="AF863" i="1" s="1"/>
  <c r="AF864" i="1" s="1"/>
  <c r="AF865" i="1" s="1"/>
  <c r="AF866" i="1" s="1"/>
  <c r="AF867" i="1" s="1"/>
  <c r="AF868" i="1" s="1"/>
  <c r="AF869" i="1" s="1"/>
  <c r="AF870" i="1" s="1"/>
  <c r="AF871" i="1" s="1"/>
  <c r="AF872" i="1" s="1"/>
  <c r="AF873" i="1" s="1"/>
  <c r="AF874" i="1" s="1"/>
  <c r="AF875" i="1" s="1"/>
  <c r="AF876" i="1" s="1"/>
  <c r="AF877" i="1" s="1"/>
  <c r="AF878" i="1" s="1"/>
  <c r="AF879" i="1" s="1"/>
  <c r="AF880" i="1" s="1"/>
  <c r="AF881" i="1" s="1"/>
  <c r="AF882" i="1" s="1"/>
  <c r="AF883" i="1" s="1"/>
  <c r="AF884" i="1" s="1"/>
  <c r="AF885" i="1" s="1"/>
  <c r="AF886" i="1" s="1"/>
  <c r="AF887" i="1" s="1"/>
  <c r="AF888" i="1" s="1"/>
  <c r="AF889" i="1" s="1"/>
  <c r="AF890" i="1" s="1"/>
  <c r="AF891" i="1" s="1"/>
  <c r="AF892" i="1" s="1"/>
  <c r="AF893" i="1" s="1"/>
  <c r="AF894" i="1" s="1"/>
  <c r="AF895" i="1" s="1"/>
  <c r="AF896" i="1" s="1"/>
  <c r="AF897" i="1" s="1"/>
  <c r="AF898" i="1" s="1"/>
  <c r="AF899" i="1" s="1"/>
  <c r="AF900" i="1" s="1"/>
  <c r="AF901" i="1" s="1"/>
  <c r="AK711" i="1"/>
  <c r="E711" i="4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H715" i="4"/>
  <c r="M715" i="4" s="1"/>
  <c r="M716" i="4" s="1"/>
  <c r="M717" i="4" s="1"/>
  <c r="M718" i="4" s="1"/>
  <c r="M719" i="4" s="1"/>
  <c r="M720" i="4" s="1"/>
  <c r="M721" i="4" s="1"/>
  <c r="M722" i="4" s="1"/>
  <c r="M723" i="4" s="1"/>
  <c r="M724" i="4" s="1"/>
  <c r="M725" i="4" s="1"/>
  <c r="M726" i="4" s="1"/>
  <c r="M727" i="4" s="1"/>
  <c r="M728" i="4" s="1"/>
  <c r="M729" i="4" s="1"/>
  <c r="M730" i="4" s="1"/>
  <c r="M731" i="4" s="1"/>
  <c r="M732" i="4" s="1"/>
  <c r="M733" i="4" s="1"/>
  <c r="M734" i="4" s="1"/>
  <c r="M735" i="4" s="1"/>
  <c r="M736" i="4" s="1"/>
  <c r="M737" i="4" s="1"/>
  <c r="M738" i="4" s="1"/>
  <c r="M739" i="4" s="1"/>
  <c r="M740" i="4" s="1"/>
  <c r="M741" i="4" s="1"/>
  <c r="M742" i="4" s="1"/>
  <c r="M743" i="4" s="1"/>
  <c r="M744" i="4" s="1"/>
  <c r="M745" i="4" s="1"/>
  <c r="M746" i="4" s="1"/>
  <c r="M747" i="4" s="1"/>
  <c r="M748" i="4" s="1"/>
  <c r="M749" i="4" s="1"/>
  <c r="M750" i="4" s="1"/>
  <c r="M751" i="4" s="1"/>
  <c r="M752" i="4" s="1"/>
  <c r="M753" i="4" s="1"/>
  <c r="M754" i="4" s="1"/>
  <c r="M755" i="4" s="1"/>
  <c r="M756" i="4" s="1"/>
  <c r="M757" i="4" s="1"/>
  <c r="M758" i="4" s="1"/>
  <c r="M759" i="4" s="1"/>
  <c r="M760" i="4" s="1"/>
  <c r="M761" i="4" s="1"/>
  <c r="M762" i="4" s="1"/>
  <c r="M763" i="4" s="1"/>
  <c r="M764" i="4" s="1"/>
  <c r="M765" i="4" s="1"/>
  <c r="M766" i="4" s="1"/>
  <c r="M767" i="4" s="1"/>
  <c r="M768" i="4" s="1"/>
  <c r="M769" i="4" s="1"/>
  <c r="M770" i="4" s="1"/>
  <c r="M771" i="4" s="1"/>
  <c r="M772" i="4" s="1"/>
  <c r="M773" i="4" s="1"/>
  <c r="M774" i="4" s="1"/>
  <c r="M775" i="4" s="1"/>
  <c r="M776" i="4" s="1"/>
  <c r="M777" i="4" s="1"/>
  <c r="M778" i="4" s="1"/>
  <c r="M779" i="4" s="1"/>
  <c r="M780" i="4" s="1"/>
  <c r="M781" i="4" s="1"/>
  <c r="M782" i="4" s="1"/>
  <c r="M783" i="4" s="1"/>
  <c r="M784" i="4" s="1"/>
  <c r="M785" i="4" s="1"/>
  <c r="M786" i="4" s="1"/>
  <c r="M787" i="4" s="1"/>
  <c r="M788" i="4" s="1"/>
  <c r="M789" i="4" s="1"/>
  <c r="M790" i="4" s="1"/>
  <c r="M791" i="4" s="1"/>
  <c r="M792" i="4" s="1"/>
  <c r="M793" i="4" s="1"/>
  <c r="M794" i="4" s="1"/>
  <c r="M795" i="4" s="1"/>
  <c r="M796" i="4" s="1"/>
  <c r="M797" i="4" s="1"/>
  <c r="M798" i="4" s="1"/>
  <c r="M799" i="4" s="1"/>
  <c r="M800" i="4" s="1"/>
  <c r="M801" i="4" s="1"/>
  <c r="M802" i="4" s="1"/>
  <c r="M803" i="4" s="1"/>
  <c r="M804" i="4" s="1"/>
  <c r="M805" i="4" s="1"/>
  <c r="M806" i="4" s="1"/>
  <c r="M807" i="4" s="1"/>
  <c r="M808" i="4" s="1"/>
  <c r="M809" i="4" s="1"/>
  <c r="M810" i="4" s="1"/>
  <c r="M811" i="4" s="1"/>
  <c r="M812" i="4" s="1"/>
  <c r="M813" i="4" s="1"/>
  <c r="M814" i="4" s="1"/>
  <c r="M815" i="4" s="1"/>
  <c r="M816" i="4" s="1"/>
  <c r="M817" i="4" s="1"/>
  <c r="M818" i="4" s="1"/>
  <c r="M819" i="4" s="1"/>
  <c r="M820" i="4" s="1"/>
  <c r="M821" i="4" s="1"/>
  <c r="M822" i="4" s="1"/>
  <c r="M823" i="4" s="1"/>
  <c r="M824" i="4" s="1"/>
  <c r="M825" i="4" s="1"/>
  <c r="M826" i="4" s="1"/>
  <c r="M827" i="4" s="1"/>
  <c r="M828" i="4" s="1"/>
  <c r="M829" i="4" s="1"/>
  <c r="M830" i="4" s="1"/>
  <c r="M831" i="4" s="1"/>
  <c r="M832" i="4" s="1"/>
  <c r="M833" i="4" s="1"/>
  <c r="M834" i="4" s="1"/>
  <c r="M835" i="4" s="1"/>
  <c r="M836" i="4" s="1"/>
  <c r="M837" i="4" s="1"/>
  <c r="M838" i="4" s="1"/>
  <c r="M839" i="4" s="1"/>
  <c r="M840" i="4" s="1"/>
  <c r="M841" i="4" s="1"/>
  <c r="M842" i="4" s="1"/>
  <c r="M843" i="4" s="1"/>
  <c r="M844" i="4" s="1"/>
  <c r="M845" i="4" s="1"/>
  <c r="M846" i="4" s="1"/>
  <c r="M847" i="4" s="1"/>
  <c r="M848" i="4" s="1"/>
  <c r="M849" i="4" s="1"/>
  <c r="M850" i="4" s="1"/>
  <c r="M851" i="4" s="1"/>
  <c r="M852" i="4" s="1"/>
  <c r="M853" i="4" s="1"/>
  <c r="M854" i="4" s="1"/>
  <c r="M855" i="4" s="1"/>
  <c r="M856" i="4" s="1"/>
  <c r="M857" i="4" s="1"/>
  <c r="M858" i="4" s="1"/>
  <c r="M859" i="4" s="1"/>
  <c r="M860" i="4" s="1"/>
  <c r="M861" i="4" s="1"/>
  <c r="M862" i="4" s="1"/>
  <c r="M863" i="4" s="1"/>
  <c r="M864" i="4" s="1"/>
  <c r="M865" i="4" s="1"/>
  <c r="M866" i="4" s="1"/>
  <c r="M867" i="4" s="1"/>
  <c r="M868" i="4" s="1"/>
  <c r="M869" i="4" s="1"/>
  <c r="M870" i="4" s="1"/>
  <c r="M871" i="4" s="1"/>
  <c r="M872" i="4" s="1"/>
  <c r="M873" i="4" s="1"/>
  <c r="M874" i="4" s="1"/>
  <c r="M875" i="4" s="1"/>
  <c r="M876" i="4" s="1"/>
  <c r="M877" i="4" s="1"/>
  <c r="M878" i="4" s="1"/>
  <c r="M879" i="4" s="1"/>
  <c r="M880" i="4" s="1"/>
  <c r="M881" i="4" s="1"/>
  <c r="M882" i="4" s="1"/>
  <c r="M883" i="4" s="1"/>
  <c r="M884" i="4" s="1"/>
  <c r="M885" i="4" s="1"/>
  <c r="M886" i="4" s="1"/>
  <c r="M887" i="4" s="1"/>
  <c r="M888" i="4" s="1"/>
  <c r="M889" i="4" s="1"/>
  <c r="M890" i="4" s="1"/>
  <c r="M891" i="4" s="1"/>
  <c r="M892" i="4" s="1"/>
  <c r="M893" i="4" s="1"/>
  <c r="M894" i="4" s="1"/>
  <c r="M895" i="4" s="1"/>
  <c r="M896" i="4" s="1"/>
  <c r="M897" i="4" s="1"/>
  <c r="M898" i="4" s="1"/>
  <c r="M899" i="4" s="1"/>
  <c r="M900" i="4" s="1"/>
  <c r="M901" i="4" s="1"/>
  <c r="E820" i="1" l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gyomu4</author>
    <author>y-hara</author>
    <author>k-terada</author>
    <author>Gyomu</author>
    <author>tsujioka</author>
  </authors>
  <commentList>
    <comment ref="K28" authorId="0" guid="{D37BD998-25E2-4752-8F27-23C0043E53F7}" shapeId="0" xr:uid="{3CE141CF-A40A-4421-8F68-6773E6135BF8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調達管理課　西森様から牛田電装様での受入が出来ない為
</t>
        </r>
      </text>
    </comment>
    <comment ref="G50" authorId="1" guid="{EC1B97B5-8BE2-4FA6-9509-33B625E1EFD1}" shapeId="0" xr:uid="{D5A93B37-A8F0-4043-8163-F5ACC132F8B9}">
      <text>
        <r>
          <rPr>
            <b/>
            <sz val="9"/>
            <color indexed="81"/>
            <rFont val="MS P ゴシック"/>
            <family val="3"/>
            <charset val="128"/>
          </rPr>
          <t>81</t>
        </r>
      </text>
    </comment>
    <comment ref="G64" authorId="1" guid="{5829A924-3D4A-46CF-806C-4C8A28F662BB}" shapeId="0" xr:uid="{33D1AF04-354E-4B82-B70D-78C11614CCBD}">
      <text>
        <r>
          <rPr>
            <b/>
            <sz val="9"/>
            <color indexed="81"/>
            <rFont val="MS P ゴシック"/>
            <family val="3"/>
            <charset val="128"/>
          </rPr>
          <t>81</t>
        </r>
      </text>
    </comment>
    <comment ref="G65" authorId="1" guid="{F70A224E-1068-448D-942F-F0C86EE545FE}" shapeId="0" xr:uid="{72FEEC2C-3758-4F07-B875-514F4AD063D6}">
      <text>
        <r>
          <rPr>
            <b/>
            <sz val="9"/>
            <color indexed="81"/>
            <rFont val="MS P ゴシック"/>
            <family val="3"/>
            <charset val="128"/>
          </rPr>
          <t>内示81</t>
        </r>
      </text>
    </comment>
    <comment ref="G66" authorId="1" guid="{437A77A6-6562-428C-9005-8ED47D21FCE7}" shapeId="0" xr:uid="{349E3CE5-8632-4CC7-88E1-10763EA49157}">
      <text>
        <r>
          <rPr>
            <b/>
            <sz val="9"/>
            <color indexed="81"/>
            <rFont val="MS P ゴシック"/>
            <family val="3"/>
            <charset val="128"/>
          </rPr>
          <t>0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U102" authorId="0" guid="{4AF3F9A8-4434-42C4-9A3B-0C6332EF8818}" shapeId="0" xr:uid="{1FA58552-618D-43D4-88A9-3F56A0C877D2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gyomu4:
来歴3,4の切り替えタイミングが上手くいってなかった9/20から生産が遅れているのが挽回出来ていない
9/30(土)に挽回予定</t>
        </r>
      </text>
    </comment>
    <comment ref="E108" authorId="0" guid="{D55549BC-0EF8-4AEE-BAEC-9178905869F9}" shapeId="0" xr:uid="{88CDA04F-0A7F-491B-8FAE-D365EB75CFCD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寺田班長と整合　在庫調整
</t>
        </r>
      </text>
    </comment>
    <comment ref="C142" authorId="0" guid="{467F68EE-8B57-47C6-B3C5-5290FA5342A2}" shapeId="0" xr:uid="{D09BC8C4-F1A2-440C-821B-D00876333C59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検査課行き3個追加しました</t>
        </r>
      </text>
    </comment>
    <comment ref="U165" authorId="0" guid="{C17A58B3-AA64-4160-A0DB-3C2B62221CBE}" shapeId="0" xr:uid="{C5AB911E-6B1D-4219-A22B-2857F3A3DFE2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物は57台納品書は54台</t>
        </r>
      </text>
    </comment>
    <comment ref="D168" authorId="2" guid="{B45D2A0C-8CDA-483C-B994-E1FBE19235EA}" shapeId="0" xr:uid="{264C9163-C8FF-4DD1-A612-90EF713B4A7F}">
      <text>
        <r>
          <rPr>
            <b/>
            <sz val="9"/>
            <color indexed="81"/>
            <rFont val="MS P ゴシック"/>
            <family val="3"/>
            <charset val="128"/>
          </rPr>
          <t>k-terada:</t>
        </r>
        <r>
          <rPr>
            <sz val="9"/>
            <color indexed="81"/>
            <rFont val="MS P ゴシック"/>
            <family val="3"/>
            <charset val="128"/>
          </rPr>
          <t xml:space="preserve">
台車不足の為
</t>
        </r>
      </text>
    </comment>
    <comment ref="U210" authorId="0" guid="{8D5DC206-983E-48C0-8A12-71C4B1C03454}" shapeId="0" xr:uid="{D20176C7-C1AC-400F-81B8-17BF9463E8E0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物は72台　検収が75台　12/1納入済み分</t>
        </r>
      </text>
    </comment>
    <comment ref="C217" authorId="0" guid="{566868CD-957A-4662-B44D-0EC3F18D119A}" shapeId="0" xr:uid="{057D8A51-AF6F-405E-BA46-1FD649686FF3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牛田電装破損分1台発注あり
</t>
        </r>
      </text>
    </comment>
    <comment ref="C218" authorId="1" guid="{737E9470-8AEC-4080-959E-303F14F612A8}" shapeId="0" xr:uid="{7E9646AE-F1C3-4CE0-B727-C551D11E5567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1台追加　(共立梱包㈱行き)
スキット乗せgyomu4:
</t>
        </r>
      </text>
    </comment>
    <comment ref="R219" authorId="0" guid="{CE46BC95-8405-4D6F-844F-8C51F63598EA}" shapeId="0" xr:uid="{0827CCF8-6F6E-4CFA-A455-9603E84BE082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牛田電装破損分1台発注あり
</t>
        </r>
      </text>
    </comment>
    <comment ref="U219" authorId="1" guid="{A0CE14FE-AC39-42DE-B929-B4D0CA084386}" shapeId="0" xr:uid="{35A3B905-9604-4C29-AAEC-A90E5F0410D6}">
      <text>
        <r>
          <rPr>
            <b/>
            <sz val="9"/>
            <color indexed="81"/>
            <rFont val="MS P ゴシック"/>
            <family val="3"/>
            <charset val="128"/>
          </rPr>
          <t>-1調整</t>
        </r>
      </text>
    </comment>
    <comment ref="R220" authorId="1" guid="{BF07BE88-0280-44D2-9010-8236DD08598A}" shapeId="0" xr:uid="{65888EF5-EB5E-422E-8177-13AFA2BF9609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1台　(共立梱包㈱行き)
スキット納入
</t>
        </r>
      </text>
    </comment>
    <comment ref="C241" authorId="1" guid="{B071A705-1D6C-4A2C-9D7D-0399DF36DDD2}" shapeId="0" xr:uid="{ECC7A5BD-6EF4-4455-AC10-53DBC1FBBAD5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サービス部品　臨海工場行き 5台
</t>
        </r>
      </text>
    </comment>
    <comment ref="Q245" authorId="0" guid="{2382072B-045A-496A-AFFC-523DC6E5C55D}" shapeId="0" xr:uid="{0BAA5AA4-BB7A-40EA-8886-E69EF37D55FD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サービス部品　臨海工場行き 5台
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C270" authorId="1" guid="{8DACE7D8-64DD-4B0B-9B66-5086AA0F9855}" shapeId="0" xr:uid="{B27FEF1D-0B8F-48F6-80DE-BB7CDDFF7839}">
      <text>
        <r>
          <rPr>
            <b/>
            <sz val="11"/>
            <color indexed="81"/>
            <rFont val="MS P ゴシック"/>
            <family val="3"/>
            <charset val="128"/>
          </rPr>
          <t xml:space="preserve">追加注文あり(6台)
</t>
        </r>
      </text>
    </comment>
    <comment ref="Q274" authorId="1" guid="{9C837A1B-F737-46C6-865D-015070CD5FD5}" shapeId="0" xr:uid="{1AB78600-6B09-487F-8FA9-A561753CF961}">
      <text>
        <r>
          <rPr>
            <b/>
            <sz val="11"/>
            <color indexed="81"/>
            <rFont val="MS P ゴシック"/>
            <family val="3"/>
            <charset val="128"/>
          </rPr>
          <t xml:space="preserve">追加注文あり(6台)
</t>
        </r>
      </text>
    </comment>
    <comment ref="S458" authorId="1" guid="{1DEABE54-19DC-4B75-8ED5-84D153B6DD66}" shapeId="0" xr:uid="{06DABBE9-15BC-4425-BB71-902D4C792A9C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出荷実績と整合の為、-6台
</t>
        </r>
      </text>
    </comment>
    <comment ref="S459" authorId="1" guid="{FB47105D-7FD1-450A-95CC-E39406BAFE7D}" shapeId="0" xr:uid="{2B5F0948-170C-4E2A-8917-2D1172FB8D56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9/19納期調整分　6台
</t>
        </r>
      </text>
    </comment>
    <comment ref="S465" authorId="3" guid="{49E8DE06-3DC3-407D-AC1A-BD9453EABED8}" shapeId="0" xr:uid="{992D4AB2-B328-44BB-B9E4-5CA186924598}">
      <text>
        <r>
          <rPr>
            <b/>
            <sz val="9"/>
            <color indexed="81"/>
            <rFont val="MS P ゴシック"/>
            <family val="3"/>
            <charset val="128"/>
          </rPr>
          <t>Gyomu:</t>
        </r>
        <r>
          <rPr>
            <sz val="9"/>
            <color indexed="81"/>
            <rFont val="MS P ゴシック"/>
            <family val="3"/>
            <charset val="128"/>
          </rPr>
          <t xml:space="preserve">
出荷指示ミスの為
</t>
        </r>
      </text>
    </comment>
    <comment ref="U469" authorId="3" guid="{03CB6E90-01FC-4DED-934E-1B067C5C1653}" shapeId="0" xr:uid="{95EBB6B2-7F87-48E5-BF29-2E84F6D52945}">
      <text>
        <r>
          <rPr>
            <b/>
            <sz val="9"/>
            <color indexed="81"/>
            <rFont val="MS P ゴシック"/>
            <family val="3"/>
            <charset val="128"/>
          </rPr>
          <t>Gyomu:</t>
        </r>
        <r>
          <rPr>
            <sz val="9"/>
            <color indexed="81"/>
            <rFont val="MS P ゴシック"/>
            <family val="3"/>
            <charset val="128"/>
          </rPr>
          <t xml:space="preserve">
濱﨑くんへ
数量確認お願いします　横井
</t>
        </r>
      </text>
    </comment>
    <comment ref="S472" authorId="3" guid="{6AAAD533-1986-4EC2-A123-08FF9B2ECC4E}" shapeId="0" xr:uid="{EA0D5F58-0C4C-4078-B149-F0496731B71C}">
      <text>
        <r>
          <rPr>
            <b/>
            <sz val="9"/>
            <color indexed="81"/>
            <rFont val="MS P ゴシック"/>
            <family val="3"/>
            <charset val="128"/>
          </rPr>
          <t>Gyomu:</t>
        </r>
        <r>
          <rPr>
            <sz val="9"/>
            <color indexed="81"/>
            <rFont val="MS P ゴシック"/>
            <family val="3"/>
            <charset val="128"/>
          </rPr>
          <t xml:space="preserve">
出荷指示ミスの為
</t>
        </r>
      </text>
    </comment>
    <comment ref="C539" authorId="1" guid="{3651E79C-56A2-47E7-AF9D-70F7785D6B6D}" shapeId="0" xr:uid="{3673BBA2-C5F6-4FAE-B862-F58CFDEEE0FE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試作注文分 １台 あり
１台乗せ台車の製作をお願い致します。
</t>
        </r>
      </text>
    </comment>
    <comment ref="Q541" authorId="1" guid="{252B3D52-1F70-4696-AFF9-B511C60C8D70}" shapeId="0" xr:uid="{3D6E7CAC-1A1E-4439-B392-3CA8529754B4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試作注文　１台あり
</t>
        </r>
      </text>
    </comment>
    <comment ref="C546" authorId="1" guid="{EE5EDDD1-1452-48D9-8956-BF3E25148A93}" shapeId="0" xr:uid="{676A0770-2592-4603-82EB-7000A0BE3F74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末番５ 検査課行き５台を含む
</t>
        </r>
      </text>
    </comment>
    <comment ref="C548" authorId="1" guid="{10CF9F20-93BB-4EC3-B386-22029905F043}" shapeId="0" xr:uid="{B41989E9-D6D6-415F-8C73-C442B9BCFF38}">
      <text>
        <r>
          <rPr>
            <b/>
            <sz val="10"/>
            <color indexed="81"/>
            <rFont val="MS P ゴシック"/>
            <family val="3"/>
            <charset val="128"/>
          </rPr>
          <t>末番５を１２台含む</t>
        </r>
      </text>
    </comment>
    <comment ref="R550" authorId="1" guid="{BF95F673-8B3D-4093-A728-4CBD5261A23E}" shapeId="0" xr:uid="{2FD88837-FD6F-4D8F-AC15-D052A84120AB}">
      <text>
        <r>
          <rPr>
            <b/>
            <sz val="9"/>
            <color indexed="81"/>
            <rFont val="MS P ゴシック"/>
            <family val="3"/>
            <charset val="128"/>
          </rPr>
          <t>５台乗せの台車が必要です。</t>
        </r>
      </text>
    </comment>
    <comment ref="C571" authorId="1" guid="{2FB0B121-FAFA-4BF8-BF44-D279CFEAD2A1}" shapeId="0" xr:uid="{D11246F4-E744-4E12-88EC-AD1C5094D499}">
      <text>
        <r>
          <rPr>
            <b/>
            <sz val="11"/>
            <color indexed="81"/>
            <rFont val="MS P ゴシック"/>
            <family val="3"/>
            <charset val="128"/>
          </rPr>
          <t xml:space="preserve">2台　行き先が違う為2台入りの網台車必要
末番5ヘの変更依頼中
末番4の発注は取り消し
末番5で再注文があります。
</t>
        </r>
      </text>
    </comment>
    <comment ref="Q576" authorId="1" guid="{1D4A6617-D75D-4CA5-81DD-8D758FC36B30}" shapeId="0" xr:uid="{75955DBB-2D91-4746-ACD7-A2D8E3EBC2AC}">
      <text>
        <r>
          <rPr>
            <b/>
            <sz val="11"/>
            <color indexed="81"/>
            <rFont val="MS P ゴシック"/>
            <family val="3"/>
            <charset val="128"/>
          </rPr>
          <t xml:space="preserve">2台　行き先が違う為2台入りの網台車必要
末番5ヘの変更依頼中
末番4の発注は取り消し
末番5で再注文があります。
</t>
        </r>
      </text>
    </comment>
    <comment ref="AB585" authorId="1" guid="{027A0016-C00C-4164-8658-F7CEF04D8953}" shapeId="0" xr:uid="{41B087CE-D14A-4606-B75D-C0DB4016CDF2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西日本部品センター行　２台あり
</t>
        </r>
      </text>
    </comment>
    <comment ref="C591" authorId="1" guid="{7826DC60-DB72-4650-B1D6-08474C1209D1}" shapeId="0" xr:uid="{5691AC8C-26BA-4447-B76F-D0B22BF60569}">
      <text>
        <r>
          <rPr>
            <b/>
            <sz val="11"/>
            <color indexed="81"/>
            <rFont val="MS P ゴシック"/>
            <family val="3"/>
            <charset val="128"/>
          </rPr>
          <t>試作部行き　1台必要</t>
        </r>
      </text>
    </comment>
    <comment ref="AB595" authorId="1" guid="{AF6343CE-8556-483A-8BD2-3A16F7E53BB8}" shapeId="0" xr:uid="{9BA82DDB-5875-42EE-B1B2-5C752BDE51EE}">
      <text>
        <r>
          <rPr>
            <b/>
            <sz val="11"/>
            <color indexed="81"/>
            <rFont val="MS P ゴシック"/>
            <family val="3"/>
            <charset val="128"/>
          </rPr>
          <t>試作部行き　1台</t>
        </r>
      </text>
    </comment>
    <comment ref="AA672" authorId="1" guid="{B8A3AD7A-AD4A-42F2-BBAF-5581B3B3EB1C}" shapeId="0" xr:uid="{2B32F183-4155-4998-B3FA-A79965E1BC3C}">
      <text>
        <r>
          <rPr>
            <b/>
            <sz val="12"/>
            <color indexed="81"/>
            <rFont val="MS P ゴシック"/>
            <family val="3"/>
            <charset val="128"/>
          </rPr>
          <t>3台</t>
        </r>
      </text>
    </comment>
    <comment ref="AA689" authorId="1" guid="{951A7782-8E2C-4BD4-846F-0A5AFE4AE355}" shapeId="0" xr:uid="{7457A3A5-587A-4BF9-B0D2-7974AD437541}">
      <text>
        <r>
          <rPr>
            <b/>
            <sz val="9"/>
            <color indexed="81"/>
            <rFont val="MS P ゴシック"/>
            <family val="3"/>
            <charset val="128"/>
          </rPr>
          <t>3台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AB793" authorId="4" guid="{BC416218-5CFA-453F-BB71-5172D6B30B59}" shapeId="0" xr:uid="{B66DB014-F231-4A2C-A880-81169FE2C907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共立海山工場向け2台
</t>
        </r>
      </text>
    </comment>
    <comment ref="AA798" authorId="1" guid="{B03E5BF7-9083-4FA0-A027-02E32606A5B9}" shapeId="0" xr:uid="{16919EA3-9D6B-44B3-8632-F370F393C97C}">
      <text>
        <r>
          <rPr>
            <b/>
            <sz val="11"/>
            <color indexed="81"/>
            <rFont val="MS P ゴシック"/>
            <family val="3"/>
            <charset val="128"/>
          </rPr>
          <t xml:space="preserve">+9台 (8/20追加)
</t>
        </r>
      </text>
    </comment>
    <comment ref="AA835" authorId="1" guid="{28AF5315-2838-40AB-AE48-40336F19E1EC}" shapeId="0" xr:uid="{762FAC90-73F5-4466-BA90-F9D0D1D5573A}">
      <text>
        <r>
          <rPr>
            <b/>
            <sz val="10"/>
            <color indexed="81"/>
            <rFont val="MS P ゴシック"/>
            <family val="3"/>
            <charset val="128"/>
          </rPr>
          <t xml:space="preserve">10/1納期
GPM向け 初物 15台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morikawa</author>
    <author>y-hara</author>
    <author>Gyomu</author>
    <author>tsujioka</author>
  </authors>
  <commentList>
    <comment ref="AG3" authorId="0" guid="{C2A171D7-F95B-4A75-8E71-D2E87A9FD8DB}" shapeId="0" xr:uid="{CC269833-1024-46E3-85CC-C7C3FF520F8C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アミ1
</t>
        </r>
      </text>
    </comment>
    <comment ref="C32" authorId="1" guid="{E7A5CC1D-8D86-4236-8537-0D2C2F8CD79E}" shapeId="0" xr:uid="{3EBA805A-971A-4E97-92D7-2E41501E690B}">
      <text>
        <r>
          <rPr>
            <b/>
            <sz val="12"/>
            <color indexed="81"/>
            <rFont val="MS P ゴシック"/>
            <family val="3"/>
            <charset val="128"/>
          </rPr>
          <t xml:space="preserve">検査指示あり
</t>
        </r>
      </text>
    </comment>
    <comment ref="AG76" authorId="0" guid="{429B5412-2504-43A3-A846-F22C245A8F22}" shapeId="0" xr:uid="{776649D7-1DF2-42D9-8A51-560ADBD45089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アミ12
</t>
        </r>
      </text>
    </comment>
    <comment ref="AG80" authorId="0" guid="{33589BE7-78F2-44DB-BC1A-5C924D5AC5CB}" shapeId="0" xr:uid="{BE312D7A-E5B6-466B-BD2E-E3D5A6D9E287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アミ3</t>
        </r>
      </text>
    </comment>
    <comment ref="AG88" authorId="0" guid="{6E4E5119-CD46-4AB0-A2CB-8E311A658C5A}" shapeId="0" xr:uid="{C258C700-70EF-4E0A-ADA1-52366E235E80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アミ1
</t>
        </r>
      </text>
    </comment>
    <comment ref="AG102" authorId="0" guid="{94E12A8D-1E16-4C3F-B920-C7843D386EF9}" shapeId="0" xr:uid="{A23589AB-E114-45E3-99D6-6D0D15604ECD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アミ6</t>
        </r>
      </text>
    </comment>
    <comment ref="AG104" authorId="0" guid="{DF68B212-E661-4595-8E04-05A15F5543F8}" shapeId="0" xr:uid="{5463564F-F5E3-43BA-BFDB-72057BE1744F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アミ6</t>
        </r>
      </text>
    </comment>
    <comment ref="AG107" authorId="0" guid="{7FC2639D-157D-4E47-A486-BCB2FF06881F}" shapeId="0" xr:uid="{1C08D251-DE21-4E0A-BF5F-3CB98CF17EAB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アミ7
</t>
        </r>
      </text>
    </comment>
    <comment ref="AG110" authorId="0" guid="{A245A7C8-1960-43CE-BA82-2FFB3773204B}" shapeId="0" xr:uid="{8D67A954-B32D-4386-949A-E98EA44C0BB4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アミ6</t>
        </r>
      </text>
    </comment>
    <comment ref="AG111" authorId="0" guid="{43F1BD89-67A1-460C-82B4-D1059AD36FBB}" shapeId="0" xr:uid="{7979AD97-539E-4F37-8783-104896E31352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アミ5
</t>
        </r>
      </text>
    </comment>
    <comment ref="AG114" authorId="0" guid="{ACF3BB59-AFC7-48B8-A457-E26F43828759}" shapeId="0" xr:uid="{C1A0AA09-4489-4EA7-B376-913CCFE1BE24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アミ11
</t>
        </r>
      </text>
    </comment>
    <comment ref="AG115" authorId="0" guid="{B81BA85B-38C5-43BF-8BC1-B603B7258F9D}" shapeId="0" xr:uid="{B32DFF9A-CE4B-4A67-A5D5-CDD0A8E59E9A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アミ2
</t>
        </r>
      </text>
    </comment>
    <comment ref="AG116" authorId="1" guid="{28759695-9D2C-488C-BAAF-89A03226198D}" shapeId="0" xr:uid="{E5950A51-9B8A-4A6C-8E25-9F6555A85471}">
      <text>
        <r>
          <rPr>
            <b/>
            <sz val="9"/>
            <color indexed="81"/>
            <rFont val="MS P ゴシック"/>
            <family val="3"/>
            <charset val="128"/>
          </rPr>
          <t>網　10</t>
        </r>
      </text>
    </comment>
    <comment ref="AG118" authorId="0" guid="{162F9246-DBF9-4AC2-9740-C24B43649059}" shapeId="0" xr:uid="{6C6C5DD3-4B59-44AC-A1D2-9DDFFCE17F75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アミ11＋アミ6
</t>
        </r>
      </text>
    </comment>
    <comment ref="AA121" authorId="1" guid="{5C8ADAB8-ECBF-4392-91AA-8FB22FCC2DF4}" shapeId="0" xr:uid="{8D4FC972-62FE-49DC-9C0D-6313D6ADAB05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3/3調整
</t>
        </r>
      </text>
    </comment>
    <comment ref="AG121" authorId="0" guid="{069B0CEA-492F-4047-8F56-DECA60055F0D}" shapeId="0" xr:uid="{34704E0D-116B-4028-9599-BFFFCC41399B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アミ6</t>
        </r>
      </text>
    </comment>
    <comment ref="AG122" authorId="0" guid="{78B532E3-C531-4C2F-9281-1D04F3D54183}" shapeId="0" xr:uid="{6AAFB91F-0C2C-4BA2-A7DC-C520CC02F28D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アミ3</t>
        </r>
      </text>
    </comment>
    <comment ref="AG123" authorId="0" guid="{C4995740-30B7-49A3-8CE2-10A872B54E8B}" shapeId="0" xr:uid="{FA022BEF-31D0-43DD-8566-8FC98B6CBDAF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アミ3</t>
        </r>
      </text>
    </comment>
    <comment ref="AG124" authorId="0" guid="{EBF9D0DA-B3FA-4FE4-8913-F82F57DD5C09}" shapeId="0" xr:uid="{9A1B5E50-51A0-46F7-A6FD-570ED2AF6F69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アミ6+2
</t>
        </r>
      </text>
    </comment>
    <comment ref="AG128" authorId="0" guid="{216B7EFF-B002-4445-94F9-2047805B7964}" shapeId="0" xr:uid="{A477898D-1597-44A6-B5D8-0246A44411C4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アミ6
</t>
        </r>
      </text>
    </comment>
    <comment ref="AG129" authorId="0" guid="{693186E8-DFB0-42FE-A078-ADD11D85E9E5}" shapeId="0" xr:uid="{E062B7B5-E073-4326-A78D-E899BDC137E2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アミ5
</t>
        </r>
      </text>
    </comment>
    <comment ref="A130" authorId="1" guid="{EE8D5795-3FEC-4382-B830-51C9CC0C73E6}" shapeId="0" xr:uid="{9BB27BB6-6539-407E-9AE6-CD91DB9351E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クボタ内で109台マイナス
</t>
        </r>
      </text>
    </comment>
    <comment ref="AG130" authorId="0" guid="{4A915594-0793-4B93-A07F-5ED4B237FF9C}" shapeId="0" xr:uid="{DCBB8182-DD1B-4B5A-9CED-4C2EC25A716B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アミ3
</t>
        </r>
      </text>
    </comment>
    <comment ref="AG131" authorId="0" guid="{4CF86113-4BC3-4EDE-9F55-BBC2278BE31C}" shapeId="0" xr:uid="{AFBC7C17-6F32-4116-9BED-214D128F4EE8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アミ9
</t>
        </r>
      </text>
    </comment>
    <comment ref="AG142" authorId="0" guid="{A006ED6E-D211-4BB8-9DC7-73ED8AE30AE2}" shapeId="0" xr:uid="{13EECBAB-1997-411F-832D-B130B0D6DAA2}">
      <text>
        <r>
          <rPr>
            <b/>
            <sz val="9"/>
            <color indexed="81"/>
            <rFont val="MS P ゴシック"/>
            <family val="3"/>
            <charset val="128"/>
          </rPr>
          <t>morikawa:
アミ17</t>
        </r>
      </text>
    </comment>
    <comment ref="AG145" authorId="0" guid="{E079606C-7B6D-4666-92DF-D3250BFCF227}" shapeId="0" xr:uid="{FDEE53C0-AD06-49C6-88C4-8A662E70A034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アミ6
</t>
        </r>
      </text>
    </comment>
    <comment ref="AG149" authorId="0" guid="{9533FE58-E484-4BFF-AEFD-2E3C31EA29C7}" shapeId="0" xr:uid="{05046EA8-93F0-4C22-91AE-A03A50C8A862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アミ6
</t>
        </r>
      </text>
    </comment>
    <comment ref="AG150" authorId="0" guid="{AE933515-2879-424A-A238-7D432C2099E1}" shapeId="0" xr:uid="{86FE8DF5-1B08-493B-9B1E-9640249E89F3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アミ9
</t>
        </r>
      </text>
    </comment>
    <comment ref="AG151" authorId="0" guid="{858C4979-D0CB-434E-8B30-43B908B4B960}" shapeId="0" xr:uid="{1A0E361A-06BF-4FFA-99B7-94B6971ADC33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アミ9
</t>
        </r>
      </text>
    </comment>
    <comment ref="AG153" authorId="0" guid="{2AC5CA0C-18BC-4A5F-BE94-A4B2D8D412E8}" shapeId="0" xr:uid="{9CC9D6CD-F5F1-46F6-AC87-E1B8D553667A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アミ17
</t>
        </r>
      </text>
    </comment>
    <comment ref="AG156" authorId="0" guid="{F4A86C64-470A-4BEC-A9FD-BDF0B9B35E24}" shapeId="0" xr:uid="{840D99A9-756A-4876-A057-143701351C29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アミ21
</t>
        </r>
      </text>
    </comment>
    <comment ref="AG157" authorId="0" guid="{62C37BDE-9E0F-486D-B154-04B9F56AD612}" shapeId="0" xr:uid="{DCDB9531-5B1A-4685-BC72-C81F4CE2A1EA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アミ6
</t>
        </r>
      </text>
    </comment>
    <comment ref="AG158" authorId="0" guid="{0A744943-E662-4C0B-A496-DB301C39D6A8}" shapeId="0" xr:uid="{F69CA8D6-530D-4F20-82AC-D601E2039C3A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アミ6
</t>
        </r>
      </text>
    </comment>
    <comment ref="AG159" authorId="0" guid="{6408B04B-B268-4555-B9F9-67A3C8B76D22}" shapeId="0" xr:uid="{D18C6264-1BC5-4365-A697-ECE04188C704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アミ17
</t>
        </r>
      </text>
    </comment>
    <comment ref="AG160" authorId="0" guid="{509AD9E9-5020-40B7-A909-0DB728529F23}" shapeId="0" xr:uid="{7785E094-916F-4AC4-B6C0-E29FC9532715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アミ28
</t>
        </r>
      </text>
    </comment>
    <comment ref="AG164" authorId="0" guid="{5BA5C249-3039-49E9-BDD5-F19FBF965A4F}" shapeId="0" xr:uid="{9344DB2C-EBCD-419C-B6DA-47B466B8C393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アミ1
</t>
        </r>
      </text>
    </comment>
    <comment ref="AG165" authorId="0" guid="{D83A681D-2E67-430F-A0C3-A82E77A2AF9A}" shapeId="0" xr:uid="{6C367215-B7B2-45E1-968F-7220F6CDB1CB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アミ6
</t>
        </r>
      </text>
    </comment>
    <comment ref="AG166" authorId="0" guid="{CDF8AF8B-8655-441F-8536-BC66DA019AD4}" shapeId="0" xr:uid="{FA3FB54D-E6D3-4E21-833A-9B7C3173552C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アミ34
</t>
        </r>
      </text>
    </comment>
    <comment ref="AG167" authorId="0" guid="{3E48F3AB-2B99-4E50-A075-9E0BEE0D4EAC}" shapeId="0" xr:uid="{F4DCD651-1E89-47C6-BF96-19B39E9B2759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アミ5</t>
        </r>
      </text>
    </comment>
    <comment ref="AG170" authorId="0" guid="{D5E4A636-6C22-40E3-8A14-D5370E0420FB}" shapeId="0" xr:uid="{6762A3DE-63D7-4EF1-B360-5034939A1C93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アミ2
</t>
        </r>
      </text>
    </comment>
    <comment ref="AG172" authorId="0" guid="{12B2DC45-5166-41FF-BED0-2C7F61CA8C4B}" shapeId="0" xr:uid="{419644C9-96D4-4404-9384-01793EAC4EE5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アミ13
</t>
        </r>
      </text>
    </comment>
    <comment ref="AG173" authorId="0" guid="{3DA85D7D-D9B0-4A3F-A9F5-16DBA05F62C6}" shapeId="0" xr:uid="{6828C889-A4C6-477C-B8EB-83EB5152E2F3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アミ2
</t>
        </r>
      </text>
    </comment>
    <comment ref="AG177" authorId="0" guid="{F501D455-FAE4-49AE-B329-5DA6A8BBDC0E}" shapeId="0" xr:uid="{63D2930E-50DA-4F66-B90A-7F60F5A6257F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アミ12
</t>
        </r>
      </text>
    </comment>
    <comment ref="AG178" authorId="0" guid="{3AB5CB90-A90D-46F7-AB0A-BA162F20103E}" shapeId="0" xr:uid="{CC08BC9C-5DE2-4067-ACB3-79B9EFFB0F6A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アミ13
</t>
        </r>
      </text>
    </comment>
    <comment ref="AG179" authorId="0" guid="{8201A219-7A46-443C-8BFE-81B499728FFF}" shapeId="0" xr:uid="{C0099F57-C720-4AA8-99B9-6568919A871F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アミ13
</t>
        </r>
      </text>
    </comment>
    <comment ref="AG186" authorId="0" guid="{CA518C15-2DD7-4509-B75F-792FBE884CD6}" shapeId="0" xr:uid="{60009FAF-7698-489F-9AB5-133A7CC21EC5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アミ8
</t>
        </r>
      </text>
    </comment>
    <comment ref="AG187" authorId="0" guid="{ACC173FC-D26E-4657-B8AE-25A44B746BDC}" shapeId="0" xr:uid="{002229D1-866B-427E-9DEA-9875C5382139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アミ18
</t>
        </r>
      </text>
    </comment>
    <comment ref="AG188" authorId="0" guid="{87E79C1D-1AD3-4CE9-A346-1558422D77DB}" shapeId="0" xr:uid="{F3BA8DEA-D8FD-4A99-B7B1-D61C6BCB9CCF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アミ18
</t>
        </r>
      </text>
    </comment>
    <comment ref="AG191" authorId="0" guid="{84B8BC3A-91DC-4B54-B274-D7734ABCF6A0}" shapeId="0" xr:uid="{5B5DAC7E-EE66-41CF-8F8D-6AD977BDF008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アミ5
</t>
        </r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アミ2
</t>
        </r>
      </text>
    </comment>
    <comment ref="AG192" authorId="0" guid="{FB11554E-41FB-43A3-8371-FC8B57A8018B}" shapeId="0" xr:uid="{F0DACE69-E253-479B-99BE-A745B7E2DDA7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アミ14
</t>
        </r>
      </text>
    </comment>
    <comment ref="AG193" authorId="0" guid="{DAE8C9CB-C15B-462B-AD95-94E0C3C3CE56}" shapeId="0" xr:uid="{1D2B6323-2DC8-4886-9D4D-4C57C15AF1AC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アミ9
</t>
        </r>
      </text>
    </comment>
    <comment ref="AG194" authorId="0" guid="{CF062D3D-927F-4BE0-9AF1-F2FF77C10E64}" shapeId="0" xr:uid="{54D4E9EF-8735-4B60-B2BE-822AE537BE07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アミ1
</t>
        </r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アミ３
</t>
        </r>
      </text>
    </comment>
    <comment ref="AG195" authorId="0" guid="{A343B298-51D2-42F3-B7E1-26D8335E156B}" shapeId="0" xr:uid="{E3DECA1B-A64E-4086-9C21-692485D57804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アミ9
</t>
        </r>
      </text>
    </comment>
    <comment ref="AG199" authorId="0" guid="{F62F29A9-7059-4484-883E-EA6EA977E07A}" shapeId="0" xr:uid="{925B16EE-EA05-408D-A75B-51B3FD73DF5E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アミ4
</t>
        </r>
      </text>
    </comment>
    <comment ref="AG202" authorId="0" guid="{D828977A-D557-4BAD-BB7E-B86BF3EDA804}" shapeId="0" xr:uid="{276EC9AF-C759-4947-9F02-5A0B5A609E65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アミ6
</t>
        </r>
      </text>
    </comment>
    <comment ref="AG205" authorId="0" guid="{1386737C-59E2-4AA8-B628-31529BF30154}" shapeId="0" xr:uid="{8863FB5C-8622-4D14-AB46-A60247F40B4D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アミ7
</t>
        </r>
      </text>
    </comment>
    <comment ref="AG213" authorId="0" guid="{C546C6E8-11B5-4C84-8172-E42ECBC0876C}" shapeId="0" xr:uid="{D053AEF5-9E93-4AB0-A8D0-E48FAFA48F14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アミ6
</t>
        </r>
      </text>
    </comment>
    <comment ref="AG214" authorId="0" guid="{72118635-8400-49D5-BC10-3CC6B4BEE148}" shapeId="0" xr:uid="{A806C2EB-CB92-4B3C-AB58-FD99B8212B0F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18+4
</t>
        </r>
      </text>
    </comment>
    <comment ref="AG215" authorId="0" guid="{7576E790-3F64-49B6-B337-F2529BE2024E}" shapeId="0" xr:uid="{ACAFA670-E49A-4F86-8686-B8A85CC73FC9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アミ4
</t>
        </r>
      </text>
    </comment>
    <comment ref="AG216" authorId="2" guid="{6EDBA0BB-FF75-4FEF-B211-A168ECD48A52}" shapeId="0" xr:uid="{4FF0A618-1C35-4A22-839E-E40762DD5291}">
      <text>
        <r>
          <rPr>
            <b/>
            <sz val="9"/>
            <color indexed="81"/>
            <rFont val="MS P ゴシック"/>
            <family val="3"/>
            <charset val="128"/>
          </rPr>
          <t>Gyomu:</t>
        </r>
        <r>
          <rPr>
            <sz val="9"/>
            <color indexed="81"/>
            <rFont val="MS P ゴシック"/>
            <family val="3"/>
            <charset val="128"/>
          </rPr>
          <t xml:space="preserve">
アミ21</t>
        </r>
      </text>
    </comment>
    <comment ref="AG220" authorId="2" guid="{516C04DE-D9EC-4A4D-AC61-D5CAE371C992}" shapeId="0" xr:uid="{00FAEFD7-5CB8-437D-90DA-082684CBC322}">
      <text>
        <r>
          <rPr>
            <b/>
            <sz val="9"/>
            <color indexed="81"/>
            <rFont val="MS P ゴシック"/>
            <family val="3"/>
            <charset val="128"/>
          </rPr>
          <t>Gyomu:</t>
        </r>
        <r>
          <rPr>
            <sz val="9"/>
            <color indexed="81"/>
            <rFont val="MS P ゴシック"/>
            <family val="3"/>
            <charset val="128"/>
          </rPr>
          <t xml:space="preserve">
アミ3
</t>
        </r>
      </text>
    </comment>
    <comment ref="AG221" authorId="2" guid="{7AF678D3-CA26-40F9-9E1B-5594ECAFCAD3}" shapeId="0" xr:uid="{5CD81ACD-1212-4E35-A78F-171A3FB2601F}">
      <text>
        <r>
          <rPr>
            <b/>
            <sz val="9"/>
            <color indexed="81"/>
            <rFont val="MS P ゴシック"/>
            <family val="3"/>
            <charset val="128"/>
          </rPr>
          <t>Gyomu:</t>
        </r>
        <r>
          <rPr>
            <sz val="9"/>
            <color indexed="81"/>
            <rFont val="MS P ゴシック"/>
            <family val="3"/>
            <charset val="128"/>
          </rPr>
          <t xml:space="preserve">
アミ10+9
</t>
        </r>
      </text>
    </comment>
    <comment ref="AG222" authorId="2" guid="{85CED0DD-BF8A-4050-BAC9-EE8FB19C024B}" shapeId="0" xr:uid="{4539AD37-86ED-453A-A9AA-C17CC2017563}">
      <text>
        <r>
          <rPr>
            <b/>
            <sz val="9"/>
            <color indexed="81"/>
            <rFont val="MS P ゴシック"/>
            <family val="3"/>
            <charset val="128"/>
          </rPr>
          <t>Gyomu:</t>
        </r>
        <r>
          <rPr>
            <sz val="9"/>
            <color indexed="81"/>
            <rFont val="MS P ゴシック"/>
            <family val="3"/>
            <charset val="128"/>
          </rPr>
          <t xml:space="preserve">
アミ12
</t>
        </r>
      </text>
    </comment>
    <comment ref="AG223" authorId="2" guid="{CA556E91-05E0-4F00-972C-2632EC91B735}" shapeId="0" xr:uid="{A053E1A7-E832-4468-85FD-E6E036835850}">
      <text>
        <r>
          <rPr>
            <b/>
            <sz val="9"/>
            <color indexed="81"/>
            <rFont val="MS P ゴシック"/>
            <family val="3"/>
            <charset val="128"/>
          </rPr>
          <t>Gyomu:</t>
        </r>
        <r>
          <rPr>
            <sz val="9"/>
            <color indexed="81"/>
            <rFont val="MS P ゴシック"/>
            <family val="3"/>
            <charset val="128"/>
          </rPr>
          <t xml:space="preserve">
アミ2
</t>
        </r>
      </text>
    </comment>
    <comment ref="AG226" authorId="2" guid="{1EFE1618-A08A-4059-9C1C-3156D4357A6E}" shapeId="0" xr:uid="{1A1E3977-954A-4B78-B802-5E9342047930}">
      <text>
        <r>
          <rPr>
            <b/>
            <sz val="9"/>
            <color indexed="81"/>
            <rFont val="MS P ゴシック"/>
            <family val="3"/>
            <charset val="128"/>
          </rPr>
          <t>Gyomu:</t>
        </r>
        <r>
          <rPr>
            <sz val="9"/>
            <color indexed="81"/>
            <rFont val="MS P ゴシック"/>
            <family val="3"/>
            <charset val="128"/>
          </rPr>
          <t xml:space="preserve">
アミ2
</t>
        </r>
      </text>
    </comment>
    <comment ref="AG227" authorId="2" guid="{7013CD29-E234-4264-9194-DA53F25ED46F}" shapeId="0" xr:uid="{8E8CDCCE-4C45-4854-8C78-2353B198B07F}">
      <text>
        <r>
          <rPr>
            <b/>
            <sz val="9"/>
            <color indexed="81"/>
            <rFont val="MS P ゴシック"/>
            <family val="3"/>
            <charset val="128"/>
          </rPr>
          <t>Gyomu:</t>
        </r>
        <r>
          <rPr>
            <sz val="9"/>
            <color indexed="81"/>
            <rFont val="MS P ゴシック"/>
            <family val="3"/>
            <charset val="128"/>
          </rPr>
          <t xml:space="preserve">
アミ3
</t>
        </r>
      </text>
    </comment>
    <comment ref="AG229" authorId="3" guid="{A51F7E8D-2F19-4FB8-AE49-31631608A672}" shapeId="0" xr:uid="{0A0D080E-0FD0-46ED-858E-01588CC72C45}">
      <text>
        <r>
          <rPr>
            <b/>
            <sz val="9"/>
            <color indexed="81"/>
            <rFont val="MS P ゴシック"/>
            <family val="3"/>
            <charset val="128"/>
          </rPr>
          <t>tsujioka:</t>
        </r>
        <r>
          <rPr>
            <sz val="9"/>
            <color indexed="81"/>
            <rFont val="MS P ゴシック"/>
            <family val="3"/>
            <charset val="128"/>
          </rPr>
          <t xml:space="preserve">
アミ18
</t>
        </r>
      </text>
    </comment>
    <comment ref="AG241" authorId="3" guid="{34324633-B6DA-433D-8791-9350FADBA429}" shapeId="0" xr:uid="{5A4B938A-3CA6-4210-B63D-176903BA5B03}">
      <text>
        <r>
          <rPr>
            <b/>
            <sz val="9"/>
            <color indexed="81"/>
            <rFont val="MS P ゴシック"/>
            <family val="3"/>
            <charset val="128"/>
          </rPr>
          <t>tsujioka:</t>
        </r>
        <r>
          <rPr>
            <sz val="9"/>
            <color indexed="81"/>
            <rFont val="MS P ゴシック"/>
            <family val="3"/>
            <charset val="128"/>
          </rPr>
          <t xml:space="preserve">
アミ12
</t>
        </r>
      </text>
    </comment>
    <comment ref="M247" authorId="1" guid="{EDD0DCCA-C741-46D6-8878-D3C5E644CAB9}" shapeId="0" xr:uid="{CAB39A24-842E-42AC-ADEB-99981F7AD021}">
      <text>
        <r>
          <rPr>
            <b/>
            <sz val="9"/>
            <color indexed="81"/>
            <rFont val="MS P ゴシック"/>
            <family val="3"/>
            <charset val="128"/>
          </rPr>
          <t>ＧＰＭ向け　コーキングなし品
１台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Y247" authorId="1" guid="{13FFE7A6-FF29-4E0A-B52F-AE357656EA4C}" shapeId="0" xr:uid="{B12EC64F-0B97-4FBF-B214-07E2275ECE3E}">
      <text>
        <r>
          <rPr>
            <b/>
            <sz val="9"/>
            <color indexed="81"/>
            <rFont val="MS P ゴシック"/>
            <family val="3"/>
            <charset val="128"/>
          </rPr>
          <t>ＧＰＭ向け コーキングなし品
１台</t>
        </r>
      </text>
    </comment>
    <comment ref="AG254" authorId="3" guid="{EE1D14DB-2A9B-473F-A4C1-2C6835345403}" shapeId="0" xr:uid="{0647380F-7432-4173-BADC-713D0DF9FFB8}">
      <text>
        <r>
          <rPr>
            <b/>
            <sz val="9"/>
            <color indexed="81"/>
            <rFont val="MS P ゴシック"/>
            <family val="3"/>
            <charset val="128"/>
          </rPr>
          <t>tsujioka:</t>
        </r>
        <r>
          <rPr>
            <sz val="9"/>
            <color indexed="81"/>
            <rFont val="MS P ゴシック"/>
            <family val="3"/>
            <charset val="128"/>
          </rPr>
          <t xml:space="preserve">
アミ1
</t>
        </r>
      </text>
    </comment>
    <comment ref="Y264" authorId="3" guid="{F6BF76CD-E258-45B2-869E-3EC28846E01D}" shapeId="0" xr:uid="{343E468D-2ED5-4DED-B453-09902BDBBDAB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生産外納所分4台有
2台車に分配要
</t>
        </r>
      </text>
    </comment>
    <comment ref="Z264" authorId="3" guid="{4A86AE9F-DD6E-4121-9C26-01A43C804AFD}" shapeId="0" xr:uid="{7B724BC0-834C-4DE7-8D16-FB08FC059EBB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生産外納所分4台有
2台車に分配要
</t>
        </r>
      </text>
    </comment>
    <comment ref="AG268" authorId="3" guid="{580AF476-62E9-435E-9FCA-D1622A323EAA}" shapeId="0" xr:uid="{5487D55A-4073-4842-9394-F1673400BB74}">
      <text>
        <r>
          <rPr>
            <b/>
            <sz val="9"/>
            <color indexed="81"/>
            <rFont val="MS P ゴシック"/>
            <family val="3"/>
            <charset val="128"/>
          </rPr>
          <t>tsujioka:</t>
        </r>
        <r>
          <rPr>
            <sz val="9"/>
            <color indexed="81"/>
            <rFont val="MS P ゴシック"/>
            <family val="3"/>
            <charset val="128"/>
          </rPr>
          <t xml:space="preserve">
アミ1
</t>
        </r>
      </text>
    </comment>
    <comment ref="M296" authorId="1" guid="{7FCFADD2-ACB1-4B91-840D-876F1F8034FA}" shapeId="0" xr:uid="{6BD1D4DC-FD61-4828-B24A-38CEA9074CB0}">
      <text>
        <r>
          <rPr>
            <b/>
            <sz val="10"/>
            <color indexed="81"/>
            <rFont val="MS P ゴシック"/>
            <family val="3"/>
            <charset val="128"/>
          </rPr>
          <t>+6台 (8/20追加)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Y296" authorId="1" guid="{2564CBB3-739F-42DB-9C81-541A9DD67158}" shapeId="0" xr:uid="{435DA7F7-E56C-4C91-8276-53E02551B195}">
      <text>
        <r>
          <rPr>
            <b/>
            <sz val="10"/>
            <color indexed="81"/>
            <rFont val="MS P ゴシック"/>
            <family val="3"/>
            <charset val="128"/>
          </rPr>
          <t xml:space="preserve">+3台 (8/20追加)
</t>
        </r>
      </text>
    </comment>
    <comment ref="AG299" authorId="3" guid="{406DB669-F4AA-4AE5-A490-3A994DBF040F}" shapeId="0" xr:uid="{BD14684C-0A68-41E2-A222-07B83F08311F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アミ6
</t>
        </r>
      </text>
    </comment>
    <comment ref="AA328" authorId="1" guid="{0FC3A9BF-77DE-4C65-9F40-34AA6B798CAC}" shapeId="0" xr:uid="{964C36C7-A081-43CD-8E40-517D02910153}">
      <text>
        <r>
          <rPr>
            <b/>
            <sz val="9"/>
            <color indexed="81"/>
            <rFont val="MS P ゴシック"/>
            <family val="3"/>
            <charset val="128"/>
          </rPr>
          <t>来週の物量が多い為
9/29分 先行納入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y-hara</author>
    <author>gyomu4</author>
    <author>上野理恵</author>
    <author>Gyomu</author>
    <author>morikawa</author>
    <author>tsujioka</author>
  </authors>
  <commentList>
    <comment ref="H4" authorId="0" guid="{93386067-4B24-4D5C-9508-69B4427C4C2A}" shapeId="0" xr:uid="{D08D0037-232B-4845-9097-DA311E3A839A}">
      <text>
        <r>
          <rPr>
            <b/>
            <sz val="9"/>
            <color indexed="81"/>
            <rFont val="MS P ゴシック"/>
            <family val="3"/>
            <charset val="128"/>
          </rPr>
          <t>56</t>
        </r>
      </text>
    </comment>
    <comment ref="H7" authorId="0" guid="{783EB671-9C72-464D-A714-765977DD1E74}" shapeId="0" xr:uid="{8E4ED33A-5885-41CF-9582-2DF45D6F2ECF}">
      <text>
        <r>
          <rPr>
            <b/>
            <sz val="9"/>
            <color indexed="81"/>
            <rFont val="MS P ゴシック"/>
            <family val="3"/>
            <charset val="128"/>
          </rPr>
          <t>56</t>
        </r>
      </text>
    </comment>
    <comment ref="H10" authorId="0" guid="{C6E173A5-54B6-48CA-BB0B-CEFB655C8FDF}" shapeId="0" xr:uid="{C674816E-C917-4F6B-BD83-D5E4DBBA950F}">
      <text>
        <r>
          <rPr>
            <b/>
            <sz val="9"/>
            <color indexed="81"/>
            <rFont val="MS P ゴシック"/>
            <family val="3"/>
            <charset val="128"/>
          </rPr>
          <t>56</t>
        </r>
      </text>
    </comment>
    <comment ref="H11" authorId="0" guid="{AE47631A-0835-4748-B40F-E63D5F115201}" shapeId="0" xr:uid="{047CE219-6FC5-4243-BFDD-5F92C954C692}">
      <text>
        <r>
          <rPr>
            <b/>
            <sz val="9"/>
            <color indexed="81"/>
            <rFont val="MS P ゴシック"/>
            <family val="3"/>
            <charset val="128"/>
          </rPr>
          <t>56</t>
        </r>
      </text>
    </comment>
    <comment ref="H14" authorId="0" guid="{8B0FF7FE-33D9-4E0D-9661-66A1DEB2FB70}" shapeId="0" xr:uid="{1BE7CE25-51CC-4A91-A957-6879179CF7B3}">
      <text>
        <r>
          <rPr>
            <b/>
            <sz val="9"/>
            <color indexed="81"/>
            <rFont val="MS P ゴシック"/>
            <family val="3"/>
            <charset val="128"/>
          </rPr>
          <t>56</t>
        </r>
      </text>
    </comment>
    <comment ref="O14" authorId="1" guid="{104655B4-A0F5-46FD-8BCC-CE485AE63D25}" shapeId="0" xr:uid="{7C3101E3-6E14-4F88-BD24-A7F298DE397D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1アミ</t>
        </r>
      </text>
    </comment>
    <comment ref="H15" authorId="0" guid="{6081C172-9926-4D1A-A53D-D3D7E9F122E0}" shapeId="0" xr:uid="{A20C43E9-64CF-4613-A8B7-399D7227E7F8}">
      <text>
        <r>
          <rPr>
            <b/>
            <sz val="9"/>
            <color indexed="81"/>
            <rFont val="MS P ゴシック"/>
            <family val="3"/>
            <charset val="128"/>
          </rPr>
          <t>56</t>
        </r>
      </text>
    </comment>
    <comment ref="H16" authorId="0" guid="{F6CFA427-3ED3-4505-BD64-1CB7509758FE}" shapeId="0" xr:uid="{94AD09C3-3C3F-436E-A35E-3C45C8B27597}">
      <text>
        <r>
          <rPr>
            <b/>
            <sz val="9"/>
            <color indexed="81"/>
            <rFont val="MS P ゴシック"/>
            <family val="3"/>
            <charset val="128"/>
          </rPr>
          <t>56</t>
        </r>
      </text>
    </comment>
    <comment ref="O16" authorId="1" guid="{37BB7545-E696-4CDF-9068-1B71606D23CE}" shapeId="0" xr:uid="{8D053EE1-538C-43A2-AA26-7B2A12A211CC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アミ2個</t>
        </r>
      </text>
    </comment>
    <comment ref="H18" authorId="0" guid="{7D36D305-4F67-454A-BC83-64663AB2EA85}" shapeId="0" xr:uid="{8A81C4A5-5F8D-43D6-99C4-3D9E6548B424}">
      <text>
        <r>
          <rPr>
            <b/>
            <sz val="9"/>
            <color indexed="81"/>
            <rFont val="MS P ゴシック"/>
            <family val="3"/>
            <charset val="128"/>
          </rPr>
          <t>56</t>
        </r>
      </text>
    </comment>
    <comment ref="K18" authorId="0" guid="{C5C533AD-405F-4C4C-A92B-67ECB40D03ED}" shapeId="0" xr:uid="{8112AFDE-C501-447E-B7B7-077D90EFFD28}">
      <text>
        <r>
          <rPr>
            <b/>
            <sz val="9"/>
            <color indexed="81"/>
            <rFont val="MS P ゴシック"/>
            <family val="3"/>
            <charset val="128"/>
          </rPr>
          <t>朝 21台
夕 40台
端数伝票による</t>
        </r>
      </text>
    </comment>
    <comment ref="H21" authorId="0" guid="{F9A001FD-8C42-4407-AA7F-68AB248F7609}" shapeId="0" xr:uid="{FBC0EA2E-C5FE-4D97-B803-DA063D419BE8}">
      <text>
        <r>
          <rPr>
            <b/>
            <sz val="9"/>
            <color indexed="81"/>
            <rFont val="MS P ゴシック"/>
            <family val="3"/>
            <charset val="128"/>
          </rPr>
          <t>56</t>
        </r>
      </text>
    </comment>
    <comment ref="K21" authorId="1" guid="{94E30740-9F36-4F97-A007-97070B3DD9B5}" shapeId="0" xr:uid="{46E1B5E5-47C3-416D-B182-C3287D5CEFA0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7/4の台車不足により出荷台数変更　56台→40台</t>
        </r>
      </text>
    </comment>
    <comment ref="O21" authorId="1" guid="{91695923-62FE-45C9-B914-20FB0FB95A16}" shapeId="0" xr:uid="{0A1A2250-98EC-4B72-AF9C-3A193EB3652B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8アミ</t>
        </r>
      </text>
    </comment>
    <comment ref="O22" authorId="1" guid="{CBC464DB-E353-4D5F-9909-71D0AC0D520D}" shapeId="0" xr:uid="{1F113488-88DF-4327-9E3E-F943FB457C34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アミ10</t>
        </r>
      </text>
    </comment>
    <comment ref="O23" authorId="1" guid="{4E956179-AB4E-4109-90A1-CD54B5F98D86}" shapeId="0" xr:uid="{70BDFD0F-7C95-466D-93AA-D87811AF7474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アミ3</t>
        </r>
      </text>
    </comment>
    <comment ref="E25" authorId="2" guid="{EF86B592-5DC8-4AAC-B322-F2907D06F26E}" shapeId="0" xr:uid="{60CD21B5-3E4D-4175-B451-58564D3AB46D}">
      <text>
        <r>
          <rPr>
            <b/>
            <sz val="9"/>
            <color indexed="81"/>
            <rFont val="MS P ゴシック"/>
            <family val="3"/>
            <charset val="128"/>
          </rPr>
          <t>上野理恵:</t>
        </r>
        <r>
          <rPr>
            <sz val="9"/>
            <color indexed="81"/>
            <rFont val="MS P ゴシック"/>
            <family val="3"/>
            <charset val="128"/>
          </rPr>
          <t xml:space="preserve">
補用分5台調整</t>
        </r>
      </text>
    </comment>
    <comment ref="O25" authorId="1" guid="{C4191A3D-3997-4E32-B36D-127AB6DFA8C5}" shapeId="0" xr:uid="{14EEE7F0-CFF0-4EA3-96FF-CF150A358A92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アミ2個</t>
        </r>
      </text>
    </comment>
    <comment ref="O28" authorId="1" guid="{D6F88944-B9F1-429F-8E35-C4301B5A2D49}" shapeId="0" xr:uid="{5AD8F2A6-69E3-4BCF-80B7-A17F0C9F7959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gyomu4:
</t>
        </r>
        <r>
          <rPr>
            <sz val="9"/>
            <color indexed="81"/>
            <rFont val="MS P ゴシック"/>
            <family val="3"/>
            <charset val="128"/>
          </rPr>
          <t>アミ３個</t>
        </r>
      </text>
    </comment>
    <comment ref="O30" authorId="1" guid="{914EC287-E7DC-47B2-B103-3ED26612B171}" shapeId="0" xr:uid="{C3B01B6A-BFA1-4034-A7EC-DACEA3E4C907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アミ10個</t>
        </r>
      </text>
    </comment>
    <comment ref="O31" authorId="1" guid="{F7B882F5-00F2-47CB-B7EF-597936C5A8E9}" shapeId="0" xr:uid="{2863402C-6634-417E-AB5B-F042DADCB534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アミ8</t>
        </r>
      </text>
    </comment>
    <comment ref="O32" authorId="1" guid="{541B5284-3218-4161-9334-C474ACFBE40B}" shapeId="0" xr:uid="{C7D547C5-3F31-4E67-94FD-C93A3B7888AF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3アミ</t>
        </r>
      </text>
    </comment>
    <comment ref="O35" authorId="1" guid="{29A9A813-9A41-4455-8D69-1056383CC666}" shapeId="0" xr:uid="{B3EFFF78-B875-4074-9DB1-32412F06AEDD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アミ5</t>
        </r>
      </text>
    </comment>
    <comment ref="G37" authorId="0" guid="{FF0B1594-1663-413E-9C73-EC0C05682561}" shapeId="0" xr:uid="{2E86FBD7-E868-47FE-89FA-2C28EF3895B4}">
      <text>
        <r>
          <rPr>
            <b/>
            <sz val="9"/>
            <color indexed="81"/>
            <rFont val="MS P ゴシック"/>
            <family val="3"/>
            <charset val="128"/>
          </rPr>
          <t>80</t>
        </r>
      </text>
    </comment>
    <comment ref="O39" authorId="1" guid="{0AA14B68-6133-49C8-A55B-7F8CE065EF7F}" shapeId="0" xr:uid="{2A258CB8-653D-4CA9-BDC8-AC518BCB822B}">
      <text>
        <r>
          <rPr>
            <b/>
            <sz val="9"/>
            <color indexed="81"/>
            <rFont val="MS P ゴシック"/>
            <family val="3"/>
            <charset val="128"/>
          </rPr>
          <t>gyomu4:アミ2</t>
        </r>
      </text>
    </comment>
    <comment ref="G43" authorId="0" guid="{E3E3F59C-E555-4EB7-A5AB-8B216FB970AF}" shapeId="0" xr:uid="{51FEAF5C-6A46-4C56-8AAB-F5F792056516}">
      <text>
        <r>
          <rPr>
            <b/>
            <sz val="9"/>
            <color indexed="81"/>
            <rFont val="MS P ゴシック"/>
            <family val="3"/>
            <charset val="128"/>
          </rPr>
          <t>16</t>
        </r>
      </text>
    </comment>
    <comment ref="G44" authorId="0" guid="{ED6E0185-75A6-4F3A-81E1-117DFA7C41DB}" shapeId="0" xr:uid="{D82A8E67-FD25-4C4F-AAB6-4543A200868C}">
      <text>
        <r>
          <rPr>
            <b/>
            <sz val="9"/>
            <color indexed="81"/>
            <rFont val="MS P ゴシック"/>
            <family val="3"/>
            <charset val="128"/>
          </rPr>
          <t>64</t>
        </r>
      </text>
    </comment>
    <comment ref="O44" authorId="1" guid="{BDEDA8B3-A4AB-4283-BA86-2FEB19E0B34F}" shapeId="0" xr:uid="{072B0489-0A9B-4BC4-ADE2-7E2826A62DD0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アミ3
</t>
        </r>
      </text>
    </comment>
    <comment ref="G45" authorId="0" guid="{61D23DBA-A23C-4789-AB65-CBD8562EBBE2}" shapeId="0" xr:uid="{1088902C-CB4A-467D-9DE7-E6D99D87B1A5}">
      <text>
        <r>
          <rPr>
            <b/>
            <sz val="9"/>
            <color indexed="81"/>
            <rFont val="MS P ゴシック"/>
            <family val="3"/>
            <charset val="128"/>
          </rPr>
          <t>64
32</t>
        </r>
      </text>
    </comment>
    <comment ref="O45" authorId="1" guid="{40250AC7-45FE-4C1C-B751-AE768CC63A3A}" shapeId="0" xr:uid="{14C7C3F0-EDE7-401F-BD0B-152C731007F4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アミ9</t>
        </r>
      </text>
    </comment>
    <comment ref="G46" authorId="0" guid="{BB98A227-A67C-495F-B741-E58C40FCD642}" shapeId="0" xr:uid="{3450B15B-D674-4A1E-9625-D34CF74ADFCD}">
      <text>
        <r>
          <rPr>
            <b/>
            <sz val="9"/>
            <color indexed="81"/>
            <rFont val="MS P ゴシック"/>
            <family val="3"/>
            <charset val="128"/>
          </rPr>
          <t>8</t>
        </r>
      </text>
    </comment>
    <comment ref="O46" authorId="0" guid="{460E6F8F-52C8-4E4F-B273-8C7F9D880EA5}" shapeId="0" xr:uid="{D8EE2A7C-BEEF-4127-ABE9-748A6C098A41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ｱﾐ　2
</t>
        </r>
      </text>
    </comment>
    <comment ref="G49" authorId="0" guid="{6FF7145F-9330-43BC-AC08-35BFAC413849}" shapeId="0" xr:uid="{32AE9B02-0ED4-4FB7-B4A6-23CB871C4FE3}">
      <text>
        <r>
          <rPr>
            <b/>
            <sz val="9"/>
            <color indexed="81"/>
            <rFont val="MS P ゴシック"/>
            <family val="3"/>
            <charset val="128"/>
          </rPr>
          <t>64</t>
        </r>
      </text>
    </comment>
    <comment ref="G50" authorId="0" guid="{9CFEDD8F-0748-4764-9785-5D733C78D942}" shapeId="0" xr:uid="{424D4226-B732-4B45-B044-D546AE387EEF}">
      <text>
        <r>
          <rPr>
            <b/>
            <sz val="9"/>
            <color indexed="81"/>
            <rFont val="MS P ゴシック"/>
            <family val="3"/>
            <charset val="128"/>
          </rPr>
          <t>56</t>
        </r>
      </text>
    </comment>
    <comment ref="G51" authorId="0" guid="{28A8BCB7-6084-409C-8E4C-A161B9E67843}" shapeId="0" xr:uid="{CE37BD5B-BF8B-45E2-AC9B-089B398D5F6B}">
      <text>
        <r>
          <rPr>
            <b/>
            <sz val="9"/>
            <color indexed="81"/>
            <rFont val="MS P ゴシック"/>
            <family val="3"/>
            <charset val="128"/>
          </rPr>
          <t>72</t>
        </r>
      </text>
    </comment>
    <comment ref="O51" authorId="1" guid="{FB2E0A58-6087-49BF-8C6D-F0EE41FAAC09}" shapeId="0" xr:uid="{702C9342-CEA0-4537-8D36-637A80BDD1BA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アミ6
</t>
        </r>
      </text>
    </comment>
    <comment ref="O59" authorId="1" guid="{3D5DC496-4D2F-4D7C-9E98-4513758DBBC3}" shapeId="0" xr:uid="{B48E7194-88B3-4554-8067-6A566ECC05BD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アミ4
</t>
        </r>
      </text>
    </comment>
    <comment ref="D60" authorId="2" guid="{D66E492A-C9CB-440E-A68C-6CF5029E2ECA}" shapeId="0" xr:uid="{F274D8FB-95F5-4A50-90FC-84CD7847B2CD}">
      <text>
        <r>
          <rPr>
            <b/>
            <sz val="9"/>
            <color indexed="81"/>
            <rFont val="MS P ゴシック"/>
            <family val="3"/>
            <charset val="128"/>
          </rPr>
          <t>上野理恵:</t>
        </r>
        <r>
          <rPr>
            <sz val="9"/>
            <color indexed="81"/>
            <rFont val="MS P ゴシック"/>
            <family val="3"/>
            <charset val="128"/>
          </rPr>
          <t xml:space="preserve">
台車不足！
</t>
        </r>
      </text>
    </comment>
    <comment ref="O60" authorId="1" guid="{42330AC2-61BC-4F27-BB1A-2E54115D31FE}" shapeId="0" xr:uid="{54EE2747-D0FB-41CC-9A13-7CBF244CB737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アミ2
</t>
        </r>
      </text>
    </comment>
    <comment ref="O64" authorId="1" guid="{541185A6-C227-4FC7-9604-6A63890915AC}" shapeId="0" xr:uid="{9094F506-7070-4D4D-80AE-E4E486515EB1}">
      <text>
        <r>
          <rPr>
            <b/>
            <sz val="9"/>
            <color indexed="81"/>
            <rFont val="MS P ゴシック"/>
            <family val="3"/>
            <charset val="128"/>
          </rPr>
          <t>gyomu4:アミ3</t>
        </r>
      </text>
    </comment>
    <comment ref="O70" authorId="1" guid="{D5BC21E3-5E38-4C9D-94A1-F1CCEA1CE779}" shapeId="0" xr:uid="{FFE54EC5-7F19-4BAF-AD93-E589857CA0B5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アミ5
</t>
        </r>
      </text>
    </comment>
    <comment ref="D72" authorId="2" guid="{E1AAC992-49BA-4B32-A9BE-E4B3E9C2B700}" shapeId="0" xr:uid="{17B3C34D-12D0-4357-8FB7-5EAB6B8F0152}">
      <text>
        <r>
          <rPr>
            <b/>
            <sz val="9"/>
            <color indexed="81"/>
            <rFont val="MS P ゴシック"/>
            <family val="3"/>
            <charset val="128"/>
          </rPr>
          <t>上野理恵:</t>
        </r>
        <r>
          <rPr>
            <sz val="9"/>
            <color indexed="81"/>
            <rFont val="MS P ゴシック"/>
            <family val="3"/>
            <charset val="128"/>
          </rPr>
          <t xml:space="preserve">
台車不足！
</t>
        </r>
      </text>
    </comment>
    <comment ref="O72" authorId="1" guid="{E467800B-2345-40C8-91EC-46B36B6C34FB}" shapeId="0" xr:uid="{5088720B-95F6-49FC-A3DD-78969AA68B4A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アミ6
</t>
        </r>
      </text>
    </comment>
    <comment ref="D77" authorId="2" guid="{00591BD3-220F-4BC0-AC3A-2AEEBE1E5141}" shapeId="0" xr:uid="{81CF729F-3E30-4458-B821-59A4A1D42252}">
      <text>
        <r>
          <rPr>
            <b/>
            <sz val="9"/>
            <color indexed="81"/>
            <rFont val="MS P ゴシック"/>
            <family val="3"/>
            <charset val="128"/>
          </rPr>
          <t>上野理恵:</t>
        </r>
        <r>
          <rPr>
            <sz val="9"/>
            <color indexed="81"/>
            <rFont val="MS P ゴシック"/>
            <family val="3"/>
            <charset val="128"/>
          </rPr>
          <t xml:space="preserve">
台車不足！
</t>
        </r>
      </text>
    </comment>
    <comment ref="E77" authorId="1" guid="{141C13F3-BD40-41DE-98DB-24AED150D7F4}" shapeId="0" xr:uid="{787AE05E-1A2C-4DB2-9700-8DD9F68974A2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gyomu4:
進度が合わないので
調整しました
</t>
        </r>
      </text>
    </comment>
    <comment ref="O78" authorId="1" guid="{E4A26579-291E-4722-94B8-88200C4D5FBA}" shapeId="0" xr:uid="{7A2551B5-8466-48A5-922C-569FCC054E96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アミ2
</t>
        </r>
      </text>
    </comment>
    <comment ref="D81" authorId="2" guid="{1F51CBE0-A703-49D4-8AB0-E45820017853}" shapeId="0" xr:uid="{78CDB44A-01CE-4213-914A-55AFABBDDB70}">
      <text>
        <r>
          <rPr>
            <b/>
            <sz val="9"/>
            <color indexed="81"/>
            <rFont val="MS P ゴシック"/>
            <family val="3"/>
            <charset val="128"/>
          </rPr>
          <t>上野理恵:</t>
        </r>
        <r>
          <rPr>
            <sz val="9"/>
            <color indexed="81"/>
            <rFont val="MS P ゴシック"/>
            <family val="3"/>
            <charset val="128"/>
          </rPr>
          <t xml:space="preserve">
台車不足！
</t>
        </r>
      </text>
    </comment>
    <comment ref="D85" authorId="2" guid="{95AF3584-8EC7-4E3F-99F0-AF6D5E598AF8}" shapeId="0" xr:uid="{91B3C1CE-215B-44F5-9260-ACE1CA4F7A3B}">
      <text>
        <r>
          <rPr>
            <b/>
            <sz val="9"/>
            <color indexed="81"/>
            <rFont val="MS P ゴシック"/>
            <family val="3"/>
            <charset val="128"/>
          </rPr>
          <t>上野理恵:</t>
        </r>
        <r>
          <rPr>
            <sz val="9"/>
            <color indexed="81"/>
            <rFont val="MS P ゴシック"/>
            <family val="3"/>
            <charset val="128"/>
          </rPr>
          <t xml:space="preserve">
台車不足！
</t>
        </r>
      </text>
    </comment>
    <comment ref="D86" authorId="2" guid="{6DA902FA-8DC2-46F9-8317-DE3FB32D4881}" shapeId="0" xr:uid="{E139A6A0-113E-4D18-BB0F-61B3B3083AED}">
      <text>
        <r>
          <rPr>
            <b/>
            <sz val="9"/>
            <color indexed="81"/>
            <rFont val="MS P ゴシック"/>
            <family val="3"/>
            <charset val="128"/>
          </rPr>
          <t>上野理恵:</t>
        </r>
        <r>
          <rPr>
            <sz val="9"/>
            <color indexed="81"/>
            <rFont val="MS P ゴシック"/>
            <family val="3"/>
            <charset val="128"/>
          </rPr>
          <t xml:space="preserve">
台車不足！
</t>
        </r>
      </text>
    </comment>
    <comment ref="O86" authorId="1" guid="{3F0F12B9-215F-46B9-89F8-C003B3ECDC36}" shapeId="0" xr:uid="{32BFE2CA-27E3-4120-8A7E-55F663187FB4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アミ4
</t>
        </r>
      </text>
    </comment>
    <comment ref="D87" authorId="2" guid="{59039503-055B-4123-B1B2-067499840FB5}" shapeId="0" xr:uid="{263A893C-14E0-4A73-967C-B4666BD48162}">
      <text>
        <r>
          <rPr>
            <b/>
            <sz val="9"/>
            <color indexed="81"/>
            <rFont val="MS P ゴシック"/>
            <family val="3"/>
            <charset val="128"/>
          </rPr>
          <t>上野理恵:</t>
        </r>
        <r>
          <rPr>
            <sz val="9"/>
            <color indexed="81"/>
            <rFont val="MS P ゴシック"/>
            <family val="3"/>
            <charset val="128"/>
          </rPr>
          <t xml:space="preserve">
台車不足！
</t>
        </r>
      </text>
    </comment>
    <comment ref="D88" authorId="2" guid="{FF08A6A5-EFC0-4465-BACF-2087A661DB67}" shapeId="0" xr:uid="{DB204440-0646-414C-BE8B-C4D64AD93884}">
      <text>
        <r>
          <rPr>
            <b/>
            <sz val="9"/>
            <color indexed="81"/>
            <rFont val="MS P ゴシック"/>
            <family val="3"/>
            <charset val="128"/>
          </rPr>
          <t>上野理恵:</t>
        </r>
        <r>
          <rPr>
            <sz val="9"/>
            <color indexed="81"/>
            <rFont val="MS P ゴシック"/>
            <family val="3"/>
            <charset val="128"/>
          </rPr>
          <t xml:space="preserve">
台車不足！
</t>
        </r>
      </text>
    </comment>
    <comment ref="D92" authorId="2" guid="{475789BB-C05C-4004-BD53-AAD0730AE7FA}" shapeId="0" xr:uid="{F90A10BE-CB15-47EB-A89C-8FD5111A8DBE}">
      <text>
        <r>
          <rPr>
            <b/>
            <sz val="9"/>
            <color indexed="81"/>
            <rFont val="MS P ゴシック"/>
            <family val="3"/>
            <charset val="128"/>
          </rPr>
          <t>上野理恵:</t>
        </r>
        <r>
          <rPr>
            <sz val="9"/>
            <color indexed="81"/>
            <rFont val="MS P ゴシック"/>
            <family val="3"/>
            <charset val="128"/>
          </rPr>
          <t xml:space="preserve">
台車不足！
</t>
        </r>
      </text>
    </comment>
    <comment ref="K92" authorId="1" guid="{9DB4A02A-21C8-4C34-81E6-83EFC2873919}" shapeId="0" xr:uid="{5551508F-04D6-48A8-B28B-D4FE0E308D44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台車不足</t>
        </r>
      </text>
    </comment>
    <comment ref="K93" authorId="1" guid="{6124EC9F-3DBC-4989-BC84-0A700C2A6A14}" shapeId="0" xr:uid="{877B3B21-2ECC-4381-9345-E56359C7E3C9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台車不足</t>
        </r>
      </text>
    </comment>
    <comment ref="O93" authorId="1" guid="{B280E4B9-4978-420A-B058-685A40A6B590}" shapeId="0" xr:uid="{93DF45DA-493A-41DA-A240-42AF9A58863B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アミ6
</t>
        </r>
      </text>
    </comment>
    <comment ref="O94" authorId="1" guid="{64BCCAB1-0E76-4490-8CA4-202030DC0F82}" shapeId="0" xr:uid="{00E87289-19CB-4530-A785-D71F210266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gyomu4:
アミ8
</t>
        </r>
      </text>
    </comment>
    <comment ref="D99" authorId="2" guid="{A08AA49F-F2B1-4D89-9F5F-379D5EF23834}" shapeId="0" xr:uid="{230F8780-21C1-422C-A43D-BD9A98D5FCB6}">
      <text>
        <r>
          <rPr>
            <b/>
            <sz val="9"/>
            <color indexed="81"/>
            <rFont val="MS P ゴシック"/>
            <family val="3"/>
            <charset val="128"/>
          </rPr>
          <t>上野理恵:</t>
        </r>
        <r>
          <rPr>
            <sz val="9"/>
            <color indexed="81"/>
            <rFont val="MS P ゴシック"/>
            <family val="3"/>
            <charset val="128"/>
          </rPr>
          <t xml:space="preserve">
台車不足！
</t>
        </r>
      </text>
    </comment>
    <comment ref="D100" authorId="2" guid="{767A8B6F-DD82-49F9-AB26-5498B3D8DBE3}" shapeId="0" xr:uid="{B17CCFD8-9D4E-4E9A-BC58-2EA01DDC8789}">
      <text>
        <r>
          <rPr>
            <b/>
            <sz val="9"/>
            <color indexed="81"/>
            <rFont val="MS P ゴシック"/>
            <family val="3"/>
            <charset val="128"/>
          </rPr>
          <t>上野理恵:</t>
        </r>
        <r>
          <rPr>
            <sz val="9"/>
            <color indexed="81"/>
            <rFont val="MS P ゴシック"/>
            <family val="3"/>
            <charset val="128"/>
          </rPr>
          <t xml:space="preserve">
台車不足！
</t>
        </r>
      </text>
    </comment>
    <comment ref="O100" authorId="1" guid="{05C37E7C-4737-414E-9297-819A45D19D21}" shapeId="0" xr:uid="{1AA31F9C-F8FA-45B0-9FC7-CF074107CDBC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アミ4
</t>
        </r>
      </text>
    </comment>
    <comment ref="D101" authorId="2" guid="{8280827D-FBC2-4478-A68F-E1A76259E514}" shapeId="0" xr:uid="{623A90C5-6473-4F11-A77B-8A03FECD14BA}">
      <text>
        <r>
          <rPr>
            <b/>
            <sz val="9"/>
            <color indexed="81"/>
            <rFont val="MS P ゴシック"/>
            <family val="3"/>
            <charset val="128"/>
          </rPr>
          <t>上野理恵:</t>
        </r>
        <r>
          <rPr>
            <sz val="9"/>
            <color indexed="81"/>
            <rFont val="MS P ゴシック"/>
            <family val="3"/>
            <charset val="128"/>
          </rPr>
          <t xml:space="preserve">
台車不足！
</t>
        </r>
      </text>
    </comment>
    <comment ref="O101" authorId="1" guid="{486B91DF-42EF-4139-ACA4-6A3664CB9D0F}" shapeId="0" xr:uid="{DC274EC3-CFD8-459D-AF5C-AF673EACC777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アミ4
</t>
        </r>
      </text>
    </comment>
    <comment ref="D102" authorId="2" guid="{A00C9FA5-9B07-4F7D-8A4C-0398AD419A95}" shapeId="0" xr:uid="{1DBA0E4A-1A5D-47D2-AE0E-CE2DF655BDC3}">
      <text>
        <r>
          <rPr>
            <b/>
            <sz val="9"/>
            <color indexed="81"/>
            <rFont val="MS P ゴシック"/>
            <family val="3"/>
            <charset val="128"/>
          </rPr>
          <t>上野理恵:</t>
        </r>
        <r>
          <rPr>
            <sz val="9"/>
            <color indexed="81"/>
            <rFont val="MS P ゴシック"/>
            <family val="3"/>
            <charset val="128"/>
          </rPr>
          <t xml:space="preserve">
台車不足！
</t>
        </r>
      </text>
    </comment>
    <comment ref="O105" authorId="1" guid="{FEBBA573-E038-4E56-93FF-36D3BA505AE5}" shapeId="0" xr:uid="{B2A3C128-2920-493C-A7F9-F0BC71BD6EAE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アミ9</t>
        </r>
      </text>
    </comment>
    <comment ref="D106" authorId="2" guid="{84124C82-A7E4-4771-A0B5-07955D44A9DE}" shapeId="0" xr:uid="{BDF941CB-C6D2-4367-BE57-1C72F221CE4F}">
      <text>
        <r>
          <rPr>
            <b/>
            <sz val="9"/>
            <color indexed="81"/>
            <rFont val="MS P ゴシック"/>
            <family val="3"/>
            <charset val="128"/>
          </rPr>
          <t>上野理恵:</t>
        </r>
        <r>
          <rPr>
            <sz val="9"/>
            <color indexed="81"/>
            <rFont val="MS P ゴシック"/>
            <family val="3"/>
            <charset val="128"/>
          </rPr>
          <t xml:space="preserve">
台車不足！
</t>
        </r>
      </text>
    </comment>
    <comment ref="O106" authorId="1" guid="{D5899861-49F6-437A-A632-BCDC14B00BB0}" shapeId="0" xr:uid="{1C522D8D-8C79-48EF-AD18-5172C29A508B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アミ4
</t>
        </r>
      </text>
    </comment>
    <comment ref="D107" authorId="2" guid="{CA8F4434-9973-4203-AF92-533CB4256C17}" shapeId="0" xr:uid="{DA933568-C4A8-42AD-BF6E-51A8CB47D516}">
      <text>
        <r>
          <rPr>
            <b/>
            <sz val="9"/>
            <color indexed="81"/>
            <rFont val="MS P ゴシック"/>
            <family val="3"/>
            <charset val="128"/>
          </rPr>
          <t>上野理恵:</t>
        </r>
        <r>
          <rPr>
            <sz val="9"/>
            <color indexed="81"/>
            <rFont val="MS P ゴシック"/>
            <family val="3"/>
            <charset val="128"/>
          </rPr>
          <t xml:space="preserve">
台車不足！
</t>
        </r>
      </text>
    </comment>
    <comment ref="D108" authorId="2" guid="{2EAA4844-334A-41BD-A701-60AF887C2CF9}" shapeId="0" xr:uid="{A7758F15-D95D-4381-8530-3325600B6FE9}">
      <text>
        <r>
          <rPr>
            <b/>
            <sz val="9"/>
            <color indexed="81"/>
            <rFont val="MS P ゴシック"/>
            <family val="3"/>
            <charset val="128"/>
          </rPr>
          <t>上野理恵:</t>
        </r>
        <r>
          <rPr>
            <sz val="9"/>
            <color indexed="81"/>
            <rFont val="MS P ゴシック"/>
            <family val="3"/>
            <charset val="128"/>
          </rPr>
          <t xml:space="preserve">
台車不足！
</t>
        </r>
      </text>
    </comment>
    <comment ref="O108" authorId="1" guid="{B1B8E8E0-A8A1-4EE3-AC44-EDE3DA56634C}" shapeId="0" xr:uid="{04B3272A-23C8-4A3C-9875-024F625D16B6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アミ2
</t>
        </r>
      </text>
    </comment>
    <comment ref="D109" authorId="2" guid="{A8732FC9-870D-48C3-BAEB-2761BDAD638D}" shapeId="0" xr:uid="{A1CAD17A-EBB8-4F7A-BD6C-5C217999968A}">
      <text>
        <r>
          <rPr>
            <b/>
            <sz val="9"/>
            <color indexed="81"/>
            <rFont val="MS P ゴシック"/>
            <family val="3"/>
            <charset val="128"/>
          </rPr>
          <t>上野理恵:</t>
        </r>
        <r>
          <rPr>
            <sz val="9"/>
            <color indexed="81"/>
            <rFont val="MS P ゴシック"/>
            <family val="3"/>
            <charset val="128"/>
          </rPr>
          <t xml:space="preserve">
台車不足！
</t>
        </r>
      </text>
    </comment>
    <comment ref="O109" authorId="1" guid="{27F4AC03-A0F0-4701-B9D7-FD121159D979}" shapeId="0" xr:uid="{8F5221F1-7BD6-4D8E-BD37-383F481C904F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gyomu4:
アミ17
</t>
        </r>
      </text>
    </comment>
    <comment ref="D113" authorId="2" guid="{5A6083E3-ED37-492A-8582-07AFA6F66E16}" shapeId="0" xr:uid="{AB8AFDE2-6E2B-4806-9BE8-62CA23CB2938}">
      <text>
        <r>
          <rPr>
            <b/>
            <sz val="9"/>
            <color indexed="81"/>
            <rFont val="MS P ゴシック"/>
            <family val="3"/>
            <charset val="128"/>
          </rPr>
          <t>上野理恵:</t>
        </r>
        <r>
          <rPr>
            <sz val="9"/>
            <color indexed="81"/>
            <rFont val="MS P ゴシック"/>
            <family val="3"/>
            <charset val="128"/>
          </rPr>
          <t xml:space="preserve">
台車不足！
</t>
        </r>
      </text>
    </comment>
    <comment ref="D114" authorId="2" guid="{4A812845-4718-40FD-9799-DC9D3B890E27}" shapeId="0" xr:uid="{95C1BFEA-CC46-4394-8E02-01A262DAB7AF}">
      <text>
        <r>
          <rPr>
            <b/>
            <sz val="9"/>
            <color indexed="81"/>
            <rFont val="MS P ゴシック"/>
            <family val="3"/>
            <charset val="128"/>
          </rPr>
          <t>上野理恵:</t>
        </r>
        <r>
          <rPr>
            <sz val="9"/>
            <color indexed="81"/>
            <rFont val="MS P ゴシック"/>
            <family val="3"/>
            <charset val="128"/>
          </rPr>
          <t xml:space="preserve">
台車不足！
</t>
        </r>
      </text>
    </comment>
    <comment ref="D115" authorId="2" guid="{CCC131C2-6C02-4B12-8660-BCCDB5A9867B}" shapeId="0" xr:uid="{43AB3ADC-660D-4552-9A4A-1B2966FA022C}">
      <text>
        <r>
          <rPr>
            <b/>
            <sz val="9"/>
            <color indexed="81"/>
            <rFont val="MS P ゴシック"/>
            <family val="3"/>
            <charset val="128"/>
          </rPr>
          <t>上野理恵:</t>
        </r>
        <r>
          <rPr>
            <sz val="9"/>
            <color indexed="81"/>
            <rFont val="MS P ゴシック"/>
            <family val="3"/>
            <charset val="128"/>
          </rPr>
          <t xml:space="preserve">
台車不足！
</t>
        </r>
      </text>
    </comment>
    <comment ref="O115" authorId="1" guid="{F849AF15-6FE9-498C-9EDA-06F5D6E4D9D7}" shapeId="0" xr:uid="{59F99016-55E8-4274-BCB1-FC75BE95A261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アミ10</t>
        </r>
      </text>
    </comment>
    <comment ref="O116" authorId="1" guid="{2819B0AA-F8F2-47B0-BCD1-881EE7F24857}" shapeId="0" xr:uid="{A54D3FFE-E0F2-4AF1-A6DA-6910DCAD438F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アミ10</t>
        </r>
      </text>
    </comment>
    <comment ref="O120" authorId="1" guid="{B56214A3-96C1-4DB8-AD6E-F7F63DE2A0EE}" shapeId="0" xr:uid="{93311CBB-057C-4281-939B-C8725C0AC50A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アミ2
</t>
        </r>
      </text>
    </comment>
    <comment ref="O129" authorId="1" guid="{2F16597E-82D9-4CDC-B230-24307AE2F276}" shapeId="0" xr:uid="{AF90B6E9-E72D-47E8-A541-A5654BC90DDF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アミ9
</t>
        </r>
      </text>
    </comment>
    <comment ref="O130" authorId="1" guid="{E6D708BB-932D-4E5B-863B-37B2D8B5E010}" shapeId="0" xr:uid="{9D87B7DA-0D73-4A26-901B-FEF444DF1184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アミ5
</t>
        </r>
      </text>
    </comment>
    <comment ref="O133" authorId="1" guid="{6AF8B076-8B57-4DCF-835A-07AC246C3D62}" shapeId="0" xr:uid="{F255CF0E-7F38-46DB-B602-64B8D9E20B22}">
      <text>
        <r>
          <rPr>
            <b/>
            <sz val="9"/>
            <color indexed="81"/>
            <rFont val="MS P ゴシック"/>
            <family val="3"/>
            <charset val="128"/>
          </rPr>
          <t>gyomu4:アミ1</t>
        </r>
      </text>
    </comment>
    <comment ref="C136" authorId="1" guid="{2F3E7B88-506F-4DA2-ACBF-E9ECBB3CE8BE}" shapeId="0" xr:uid="{C4D62C99-1114-4FDE-B0DB-96C3FECA8AA2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端数の5台口の注文を追加しました
</t>
        </r>
      </text>
    </comment>
    <comment ref="D138" authorId="2" guid="{ACC8F924-9A70-40D7-B702-F5375005E2E9}" shapeId="0" xr:uid="{2D4D519C-F3D4-4978-BEDD-9A9BBDC0A0D8}">
      <text>
        <r>
          <rPr>
            <b/>
            <sz val="9"/>
            <color indexed="81"/>
            <rFont val="MS P ゴシック"/>
            <family val="3"/>
            <charset val="128"/>
          </rPr>
          <t>上野理恵:</t>
        </r>
        <r>
          <rPr>
            <sz val="9"/>
            <color indexed="81"/>
            <rFont val="MS P ゴシック"/>
            <family val="3"/>
            <charset val="128"/>
          </rPr>
          <t xml:space="preserve">
11/6引取
</t>
        </r>
      </text>
    </comment>
    <comment ref="O141" authorId="1" guid="{9512F630-A8FE-45E0-B32E-15A832FE421F}" shapeId="0" xr:uid="{1BFCE10C-00A4-456C-9AF7-85AE544984B4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アミ1</t>
        </r>
      </text>
    </comment>
    <comment ref="O142" authorId="1" guid="{E243B069-C895-4FED-AF05-B825D28B925B}" shapeId="0" xr:uid="{FA4DD39B-0E2F-4963-95A2-DC1D3EACFDE3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アミ21
</t>
        </r>
      </text>
    </comment>
    <comment ref="O143" authorId="1" guid="{BB935730-FAB1-4A6A-8C1E-0791D7CC3D21}" shapeId="0" xr:uid="{F1A7D3B8-F864-4FAF-B024-D5C293C0FF64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アミ8</t>
        </r>
      </text>
    </comment>
    <comment ref="O144" authorId="1" guid="{2E92691E-742B-4D45-AD53-6E4922D7A294}" shapeId="0" xr:uid="{BB01AF90-6C77-4EF9-BDFB-6E3B123074C5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アミ8
</t>
        </r>
      </text>
    </comment>
    <comment ref="C158" authorId="1" guid="{9BDEBC7A-B316-4B96-BB70-87E4F2893641}" shapeId="0" xr:uid="{5C520F84-9103-488F-ABD4-A1A063AC1A83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検査課3台行き含む
</t>
        </r>
        <r>
          <rPr>
            <b/>
            <sz val="9"/>
            <color indexed="81"/>
            <rFont val="MS P ゴシック"/>
            <family val="3"/>
            <charset val="128"/>
          </rPr>
          <t>上野理恵:</t>
        </r>
        <r>
          <rPr>
            <sz val="9"/>
            <color indexed="81"/>
            <rFont val="MS P ゴシック"/>
            <family val="3"/>
            <charset val="128"/>
          </rPr>
          <t xml:space="preserve">
11/27樋口便で移動
</t>
        </r>
      </text>
    </comment>
    <comment ref="O161" authorId="1" guid="{CD0E0988-EC25-4017-A76A-2407062BEF78}" shapeId="0" xr:uid="{FC8F2E48-8778-4F92-BD1C-029DD7FBEA4D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gyomu4:
アミ12
</t>
        </r>
      </text>
    </comment>
    <comment ref="G162" authorId="0" guid="{DE6B80B6-C7A7-423E-8693-02A8E8441014}" shapeId="0" xr:uid="{D6A527AC-0930-4AA1-9601-B34D53C1669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検査行　3台含む
</t>
        </r>
      </text>
    </comment>
    <comment ref="O162" authorId="1" guid="{B2BFBF4A-D6C9-4334-8C0F-0CDDB4873B70}" shapeId="0" xr:uid="{B38D6129-3BE8-46C9-ACB0-51461E595873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アミ8
</t>
        </r>
      </text>
    </comment>
    <comment ref="O165" authorId="1" guid="{21EA1448-3B71-4654-91B6-20B1DF7CD1FC}" shapeId="0" xr:uid="{72B52B2A-45EA-496F-84ED-07255EADD32B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アミ4
</t>
        </r>
      </text>
    </comment>
    <comment ref="O170" authorId="1" guid="{AA063D5C-62CB-4C2D-808D-7A45FAE5A49B}" shapeId="0" xr:uid="{98BC845E-2DAC-48C1-A8A3-5E48348B7383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アミ8
</t>
        </r>
      </text>
    </comment>
    <comment ref="O171" authorId="1" guid="{6969436F-DCBE-4303-B38C-B4E60C88C8F7}" shapeId="0" xr:uid="{3734494F-9A97-4D7C-8388-1F4D39FFF41F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アミ6
</t>
        </r>
      </text>
    </comment>
    <comment ref="O172" authorId="1" guid="{120848F0-1DD8-4917-99D2-5B7F9EE1943D}" shapeId="0" xr:uid="{3CB8BFA4-92A6-4C37-AE20-3FE9D4F3B835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アミ10
</t>
        </r>
      </text>
    </comment>
    <comment ref="O175" authorId="1" guid="{8FC7D6B0-68A8-46D9-9BE1-7C4D2094F8E6}" shapeId="0" xr:uid="{3768CD7D-7513-4A8C-808A-385E0FBA48AA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アミ2</t>
        </r>
      </text>
    </comment>
    <comment ref="O176" authorId="1" guid="{1F5AD434-C538-4ABD-B523-6C4A9729BA1A}" shapeId="0" xr:uid="{F0440E36-052A-441E-9554-DB6F7C5B60F9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アミ10
</t>
        </r>
      </text>
    </comment>
    <comment ref="O179" authorId="1" guid="{DE175B83-F908-4CCB-918A-0F35FD5A440B}" shapeId="0" xr:uid="{BEF7AFB9-AE24-4399-950D-3288648F6794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アミ16
</t>
        </r>
      </text>
    </comment>
    <comment ref="O183" authorId="1" guid="{8B419D3C-1AB6-40D0-9DC6-21274AC9080D}" shapeId="0" xr:uid="{DAEF94F1-219A-4816-BADD-BA0961EA2A96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アミ5</t>
        </r>
      </text>
    </comment>
    <comment ref="C185" authorId="1" guid="{FE4762A3-4159-42DD-BAF1-81CDBC7CEF6F}" shapeId="0" xr:uid="{E0DE5EC3-7FB8-4666-9226-BA64350BAC8A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端数含む　クボタ池田様宛</t>
        </r>
      </text>
    </comment>
    <comment ref="O185" authorId="1" guid="{3CE913CE-2B75-4537-8A60-F86107515D57}" shapeId="0" xr:uid="{5176F72C-0D08-4CDF-9D77-4CD602C23676}">
      <text>
        <r>
          <rPr>
            <b/>
            <sz val="9"/>
            <color indexed="81"/>
            <rFont val="MS P ゴシック"/>
            <family val="3"/>
            <charset val="128"/>
          </rPr>
          <t>gyomu4：
アミ2</t>
        </r>
      </text>
    </comment>
    <comment ref="C186" authorId="1" guid="{AAA1B77E-146F-4395-BC26-2B156F3BBE9C}" shapeId="0" xr:uid="{76D54923-0E13-4308-881B-122BDCB77592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古門さんからの依頼分3台
</t>
        </r>
      </text>
    </comment>
    <comment ref="O186" authorId="1" guid="{EA90558E-B24B-42A2-B86E-67A428273B2B}" shapeId="0" xr:uid="{55557D09-D8E4-4903-A64F-1BC3060B94BF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アミ16
</t>
        </r>
      </text>
    </comment>
    <comment ref="O189" authorId="1" guid="{E72F9229-6752-488F-B610-AA8E23E758A1}" shapeId="0" xr:uid="{9D219F8D-20C0-41EC-B937-6E0486A9ED1F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アミ11
</t>
        </r>
      </text>
    </comment>
    <comment ref="D190" authorId="0" guid="{FC34EC0F-ADF5-45F4-951A-0C900F0D0023}" shapeId="0" xr:uid="{70D125A2-4FC7-4C51-BF23-479117924C14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残
8台車x2=16
2アミx4=8
</t>
        </r>
      </text>
    </comment>
    <comment ref="O190" authorId="1" guid="{7AB9674B-EE76-4799-8CFA-0C7C959F9952}" shapeId="0" xr:uid="{8A77D94F-DF7F-46C1-A4D1-B7FFBA3E5FC2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アミ5</t>
        </r>
      </text>
    </comment>
    <comment ref="O192" authorId="1" guid="{D5E70026-AE30-40F2-8663-43E87CDDF204}" shapeId="0" xr:uid="{78944F9D-84B7-4C42-B48D-37A37876480D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アミ14</t>
        </r>
      </text>
    </comment>
    <comment ref="O203" authorId="1" guid="{0DC1F403-0F66-46F0-9958-5455195BDF54}" shapeId="0" xr:uid="{A7CEAC16-4E54-4400-8B2C-A67984F8606E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アミ8</t>
        </r>
      </text>
    </comment>
    <comment ref="O204" authorId="1" guid="{6A1DF406-65A6-487B-85A9-E480E3DB8D78}" shapeId="0" xr:uid="{5EE305AD-5C69-4B13-999E-9E5BA9AC918C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アミ8
</t>
        </r>
      </text>
    </comment>
    <comment ref="O205" authorId="1" guid="{5FBE8CC4-9E57-4F66-A68E-211356FF7BB7}" shapeId="0" xr:uid="{7285328F-0063-487F-84A2-E3ABB3235A86}">
      <text>
        <r>
          <rPr>
            <b/>
            <sz val="9"/>
            <color indexed="81"/>
            <rFont val="MS P ゴシック"/>
            <family val="3"/>
            <charset val="128"/>
          </rPr>
          <t>gyomu4:
アミ14</t>
        </r>
      </text>
    </comment>
    <comment ref="O206" authorId="1" guid="{F657F35C-B07E-4688-8F17-B7D8867B88B4}" shapeId="0" xr:uid="{47F65533-1800-45C5-9740-33729C4AF907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アミ11
</t>
        </r>
      </text>
    </comment>
    <comment ref="O210" authorId="1" guid="{DFF82573-8A1D-433B-9942-4237EF69FEA4}" shapeId="0" xr:uid="{A1A157DC-2787-417F-A775-B88EA947F942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アミ9
</t>
        </r>
      </text>
    </comment>
    <comment ref="K212" authorId="1" guid="{47C5240F-44BF-450C-BFA9-ED023C8FFF29}" shapeId="0" xr:uid="{6745B4BD-3263-4CF9-A46F-253DE82FBB02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内8台ダイソウ加工分
</t>
        </r>
      </text>
    </comment>
    <comment ref="O213" authorId="1" guid="{57421CC8-EAB0-4AE9-8482-0F7C3F30BED6}" shapeId="0" xr:uid="{5D807E7F-A899-49B3-B1F0-8CFBC849046F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アミ13</t>
        </r>
      </text>
    </comment>
    <comment ref="O214" authorId="1" guid="{05862CC7-74C3-4F34-8459-DEF9EC8A8840}" shapeId="0" xr:uid="{45D58AAE-2B72-4596-941F-C6DC4FD18CCB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アミ8</t>
        </r>
      </text>
    </comment>
    <comment ref="O224" authorId="1" guid="{1F1A5C4D-83FD-40FF-8CBC-5E4C5540F192}" shapeId="0" xr:uid="{CDC8C5F2-9EDD-43D2-8C85-C13A452B0E3E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アミ8</t>
        </r>
      </text>
    </comment>
    <comment ref="O228" authorId="1" guid="{7C618239-D2C0-4BDD-988A-9C5B3E861886}" shapeId="0" xr:uid="{668CDF30-861E-4259-B0F5-2C934344D6E7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gyomu4:アミ4
</t>
        </r>
      </text>
    </comment>
    <comment ref="C240" authorId="1" guid="{2EE285EC-5502-4A98-B13F-FAB97449E8F8}" shapeId="0" xr:uid="{854D8F51-9554-4B9C-8EB3-1759CBE2F5D6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端数注文有り
</t>
        </r>
      </text>
    </comment>
    <comment ref="C268" authorId="1" guid="{90E0EEF5-3BC5-4843-8E41-0A11996FAD85}" shapeId="0" xr:uid="{16324896-B51C-4093-A75D-4C0D3FC3806F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エアコン端数注文　6台
</t>
        </r>
      </text>
    </comment>
    <comment ref="C269" authorId="1" guid="{036581F8-C1D7-4507-80B2-BB1C40D6B568}" shapeId="0" xr:uid="{02AFC1BF-7A05-4316-BB55-540FD78C5DF8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端数注文あり
4台乗せ×1アミ
</t>
        </r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H270" authorId="1" guid="{55B2A8C9-3CBB-441F-9D65-C16472EDF84E}" shapeId="0" xr:uid="{0FD6DAD3-38AA-47E6-B9E6-6976C3395E39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エアコン端数注文　6台
</t>
        </r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H273" authorId="1" guid="{C93943D1-54DB-48FB-B360-C1195861BE1E}" shapeId="0" xr:uid="{C210CC42-6A2A-45F8-A9D9-9D6B24291F3F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端数注文あり
4台乗せ×1アミ
</t>
        </r>
      </text>
    </comment>
    <comment ref="C302" authorId="1" guid="{AF49610F-638E-440C-84AB-3A660175FE81}" shapeId="0" xr:uid="{AF1B27ED-F0C7-4E26-A788-653E044DE6CD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端数　1台乗せ1台車あり
</t>
        </r>
      </text>
    </comment>
    <comment ref="H304" authorId="1" guid="{298719F8-D6BD-4AB4-B572-DC584FFF3E5C}" shapeId="0" xr:uid="{5AD2BF91-6330-4406-9356-F02CBD9AF935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端数　1台乗せ1台車出荷あり
</t>
        </r>
      </text>
    </comment>
    <comment ref="O308" authorId="1" guid="{CB741A8B-AD2A-486C-9D6A-5B52671ED766}" shapeId="0" xr:uid="{83B9027F-C228-4795-8301-18750E33BADB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アミ10
</t>
        </r>
      </text>
    </comment>
    <comment ref="O309" authorId="1" guid="{31728163-3562-4141-AC1B-D9BC8072A98C}" shapeId="0" xr:uid="{93444CA0-140B-4817-9300-14F57B5FD8EF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アミ5
</t>
        </r>
      </text>
    </comment>
    <comment ref="C323" authorId="1" guid="{D3D8CA09-2C7F-40F9-B227-CF4A54A53A4F}" shapeId="0" xr:uid="{F4108A92-76D9-4EC2-A4E0-CD0927F8EB3B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端数1×1あり
</t>
        </r>
      </text>
    </comment>
    <comment ref="O323" authorId="1" guid="{65351335-BD77-4C18-8C75-C5056D3C1363}" shapeId="0" xr:uid="{B2A64080-297B-4125-AB1D-010FAEAA6F06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アミ10
</t>
        </r>
      </text>
    </comment>
    <comment ref="H325" authorId="1" guid="{B2126919-7F19-4B8C-B3E7-31789256883B}" shapeId="0" xr:uid="{AA1BDF8E-F389-490A-9EB2-E710273352AC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端数1×1台車
</t>
        </r>
      </text>
    </comment>
    <comment ref="O325" authorId="1" guid="{6AA4FF6A-1716-4D33-AD4A-F906BFCFD902}" shapeId="0" xr:uid="{E6CB717A-D2A9-40B1-8C7B-0F6F89A4998C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アミ6</t>
        </r>
      </text>
    </comment>
    <comment ref="C330" authorId="1" guid="{7E16FCFD-5502-43ED-BBD8-8EBED46A04A4}" shapeId="0" xr:uid="{D49477F1-98BE-4794-BFF1-94D50DC3102B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端数1×1あり
</t>
        </r>
      </text>
    </comment>
    <comment ref="H332" authorId="1" guid="{4D7D37F2-4385-41AC-9C04-D3B8F63D7FB4}" shapeId="0" xr:uid="{40AEBE42-E854-4FC3-BA9D-42A2D4789A1C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端数1×1台車
</t>
        </r>
      </text>
    </comment>
    <comment ref="O358" authorId="3" guid="{2C69E2E7-E0FF-48FB-A39E-406656D909EB}" shapeId="0" xr:uid="{47554BEC-4EB3-4B99-80F2-B8DF9CC65C11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Gyomu:アミ12
</t>
        </r>
      </text>
    </comment>
    <comment ref="O368" authorId="3" guid="{D089DEFB-B483-48D1-9FF2-863AD505487A}" shapeId="0" xr:uid="{58B65496-B188-48F3-AC9D-DE4A2656B8F8}">
      <text>
        <r>
          <rPr>
            <b/>
            <sz val="9"/>
            <color indexed="81"/>
            <rFont val="MS P ゴシック"/>
            <family val="3"/>
            <charset val="128"/>
          </rPr>
          <t>Gyomu:</t>
        </r>
        <r>
          <rPr>
            <sz val="9"/>
            <color indexed="81"/>
            <rFont val="MS P ゴシック"/>
            <family val="3"/>
            <charset val="128"/>
          </rPr>
          <t xml:space="preserve">
アミ4
</t>
        </r>
      </text>
    </comment>
    <comment ref="O373" authorId="3" guid="{6B1F84E2-3351-40EE-92A5-8BC8C614BF5E}" shapeId="0" xr:uid="{340E21B2-F0BF-4453-A9FC-73C1EB536AF1}">
      <text>
        <r>
          <rPr>
            <b/>
            <sz val="9"/>
            <color indexed="81"/>
            <rFont val="MS P ゴシック"/>
            <family val="3"/>
            <charset val="128"/>
          </rPr>
          <t>Gyomu:</t>
        </r>
        <r>
          <rPr>
            <sz val="9"/>
            <color indexed="81"/>
            <rFont val="MS P ゴシック"/>
            <family val="3"/>
            <charset val="128"/>
          </rPr>
          <t xml:space="preserve">
アミ12</t>
        </r>
      </text>
    </comment>
    <comment ref="O378" authorId="3" guid="{E5571945-23CF-48B5-B96E-1756B06F597B}" shapeId="0" xr:uid="{8D168852-05A6-45AF-911C-30373C3A88E0}">
      <text>
        <r>
          <rPr>
            <b/>
            <sz val="9"/>
            <color indexed="81"/>
            <rFont val="MS P ゴシック"/>
            <family val="3"/>
            <charset val="128"/>
          </rPr>
          <t>Gyomu:</t>
        </r>
        <r>
          <rPr>
            <sz val="9"/>
            <color indexed="81"/>
            <rFont val="MS P ゴシック"/>
            <family val="3"/>
            <charset val="128"/>
          </rPr>
          <t xml:space="preserve">
アミ10
</t>
        </r>
      </text>
    </comment>
    <comment ref="O379" authorId="3" guid="{4D8E4AB3-EFA1-41FB-9E87-DDE744A00994}" shapeId="0" xr:uid="{A6595328-F017-4CE6-ADEE-A52F07359F47}">
      <text>
        <r>
          <rPr>
            <b/>
            <sz val="9"/>
            <color indexed="81"/>
            <rFont val="MS P ゴシック"/>
            <family val="3"/>
            <charset val="128"/>
          </rPr>
          <t>Gyomu:</t>
        </r>
        <r>
          <rPr>
            <sz val="9"/>
            <color indexed="81"/>
            <rFont val="MS P ゴシック"/>
            <family val="3"/>
            <charset val="128"/>
          </rPr>
          <t xml:space="preserve">
アミ2
</t>
        </r>
      </text>
    </comment>
    <comment ref="O381" authorId="3" guid="{767C8E39-0CD7-4DA8-97A2-E559E25B4F7B}" shapeId="0" xr:uid="{4372825E-C570-423C-8044-4B7890995318}">
      <text>
        <r>
          <rPr>
            <b/>
            <sz val="9"/>
            <color indexed="81"/>
            <rFont val="MS P ゴシック"/>
            <family val="3"/>
            <charset val="128"/>
          </rPr>
          <t>Gyomu:</t>
        </r>
        <r>
          <rPr>
            <sz val="9"/>
            <color indexed="81"/>
            <rFont val="MS P ゴシック"/>
            <family val="3"/>
            <charset val="128"/>
          </rPr>
          <t xml:space="preserve">
アミ2</t>
        </r>
      </text>
    </comment>
    <comment ref="O386" authorId="3" guid="{1EA7E0D5-D4B2-4091-9E29-955311C6B56C}" shapeId="0" xr:uid="{7B1AAEFE-C531-4953-A277-65721151499C}">
      <text>
        <r>
          <rPr>
            <b/>
            <sz val="9"/>
            <color indexed="81"/>
            <rFont val="MS P ゴシック"/>
            <family val="3"/>
            <charset val="128"/>
          </rPr>
          <t>Gyomu:</t>
        </r>
        <r>
          <rPr>
            <sz val="9"/>
            <color indexed="81"/>
            <rFont val="MS P ゴシック"/>
            <family val="3"/>
            <charset val="128"/>
          </rPr>
          <t xml:space="preserve">
アミ4
</t>
        </r>
      </text>
    </comment>
    <comment ref="O388" authorId="3" guid="{60D173F5-4C15-44AC-BA99-0C0CD71D9F1E}" shapeId="0" xr:uid="{A4949711-5F5C-4A01-B70C-DE8279F4964F}">
      <text>
        <r>
          <rPr>
            <b/>
            <sz val="9"/>
            <color indexed="81"/>
            <rFont val="MS P ゴシック"/>
            <family val="3"/>
            <charset val="128"/>
          </rPr>
          <t>Gyomu:</t>
        </r>
        <r>
          <rPr>
            <sz val="9"/>
            <color indexed="81"/>
            <rFont val="MS P ゴシック"/>
            <family val="3"/>
            <charset val="128"/>
          </rPr>
          <t xml:space="preserve">
アミ4
</t>
        </r>
      </text>
    </comment>
    <comment ref="O389" authorId="3" guid="{97AD5B93-B423-499F-A30C-D41F1189593F}" shapeId="0" xr:uid="{14F9B9EF-3DFC-4241-87D5-EED2E0745664}">
      <text>
        <r>
          <rPr>
            <b/>
            <sz val="9"/>
            <color indexed="81"/>
            <rFont val="MS P ゴシック"/>
            <family val="3"/>
            <charset val="128"/>
          </rPr>
          <t>Gyomu:</t>
        </r>
        <r>
          <rPr>
            <sz val="9"/>
            <color indexed="81"/>
            <rFont val="MS P ゴシック"/>
            <family val="3"/>
            <charset val="128"/>
          </rPr>
          <t xml:space="preserve">
アミ１２
</t>
        </r>
      </text>
    </comment>
    <comment ref="O394" authorId="3" guid="{BD73C7D3-B85D-4A2F-8042-353CBBE24EB0}" shapeId="0" xr:uid="{41073C7D-65CC-465B-A63E-070FFAE15299}">
      <text>
        <r>
          <rPr>
            <b/>
            <sz val="9"/>
            <color indexed="81"/>
            <rFont val="MS P ゴシック"/>
            <family val="3"/>
            <charset val="128"/>
          </rPr>
          <t>Gyomu:</t>
        </r>
        <r>
          <rPr>
            <sz val="9"/>
            <color indexed="81"/>
            <rFont val="MS P ゴシック"/>
            <family val="3"/>
            <charset val="128"/>
          </rPr>
          <t xml:space="preserve">
アミ16
</t>
        </r>
      </text>
    </comment>
    <comment ref="O395" authorId="3" guid="{61D357DB-556E-431B-BA05-1B1313AD893D}" shapeId="0" xr:uid="{C5B499EA-7A79-450E-8524-C12B592DBABA}">
      <text>
        <r>
          <rPr>
            <b/>
            <sz val="9"/>
            <color indexed="81"/>
            <rFont val="MS P ゴシック"/>
            <family val="3"/>
            <charset val="128"/>
          </rPr>
          <t>Gyomu:</t>
        </r>
        <r>
          <rPr>
            <sz val="9"/>
            <color indexed="81"/>
            <rFont val="MS P ゴシック"/>
            <family val="3"/>
            <charset val="128"/>
          </rPr>
          <t xml:space="preserve">
アミ4
</t>
        </r>
      </text>
    </comment>
    <comment ref="O396" authorId="3" guid="{49CBC553-963C-449D-A9CB-6E1C563757F5}" shapeId="0" xr:uid="{E671B3DC-5189-4CF0-9207-32C1DDE5C9C3}">
      <text>
        <r>
          <rPr>
            <b/>
            <sz val="9"/>
            <color indexed="81"/>
            <rFont val="MS P ゴシック"/>
            <family val="3"/>
            <charset val="128"/>
          </rPr>
          <t>Gyomu:</t>
        </r>
        <r>
          <rPr>
            <sz val="9"/>
            <color indexed="81"/>
            <rFont val="MS P ゴシック"/>
            <family val="3"/>
            <charset val="128"/>
          </rPr>
          <t xml:space="preserve">
アミ8
</t>
        </r>
      </text>
    </comment>
    <comment ref="O399" authorId="3" guid="{220CDC0F-8DD2-4802-9DF2-08A2F4F3A37D}" shapeId="0" xr:uid="{EFD95EB6-2C5B-4EFC-8872-52757F6A13D2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Gyomu:
アミ4
</t>
        </r>
      </text>
    </comment>
    <comment ref="O401" authorId="3" guid="{A8EF3EF9-1021-4BAE-B91D-A0FB5358A851}" shapeId="0" xr:uid="{3C019E99-731C-41F8-B57C-C17BD5EF9138}">
      <text>
        <r>
          <rPr>
            <b/>
            <sz val="9"/>
            <color indexed="81"/>
            <rFont val="MS P ゴシック"/>
            <family val="3"/>
            <charset val="128"/>
          </rPr>
          <t>Gyomu:</t>
        </r>
        <r>
          <rPr>
            <sz val="9"/>
            <color indexed="81"/>
            <rFont val="MS P ゴシック"/>
            <family val="3"/>
            <charset val="128"/>
          </rPr>
          <t xml:space="preserve">
アミ4
</t>
        </r>
      </text>
    </comment>
    <comment ref="O407" authorId="4" guid="{36EBD504-6AD1-4C25-8A26-96BF51D45230}" shapeId="0" xr:uid="{B6CFD1DB-AA17-4EE5-B3E2-3F57F71B23D7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アミ8</t>
        </r>
      </text>
    </comment>
    <comment ref="O417" authorId="4" guid="{D2F7FF28-9D42-44C0-8BD7-91FD3A2EC7C7}" shapeId="0" xr:uid="{4C865D99-DE35-4AB6-B077-7AE042D39EFD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アミ8
</t>
        </r>
      </text>
    </comment>
    <comment ref="O428" authorId="4" guid="{66529A63-71EF-4F8F-9530-0BA86CC0D8DA}" shapeId="0" xr:uid="{348569F7-7773-4677-9617-F828111B3802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アミ２
</t>
        </r>
      </text>
    </comment>
    <comment ref="O434" authorId="4" guid="{CCD1B5C3-3A0D-48AC-9D15-3B2C486125B8}" shapeId="0" xr:uid="{7D067175-0851-4E51-9950-0666AEA6318A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アミ10
</t>
        </r>
      </text>
    </comment>
    <comment ref="O441" authorId="4" guid="{CD5C2F23-A3D7-498F-9D0E-CFB45E192191}" shapeId="0" xr:uid="{4697397F-07D2-4A5C-911E-2E6956514CD9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アミ4
</t>
        </r>
      </text>
    </comment>
    <comment ref="O444" authorId="4" guid="{E0A98AA0-1C8C-4BF5-8B6D-02836A4F6695}" shapeId="0" xr:uid="{5AAF8FC7-C21E-4575-B744-BA0A61FDE58B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アミ4
</t>
        </r>
      </text>
    </comment>
    <comment ref="O452" authorId="4" guid="{E43EA9E7-1ABD-44A7-9AE8-686A0671B1A6}" shapeId="0" xr:uid="{E32EED17-40A4-47FD-9DFF-9EB82DDC466B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アミ12
</t>
        </r>
      </text>
    </comment>
    <comment ref="I456" authorId="0" guid="{2FFCEA91-19FC-4C1A-8908-C7D813639B2E}" shapeId="0" xr:uid="{92F52B48-B6F5-4082-9133-D5942A7B32EC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出荷台数と整合の為、-8台
</t>
        </r>
      </text>
    </comment>
    <comment ref="K456" authorId="3" guid="{62B1A1F6-3BCF-4247-A38C-290720E0760B}" shapeId="0" xr:uid="{A52C0C45-48A7-4D6A-8A35-6541905B7453}">
      <text>
        <r>
          <rPr>
            <b/>
            <sz val="9"/>
            <color indexed="81"/>
            <rFont val="MS P ゴシック"/>
            <family val="3"/>
            <charset val="128"/>
          </rPr>
          <t>Gyomu:</t>
        </r>
        <r>
          <rPr>
            <sz val="9"/>
            <color indexed="81"/>
            <rFont val="MS P ゴシック"/>
            <family val="3"/>
            <charset val="128"/>
          </rPr>
          <t xml:space="preserve">
原班長対応頂いた現品票△1枚の為　出荷数を減らした内容の指示書あり
</t>
        </r>
      </text>
    </comment>
    <comment ref="I459" authorId="0" guid="{ED65A3DE-2D4F-4052-8A57-A97E62322682}" shapeId="0" xr:uid="{FA667FA8-863D-4F83-ABE6-ABA1AA43997D}">
      <text>
        <r>
          <rPr>
            <b/>
            <sz val="9"/>
            <color indexed="81"/>
            <rFont val="MS P ゴシック"/>
            <family val="3"/>
            <charset val="128"/>
          </rPr>
          <t>9/17納期調整分 -8台追加</t>
        </r>
      </text>
    </comment>
    <comment ref="O459" authorId="4" guid="{E4FA567E-FB91-48AA-A806-F49F1AA77E7C}" shapeId="0" xr:uid="{6D7291DA-6C12-48CB-BDDD-8F6AF40786C5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アミ10
</t>
        </r>
      </text>
    </comment>
    <comment ref="O466" authorId="4" guid="{5053DF0C-788A-47DF-A8CF-E52D12A8F2FB}" shapeId="0" xr:uid="{A2397E98-3539-45B2-9C8B-D0155B16D705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アミ2
</t>
        </r>
      </text>
    </comment>
    <comment ref="O469" authorId="4" guid="{DCB74143-69E4-43B1-95F6-8857149A3DDB}" shapeId="0" xr:uid="{C12B0444-AED1-4D8E-82F2-259DBB9EC6F7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アミ２</t>
        </r>
      </text>
    </comment>
    <comment ref="O476" authorId="4" guid="{E84CD6E5-213A-45DE-9AA2-A2F632B4A811}" shapeId="0" xr:uid="{62609EBF-46FF-4D02-8470-7FAD8DCFFE05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アミ6
</t>
        </r>
      </text>
    </comment>
    <comment ref="C477" authorId="3" guid="{EF43CDBC-D3D5-4829-B894-15AB9215CC31}" shapeId="0" xr:uid="{941618E1-C4D8-45E1-B2B4-CCF1DA4E0F57}">
      <text>
        <r>
          <rPr>
            <b/>
            <sz val="9"/>
            <color indexed="81"/>
            <rFont val="MS P ゴシック"/>
            <family val="3"/>
            <charset val="128"/>
          </rPr>
          <t>Gyomu:</t>
        </r>
        <r>
          <rPr>
            <sz val="9"/>
            <color indexed="81"/>
            <rFont val="MS P ゴシック"/>
            <family val="3"/>
            <charset val="128"/>
          </rPr>
          <t xml:space="preserve">
端数　3×1台車
</t>
        </r>
      </text>
    </comment>
    <comment ref="O477" authorId="4" guid="{9D289F2C-6595-4823-A230-994F4B016E3B}" shapeId="0" xr:uid="{5572DCBA-570E-4D93-8262-96575FD6233A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アミ6
</t>
        </r>
      </text>
    </comment>
    <comment ref="H479" authorId="3" guid="{C7583650-4AD6-47B2-95FA-BE6BA744202F}" shapeId="0" xr:uid="{ADA01E8D-6433-4D26-A51E-6D8C10B323EF}">
      <text>
        <r>
          <rPr>
            <b/>
            <sz val="9"/>
            <color indexed="81"/>
            <rFont val="MS P ゴシック"/>
            <family val="3"/>
            <charset val="128"/>
          </rPr>
          <t>Gyomu:</t>
        </r>
        <r>
          <rPr>
            <sz val="9"/>
            <color indexed="81"/>
            <rFont val="MS P ゴシック"/>
            <family val="3"/>
            <charset val="128"/>
          </rPr>
          <t xml:space="preserve">
端数　3×1台車
</t>
        </r>
      </text>
    </comment>
    <comment ref="O479" authorId="4" guid="{08833A86-D0EF-43FF-8B4E-2976EA5432DD}" shapeId="0" xr:uid="{4B353AEA-DF69-4C84-B569-7AD2702A4BEA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アミ13
</t>
        </r>
      </text>
    </comment>
    <comment ref="O480" authorId="4" guid="{12D9286E-AF90-430F-9356-02DA5DA40CD5}" shapeId="0" xr:uid="{FF093A5C-3427-44BD-A3FD-BD0D57D6882C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アミ2</t>
        </r>
      </text>
    </comment>
    <comment ref="O484" authorId="4" guid="{1A209FFF-79FB-4A66-A243-E720D5CCC179}" shapeId="0" xr:uid="{453C5A66-7411-4965-AF85-34CF5729975E}">
      <text>
        <r>
          <rPr>
            <b/>
            <sz val="9"/>
            <color indexed="81"/>
            <rFont val="MS P ゴシック"/>
            <family val="3"/>
            <charset val="128"/>
          </rPr>
          <t>morikawa:
アミ2</t>
        </r>
      </text>
    </comment>
    <comment ref="O487" authorId="4" guid="{5AAC0863-B8DB-484E-BA2D-86928128B2E5}" shapeId="0" xr:uid="{E2591A7A-3D5A-41E6-BDA8-A52BC704D045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アミ6</t>
        </r>
      </text>
    </comment>
    <comment ref="O499" authorId="4" guid="{A49755E2-C9BE-4705-B890-58DC7164FA31}" shapeId="0" xr:uid="{C53FA5DF-E3E4-40E4-BA22-9556EFD8B244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アミ2
</t>
        </r>
      </text>
    </comment>
    <comment ref="O500" authorId="4" guid="{F5B3EC5A-AFC3-45D0-BC1C-EBF5ACAFA584}" shapeId="0" xr:uid="{54E5387A-CC88-4071-8516-FB25AFAFCBB4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アミ6
</t>
        </r>
      </text>
    </comment>
    <comment ref="O501" authorId="4" guid="{B05A2208-C2BB-4448-8ACD-4BCB64664543}" shapeId="0" xr:uid="{86875C2D-B012-497A-8A92-F8F8B7B95610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アミ4
</t>
        </r>
      </text>
    </comment>
    <comment ref="O505" authorId="4" guid="{77AE3316-88E8-41AF-A07F-0188A6B44117}" shapeId="0" xr:uid="{64308624-BF6D-49CD-83E4-AF7800BC865C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アミ1
</t>
        </r>
      </text>
    </comment>
    <comment ref="O507" authorId="4" guid="{435CE829-223A-4C1B-A88C-38B963DA1094}" shapeId="0" xr:uid="{0DF70754-DA62-469C-879C-D9172C399639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morikawa:
アミ8
</t>
        </r>
      </text>
    </comment>
    <comment ref="O508" authorId="4" guid="{A4A546F4-92AA-43C4-98AC-6DEB2A6136EC}" shapeId="0" xr:uid="{FECB2EBD-B402-4518-9585-58A90CDB56B7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アミ4
</t>
        </r>
      </text>
    </comment>
    <comment ref="O512" authorId="4" guid="{6ED13B4D-9C2E-4B88-8B15-D97BB122EE57}" shapeId="0" xr:uid="{2485FE26-BC36-45F2-973A-732B3F36C901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アミ12
</t>
        </r>
      </text>
    </comment>
    <comment ref="O513" authorId="4" guid="{C4EEFB1F-4013-4164-A6E8-470325A8B390}" shapeId="0" xr:uid="{9FF68256-C06A-4709-9981-BF2106C65597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アミ10
</t>
        </r>
      </text>
    </comment>
    <comment ref="O514" authorId="4" guid="{C92AFE4D-60C7-4BB7-AD60-CBB63F762B31}" shapeId="0" xr:uid="{AB5CCAD2-16CC-42A0-AD52-28ED67E14453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アミ4
</t>
        </r>
      </text>
    </comment>
    <comment ref="O515" authorId="4" guid="{AC6CAEF3-FA7B-4CCD-9AF8-3C23B0CB3EA9}" shapeId="0" xr:uid="{39F8385E-2AA0-4FF1-9F9C-5416B74FFC8D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アミ4
</t>
        </r>
      </text>
    </comment>
    <comment ref="O518" authorId="4" guid="{91692800-769C-4918-AA9D-A78586A17767}" shapeId="0" xr:uid="{D93C2AC6-2E7A-4E85-9179-FB5E417B6516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アミ16
</t>
        </r>
      </text>
    </comment>
    <comment ref="O520" authorId="4" guid="{9A6D4350-985C-4D0F-9180-C2ABF8FED171}" shapeId="0" xr:uid="{E05DA0B3-0CE8-4DED-8FBC-12A758539E32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アミ2
</t>
        </r>
      </text>
    </comment>
    <comment ref="O521" authorId="4" guid="{7BB69798-7B16-4091-9E88-25CF35A8ABF2}" shapeId="0" xr:uid="{3C8FBE94-EECE-41AB-B6BD-93B84168B6F1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アミ8
</t>
        </r>
      </text>
    </comment>
    <comment ref="O522" authorId="4" guid="{C095EC1F-B152-424B-8C57-97E2ED16FE8D}" shapeId="0" xr:uid="{D33FDE7A-B594-4790-9D35-55B44DC04EB2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アミ8
</t>
        </r>
      </text>
    </comment>
    <comment ref="O532" authorId="4" guid="{EF37D1EA-9610-4A43-AC41-A2878DDC93E3}" shapeId="0" xr:uid="{9F3904F9-5A8D-4E96-8C10-1A24003D511A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アミ2
</t>
        </r>
      </text>
    </comment>
    <comment ref="O533" authorId="4" guid="{15CFA97D-B36D-4A26-BAA2-7999E35CF25F}" shapeId="0" xr:uid="{5167EB24-57D7-4E6A-A4B4-D767C31EFFF6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アミ4
</t>
        </r>
      </text>
    </comment>
    <comment ref="O535" authorId="4" guid="{8375E36B-BC1A-4342-80E4-A339562024CA}" shapeId="0" xr:uid="{18D4BFB4-BE12-4F9C-84C1-0507C830FC9B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アミ6
</t>
        </r>
      </text>
    </comment>
    <comment ref="O541" authorId="4" guid="{769DCE44-119E-47B2-87AD-ECC89D205211}" shapeId="0" xr:uid="{DECCAF82-C264-4C63-A3B9-4FB78493C311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アミ4
</t>
        </r>
      </text>
    </comment>
    <comment ref="O543" authorId="4" guid="{62074D92-9045-4ADC-950B-1091AF5A4CE9}" shapeId="0" xr:uid="{8A401198-5954-409C-B716-9007E1D96FB0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アミ2
</t>
        </r>
      </text>
    </comment>
    <comment ref="O546" authorId="4" guid="{7536CEE4-76C0-41FD-8F21-B7B221207D74}" shapeId="0" xr:uid="{CC472E24-FC31-4AAA-BDF3-1233D3D16E95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アミ12
</t>
        </r>
      </text>
    </comment>
    <comment ref="C548" authorId="0" guid="{5D99E08D-F3B4-4F8E-A932-EECCC02DBA88}" shapeId="0" xr:uid="{2575B1CA-786D-4539-85C0-E92684667352}">
      <text>
        <r>
          <rPr>
            <b/>
            <sz val="9"/>
            <color indexed="81"/>
            <rFont val="MS P ゴシック"/>
            <family val="3"/>
            <charset val="128"/>
          </rPr>
          <t>GPM向け 20製作 4台乗せ台車をご用意願います。</t>
        </r>
      </text>
    </comment>
    <comment ref="O548" authorId="4" guid="{51CC7668-E4F0-44D7-9152-D9B0C2D630BA}" shapeId="0" xr:uid="{8CEF3B76-9B8B-49EC-A42C-01F01C57EED0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アミ10
</t>
        </r>
      </text>
    </comment>
    <comment ref="O549" authorId="4" guid="{1E731C52-8EE6-4EF6-AF9F-C4B5E8FD15E4}" shapeId="0" xr:uid="{D832251A-3D16-4D03-8834-96B638B80BFB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アミ2
</t>
        </r>
      </text>
    </comment>
    <comment ref="G550" authorId="0" guid="{E20AFD3B-DE5B-494F-918B-D7799EB49F97}" shapeId="0" xr:uid="{9CEFB2AA-00B4-4D43-A8BE-9971EA9C95DA}">
      <text>
        <r>
          <rPr>
            <b/>
            <sz val="9"/>
            <color indexed="81"/>
            <rFont val="MS P ゴシック"/>
            <family val="3"/>
            <charset val="128"/>
          </rPr>
          <t>GPM向け　20台注文あり</t>
        </r>
      </text>
    </comment>
    <comment ref="O550" authorId="4" guid="{D732FCD9-CFDE-4945-8403-8D46E98EF292}" shapeId="0" xr:uid="{1FB1771E-8BDE-4390-B86A-AE236F2A5A97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アミ4
</t>
        </r>
      </text>
    </comment>
    <comment ref="O553" authorId="4" guid="{42ED0A71-8D65-4824-AE5C-561EEF9223AB}" shapeId="0" xr:uid="{7023B5C0-5895-430D-AD68-2ED91F0D8709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morikawa:
アミ9
</t>
        </r>
      </text>
    </comment>
    <comment ref="O554" authorId="4" guid="{A95478A4-9530-4350-A505-7E95E58ADDCC}" shapeId="0" xr:uid="{69B2BD42-AEFA-4DD6-B13B-ABAFAC2C5A12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アミ11
</t>
        </r>
      </text>
    </comment>
    <comment ref="O555" authorId="4" guid="{4CE56A35-58A0-4B02-9437-23FFB1F11C92}" shapeId="0" xr:uid="{FEB44926-0E14-4DD5-B5A1-1288CAC90227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アミ2
</t>
        </r>
      </text>
    </comment>
    <comment ref="O556" authorId="4" guid="{FABAAB12-192C-4050-A884-71052A1B295A}" shapeId="0" xr:uid="{5211594D-43ED-4B95-A747-6079D24CE448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アミ11</t>
        </r>
      </text>
    </comment>
    <comment ref="O557" authorId="4" guid="{89109A2A-9A06-4E7C-BEA6-84023BF78AFD}" shapeId="0" xr:uid="{9AC2E231-C47E-4C9A-8E50-F2FCE759237D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アミ19
</t>
        </r>
      </text>
    </comment>
    <comment ref="O567" authorId="4" guid="{01D73385-8F9B-4281-8C29-6AE97AE3C384}" shapeId="0" xr:uid="{CA4FC3B5-F97C-4630-9BD7-65DA01204C68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アミ9
</t>
        </r>
      </text>
    </comment>
    <comment ref="O568" authorId="4" guid="{D7F8F03B-5303-4E64-A481-D1EAE5CA349A}" shapeId="0" xr:uid="{5C72CD52-996E-4EC8-8F83-DADAFEA78874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アミ4
</t>
        </r>
      </text>
    </comment>
    <comment ref="O569" authorId="4" guid="{0AE09C54-B70C-4699-BD81-2A4BF7B8E29F}" shapeId="0" xr:uid="{394011E8-BBD8-4D62-AEE6-205C417D31BD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アミ4
</t>
        </r>
      </text>
    </comment>
    <comment ref="O570" authorId="4" guid="{4BB95ABE-61F4-40B3-8E28-1A7912CDFA90}" shapeId="0" xr:uid="{C17ABB42-B995-4D05-94DC-A449DB4BA1CB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アミ14
</t>
        </r>
      </text>
    </comment>
    <comment ref="O575" authorId="4" guid="{D853FFCE-4580-4674-89E9-C9FB2EABB066}" shapeId="0" xr:uid="{2E8741A5-83F4-4F86-8015-B18FE29EE1F9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アミ8</t>
        </r>
      </text>
    </comment>
    <comment ref="O576" authorId="4" guid="{94678E4C-CD84-4ADD-B8C0-B22ACD5FD069}" shapeId="0" xr:uid="{3A94A4F4-F534-43DF-A2CB-772828356DA9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アミ14
</t>
        </r>
      </text>
    </comment>
    <comment ref="O577" authorId="4" guid="{AB649658-6C94-4D7D-B57E-871B621766C7}" shapeId="0" xr:uid="{A2616000-DE9E-46CC-BBB3-50605827C766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アミ10
</t>
        </r>
      </text>
    </comment>
    <comment ref="O578" authorId="4" guid="{DDD08031-15D9-4E8E-BB7B-98F29E55880C}" shapeId="0" xr:uid="{E3B0AE21-DA7D-4857-A2EC-4CA92538ABF1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アミ10
</t>
        </r>
      </text>
    </comment>
    <comment ref="O581" authorId="4" guid="{B74E8E79-9CD6-4F7F-90D7-5A54CBDAC53A}" shapeId="0" xr:uid="{8E0436B8-81AB-4FC0-BE80-D8770F1D9BD2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アミ2
</t>
        </r>
      </text>
    </comment>
    <comment ref="O582" authorId="4" guid="{67BE4AE5-C638-40AC-9DD9-679DED9F963C}" shapeId="0" xr:uid="{97BCC6F8-8B5A-42E2-AB40-27AE7736225C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アミ5</t>
        </r>
      </text>
    </comment>
    <comment ref="O583" authorId="4" guid="{13A4CFDB-BBD3-419D-B51D-129F2080BE6E}" shapeId="0" xr:uid="{41FE331A-11FF-48C4-8FA5-839C763C3213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アミ20</t>
        </r>
      </text>
    </comment>
    <comment ref="O584" authorId="4" guid="{722ED52B-3118-4145-98F0-41C3B3F4C155}" shapeId="0" xr:uid="{D463786C-91D1-4FDA-9739-219E58511566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アミ6</t>
        </r>
      </text>
    </comment>
    <comment ref="O588" authorId="4" guid="{802EACB7-C0E3-4ACF-AB74-A454512E0F0B}" shapeId="0" xr:uid="{5B7000CE-E592-4A1B-962A-520250AA697A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アミ2
</t>
        </r>
      </text>
    </comment>
    <comment ref="O589" authorId="4" guid="{FFF0A0C9-9E83-4E4C-992F-E8767C16F4CF}" shapeId="0" xr:uid="{9C968F58-8824-483D-A18C-5A198559B80B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アミ6
</t>
        </r>
      </text>
    </comment>
    <comment ref="O595" authorId="4" guid="{3A48CAE6-528D-4696-A0C2-F5078A9CB816}" shapeId="0" xr:uid="{EC762714-8E12-4A4C-9254-435007BF9336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アミ4
</t>
        </r>
      </text>
    </comment>
    <comment ref="O598" authorId="4" guid="{F685C9B1-2AD9-4CC5-83D1-BFE961270C25}" shapeId="0" xr:uid="{27259499-2D3F-45B0-BEA3-680B75476BD8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アミ8
</t>
        </r>
      </text>
    </comment>
    <comment ref="O602" authorId="4" guid="{5284537D-9063-43BE-8C03-940FEDB0C66C}" shapeId="0" xr:uid="{CDBB2CBB-661F-457F-BC76-E5B5974BC376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アミ4</t>
        </r>
      </text>
    </comment>
    <comment ref="O604" authorId="4" guid="{E1E0FDB2-D95F-4644-9CD1-96E79F124168}" shapeId="0" xr:uid="{3B0EAF3A-345C-4379-9E37-2BCBEF929751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アミ4</t>
        </r>
      </text>
    </comment>
    <comment ref="O609" authorId="4" guid="{AD400ED6-9B2F-4DF6-AA55-125D90EC4E9A}" shapeId="0" xr:uid="{E0381FC3-446E-4A9A-98F1-4AF4CBF84E42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アミ3
</t>
        </r>
      </text>
    </comment>
    <comment ref="O610" authorId="4" guid="{3A9E5AFA-3CDE-44EA-8D29-A47BAAC72A91}" shapeId="0" xr:uid="{3FAB94EB-8B98-4737-9E44-A594C04AF5E3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アミ4
</t>
        </r>
      </text>
    </comment>
    <comment ref="O613" authorId="4" guid="{49F88DEF-6BB7-44A8-908D-EC993A948047}" shapeId="0" xr:uid="{96D7A0D3-5FD9-4D07-9FB7-5860E73A75A5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アミ7
</t>
        </r>
      </text>
    </comment>
    <comment ref="O616" authorId="4" guid="{DDC2CD65-DD3A-49F4-8046-1025A865F17D}" shapeId="0" xr:uid="{0CBB45D7-81C7-435D-B1EE-AC9DAFDAAC11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アミ3
</t>
        </r>
      </text>
    </comment>
    <comment ref="O617" authorId="4" guid="{0D9ECD6B-26A5-48EA-8774-745F95593B35}" shapeId="0" xr:uid="{3E58E040-A347-44DA-86B7-84EAF78D2E3E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アミ2
</t>
        </r>
      </text>
    </comment>
    <comment ref="O618" authorId="0" guid="{4F6DD2A4-40A6-4B88-8623-42A6CE2AC3D0}" shapeId="0" xr:uid="{52D505A5-FBFC-469F-B4CB-6B28C3401176}">
      <text>
        <r>
          <rPr>
            <b/>
            <sz val="9"/>
            <color indexed="81"/>
            <rFont val="MS P ゴシック"/>
            <family val="3"/>
            <charset val="128"/>
          </rPr>
          <t>網　4</t>
        </r>
      </text>
    </comment>
    <comment ref="O619" authorId="4" guid="{D572D8FB-3E02-44AF-91B0-3DC1D781ECA9}" shapeId="0" xr:uid="{70894921-6CBF-46A6-A2C6-458FBCB95999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アミ4
</t>
        </r>
      </text>
    </comment>
    <comment ref="O623" authorId="4" guid="{56BB3F9C-A587-4729-BA68-72F0DE9F4691}" shapeId="0" xr:uid="{E2274413-3D66-4C4B-98E9-51C0BC6B48BA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アミ11</t>
        </r>
      </text>
    </comment>
    <comment ref="O624" authorId="4" guid="{7B45FE0A-9467-421A-8E9B-EB475E6CF424}" shapeId="0" xr:uid="{0F174073-2FC0-4E5D-BBA9-E2F554493DD5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アミ8</t>
        </r>
      </text>
    </comment>
    <comment ref="O625" authorId="4" guid="{25AFB162-A713-4923-AD13-B4D867A78F49}" shapeId="0" xr:uid="{82EE346F-3D63-4798-9E87-A9E26D6CD555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アミ2</t>
        </r>
      </text>
    </comment>
    <comment ref="O626" authorId="4" guid="{A6AF02FC-ABC9-459A-A01B-8BD61AFC0B76}" shapeId="0" xr:uid="{229CBB26-ABFB-415C-90B2-685CA2CAC83A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アミ12+4
</t>
        </r>
      </text>
    </comment>
    <comment ref="O630" authorId="4" guid="{464E0F7F-6C34-474F-B651-3029BBDD6527}" shapeId="0" xr:uid="{1044C6A9-9B67-46E1-AD6C-AC3884A5174F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アミ12
</t>
        </r>
      </text>
    </comment>
    <comment ref="O632" authorId="4" guid="{2FE539E4-58B2-4208-A09B-AADA0CAA5D70}" shapeId="0" xr:uid="{698F67D2-64D1-49A0-86F5-95B1E639A067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アミ15
</t>
        </r>
      </text>
    </comment>
    <comment ref="O633" authorId="4" guid="{002555EC-71BA-4DBD-9530-2F7EF305E2F0}" shapeId="0" xr:uid="{6C803C4B-EDBF-426F-88A1-3D10356F8473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アミ12
</t>
        </r>
      </text>
    </comment>
    <comment ref="O638" authorId="4" guid="{9E04B43F-4F9D-46DF-A979-33E9FB2E4FF4}" shapeId="0" xr:uid="{0B38066E-6205-4B68-8B0F-1742A146ED5C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アミ16
</t>
        </r>
      </text>
    </comment>
    <comment ref="O639" authorId="4" guid="{93C3897E-CE66-4A53-B7B2-E1D69A197EEE}" shapeId="0" xr:uid="{0739A0E5-6395-4E3E-B966-F6CB4C703681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アミ12
</t>
        </r>
      </text>
    </comment>
    <comment ref="O644" authorId="4" guid="{D4B53899-AC35-4525-9AA6-9D78E267D2F1}" shapeId="0" xr:uid="{40DFFFAB-6C41-46D7-8019-2AC06E3260BA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アミ2</t>
        </r>
      </text>
    </comment>
    <comment ref="O645" authorId="4" guid="{6C8124F2-A57A-48D5-AABF-0999AE9D3E05}" shapeId="0" xr:uid="{EA0E6ACE-FAAB-4897-8F9F-0DF021B33ECC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アミ9
</t>
        </r>
      </text>
    </comment>
    <comment ref="O646" authorId="4" guid="{F6949F67-4A47-4895-B430-FCDFCE552E7F}" shapeId="0" xr:uid="{C6F5A933-757D-4978-BEB3-2190DE7BD330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アミ9
</t>
        </r>
      </text>
    </comment>
    <comment ref="O647" authorId="4" guid="{EB07DA0E-D813-42C9-96CC-168B24C7F5A0}" shapeId="0" xr:uid="{DDC9F4D9-165F-4D32-AE8F-B299177318B9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アミ2
</t>
        </r>
      </text>
    </comment>
    <comment ref="O652" authorId="4" guid="{EDB3A840-DCDA-4983-8C94-7371395E85EE}" shapeId="0" xr:uid="{53A36AB3-568D-499A-993E-E4C068F76C36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アミ2
</t>
        </r>
      </text>
    </comment>
    <comment ref="O653" authorId="4" guid="{4E4D4619-5492-452A-A1AB-C7A06CBBD78D}" shapeId="0" xr:uid="{281BD226-FAD1-4C3C-BEF9-34569454AFA6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アミ3
</t>
        </r>
      </text>
    </comment>
    <comment ref="O655" authorId="4" guid="{3B866C15-6BC3-435F-BCDE-4AD688862464}" shapeId="0" xr:uid="{1C0B2AF9-840F-445F-92D8-137A25E72015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アミ11
</t>
        </r>
      </text>
    </comment>
    <comment ref="O661" authorId="4" guid="{1A7B1479-9300-48DC-9696-D3C0694A097F}" shapeId="0" xr:uid="{541BCB39-A9AF-4C7B-B161-35696B223326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アミ12
</t>
        </r>
      </text>
    </comment>
    <comment ref="O662" authorId="4" guid="{718DC68C-218D-4715-B29D-009ED569F3EA}" shapeId="0" xr:uid="{29281D3B-D7D6-4772-A71B-D166E32C2C76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アミ8
</t>
        </r>
      </text>
    </comment>
    <comment ref="G665" authorId="0" guid="{1F283F73-DC4B-4C7E-8AD4-B90F443D2AE0}" shapeId="0" xr:uid="{E5F81144-591E-4FB1-A394-8B09EF873016}">
      <text>
        <r>
          <rPr>
            <b/>
            <sz val="12"/>
            <color indexed="81"/>
            <rFont val="MS P ゴシック"/>
            <family val="3"/>
            <charset val="128"/>
          </rPr>
          <t xml:space="preserve">2台乗せ
</t>
        </r>
      </text>
    </comment>
    <comment ref="O666" authorId="4" guid="{8DA80550-88E5-4A5C-98A8-2612E62A640B}" shapeId="0" xr:uid="{05ADD1A4-ADA6-454C-A1E8-B29E8D89CD6E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アミ4
</t>
        </r>
      </text>
    </comment>
    <comment ref="O667" authorId="4" guid="{8F0D319E-4565-4F78-A22E-1807F7937600}" shapeId="0" xr:uid="{15AA34B9-81DF-4FC8-8DC7-E35DE8676E0A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アミ6
</t>
        </r>
      </text>
    </comment>
    <comment ref="O668" authorId="4" guid="{88D8F83C-250C-4ABB-A996-4BB9DA8D4504}" shapeId="0" xr:uid="{B4090FBA-DF26-45E8-B9EB-ED11A87B3699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アミ18
</t>
        </r>
      </text>
    </comment>
    <comment ref="O669" authorId="4" guid="{F77E753A-99B1-46E8-8F77-6E60C67EF57B}" shapeId="0" xr:uid="{9D910308-0146-412F-A5C8-B0B8DD99B735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アミ8</t>
        </r>
      </text>
    </comment>
    <comment ref="O672" authorId="4" guid="{3B7DDEF5-B6E6-49FC-8CC5-BF958254294A}" shapeId="0" xr:uid="{F00B6673-0AC4-40B6-A029-ABE04FB8B739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アミ11
</t>
        </r>
      </text>
    </comment>
    <comment ref="O673" authorId="4" guid="{D7B61577-1F0C-4613-A9D1-CC629A434E57}" shapeId="0" xr:uid="{0E5D423E-3C78-4E7B-9F5F-61E0D3CCCEC2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アミ8
</t>
        </r>
      </text>
    </comment>
    <comment ref="O674" authorId="4" guid="{DA5C75F0-2448-4865-93C7-D10CC1AE4B91}" shapeId="0" xr:uid="{CA69B0CE-0725-44FC-8373-C7C92B72769C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アミ2
</t>
        </r>
      </text>
    </comment>
    <comment ref="O675" authorId="4" guid="{676F7E41-B4A4-4553-A755-52272685CA29}" shapeId="0" xr:uid="{8880C58C-40A0-47BD-BA2B-914ED5167512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アミ8
</t>
        </r>
      </text>
    </comment>
    <comment ref="O679" authorId="4" guid="{46C15523-879B-452D-A684-837DD4CA65A8}" shapeId="0" xr:uid="{57CAC6A6-8F3E-486D-8479-278840BF0BFC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アミ10</t>
        </r>
      </text>
    </comment>
    <comment ref="O680" authorId="4" guid="{D94AC23A-36A7-48C2-A7E2-C4CE530E3818}" shapeId="0" xr:uid="{99F56881-C8C5-483D-9509-1C4EC2B1A206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アミ8
</t>
        </r>
      </text>
    </comment>
    <comment ref="O681" authorId="4" guid="{B304F78B-9B47-4CFB-8DC2-F49319B9FC25}" shapeId="0" xr:uid="{721F6935-FBF6-4BE9-9EDD-130262F40755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アミ6
</t>
        </r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アミ8
</t>
        </r>
      </text>
    </comment>
    <comment ref="O688" authorId="4" guid="{75D7A13E-C85E-4B07-95A9-F7A725975985}" shapeId="0" xr:uid="{2FC065D2-D3F4-4A7A-8D75-E20192A0672B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アミ4
</t>
        </r>
      </text>
    </comment>
    <comment ref="O693" authorId="4" guid="{E47BABB5-4423-421A-8612-0663D113E48E}" shapeId="0" xr:uid="{5CD274D0-60DA-4A46-A553-7060C643A3E6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アミ6
</t>
        </r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アミ2
</t>
        </r>
      </text>
    </comment>
    <comment ref="O694" authorId="4" guid="{FEAEAE48-DFF2-4A40-BF8C-99A121ECBBE1}" shapeId="0" xr:uid="{8FB49B9D-7F17-42D4-A6A5-53F4DE858527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アミ5
</t>
        </r>
      </text>
    </comment>
    <comment ref="O695" authorId="4" guid="{3E8DFC54-87E9-46EF-AAFC-57E31AF38405}" shapeId="0" xr:uid="{C4C3FAC3-EF63-4CCB-B5D9-38BC03A0FD89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アミ3
</t>
        </r>
      </text>
    </comment>
    <comment ref="O697" authorId="4" guid="{4E353B15-AB8D-4CAB-AA5C-78DD5CAA9CAF}" shapeId="0" xr:uid="{8E719BB6-561D-49F0-A8A1-E581DA0B72A2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アミ8
</t>
        </r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アミ2
</t>
        </r>
      </text>
    </comment>
    <comment ref="O709" authorId="4" guid="{D8CEC62D-0CA0-4AAC-B0A6-26FA762B4434}" shapeId="0" xr:uid="{BC2DB86B-6105-47B4-8DDA-A9FDBB0A68BA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アミ4
</t>
        </r>
      </text>
    </comment>
    <comment ref="O714" authorId="4" guid="{09DBDDBE-CB77-4479-BDE4-01463284E23C}" shapeId="0" xr:uid="{B4860D92-6001-460C-B383-0E2F8470B4EB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アミ2
</t>
        </r>
      </text>
    </comment>
    <comment ref="O716" authorId="4" guid="{5851E23F-7403-46C4-9A40-9E6784E0D61A}" shapeId="0" xr:uid="{BB390FAE-0001-4A6F-96C1-E63862BDBDD7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アミ2+3
</t>
        </r>
      </text>
    </comment>
    <comment ref="O717" authorId="4" guid="{F1FBD77E-E267-4C58-B1BF-A1D1EEE84D47}" shapeId="0" xr:uid="{157792C9-E4F7-48FF-9D04-E8A0A1131348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アミ12
</t>
        </r>
      </text>
    </comment>
    <comment ref="O718" authorId="3" guid="{D1C62A29-39F1-48B2-8C94-622A0C304F4D}" shapeId="0" xr:uid="{6FBA2B92-3556-4DFD-90DB-153D865A7B49}">
      <text>
        <r>
          <rPr>
            <b/>
            <sz val="9"/>
            <color indexed="81"/>
            <rFont val="MS P ゴシック"/>
            <family val="3"/>
            <charset val="128"/>
          </rPr>
          <t>Gyomu:</t>
        </r>
        <r>
          <rPr>
            <sz val="9"/>
            <color indexed="81"/>
            <rFont val="MS P ゴシック"/>
            <family val="3"/>
            <charset val="128"/>
          </rPr>
          <t xml:space="preserve">
アミ5
</t>
        </r>
      </text>
    </comment>
    <comment ref="C722" authorId="0" guid="{C8A5DB00-B7B9-4AC1-B452-D42C839B9C2B}" shapeId="0" xr:uid="{E11D7BCC-A1C4-48E4-AC93-F2B31541FA8E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3台乗せ台車必要
</t>
        </r>
      </text>
    </comment>
    <comment ref="O722" authorId="3" guid="{A6A4BEEA-69DA-4533-BAE3-5A827CC5DB79}" shapeId="0" xr:uid="{32B7441C-16EA-4156-B374-D108A4169DE7}">
      <text>
        <r>
          <rPr>
            <b/>
            <sz val="9"/>
            <color indexed="81"/>
            <rFont val="MS P ゴシック"/>
            <family val="3"/>
            <charset val="128"/>
          </rPr>
          <t>Gyomu:</t>
        </r>
        <r>
          <rPr>
            <sz val="9"/>
            <color indexed="81"/>
            <rFont val="MS P ゴシック"/>
            <family val="3"/>
            <charset val="128"/>
          </rPr>
          <t xml:space="preserve">
アミ9
</t>
        </r>
      </text>
    </comment>
    <comment ref="O723" authorId="3" guid="{6CAE7EE9-76A2-46EE-AB9B-C98A3B747F71}" shapeId="0" xr:uid="{3C8F4D4B-4703-4BB7-AF16-D2F7BFF67EFE}">
      <text>
        <r>
          <rPr>
            <b/>
            <sz val="9"/>
            <color indexed="81"/>
            <rFont val="MS P ゴシック"/>
            <family val="3"/>
            <charset val="128"/>
          </rPr>
          <t>Gyomu:</t>
        </r>
        <r>
          <rPr>
            <sz val="9"/>
            <color indexed="81"/>
            <rFont val="MS P ゴシック"/>
            <family val="3"/>
            <charset val="128"/>
          </rPr>
          <t xml:space="preserve">
アミ10+10
</t>
        </r>
      </text>
    </comment>
    <comment ref="G724" authorId="0" guid="{EF881BB5-FEEF-4D3F-BCC7-F820F4B768BD}" shapeId="0" xr:uid="{9FE16414-E878-4795-AC4B-2214E034B68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3台乗せ台車必要
</t>
        </r>
      </text>
    </comment>
    <comment ref="H724" authorId="0" guid="{F5F14DFA-74FE-4C71-93D7-9B884578C154}" shapeId="0" xr:uid="{DE6A82EA-C050-4AC1-8E5B-1DC35C575C2C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3台乗せ台車必要
</t>
        </r>
      </text>
    </comment>
    <comment ref="O724" authorId="3" guid="{DEF9BFF0-F273-47BB-A89C-DD5E6615D148}" shapeId="0" xr:uid="{1B959AC8-1372-4F39-830F-90AAD0C0E035}">
      <text>
        <r>
          <rPr>
            <b/>
            <sz val="9"/>
            <color indexed="81"/>
            <rFont val="MS P ゴシック"/>
            <family val="3"/>
            <charset val="128"/>
          </rPr>
          <t>Gyomu:</t>
        </r>
        <r>
          <rPr>
            <sz val="9"/>
            <color indexed="81"/>
            <rFont val="MS P ゴシック"/>
            <family val="3"/>
            <charset val="128"/>
          </rPr>
          <t xml:space="preserve">
アミ3
</t>
        </r>
      </text>
    </comment>
    <comment ref="O725" authorId="3" guid="{2D274DFE-39C8-422A-999E-AD8AA9724966}" shapeId="0" xr:uid="{EACA8AC9-4C5C-4D3E-AE18-D2C99B9E34B5}">
      <text>
        <r>
          <rPr>
            <b/>
            <sz val="9"/>
            <color indexed="81"/>
            <rFont val="MS P ゴシック"/>
            <family val="3"/>
            <charset val="128"/>
          </rPr>
          <t>Gyomu:</t>
        </r>
        <r>
          <rPr>
            <sz val="9"/>
            <color indexed="81"/>
            <rFont val="MS P ゴシック"/>
            <family val="3"/>
            <charset val="128"/>
          </rPr>
          <t xml:space="preserve">
アミ3
</t>
        </r>
      </text>
    </comment>
    <comment ref="O728" authorId="3" guid="{CCE78D7F-1885-4BDB-94C6-986E00829710}" shapeId="0" xr:uid="{A9D89354-8845-4D5C-A9B6-9001F6498545}">
      <text>
        <r>
          <rPr>
            <b/>
            <sz val="9"/>
            <color indexed="81"/>
            <rFont val="MS P ゴシック"/>
            <family val="3"/>
            <charset val="128"/>
          </rPr>
          <t>Gyomu:</t>
        </r>
        <r>
          <rPr>
            <sz val="9"/>
            <color indexed="81"/>
            <rFont val="MS P ゴシック"/>
            <family val="3"/>
            <charset val="128"/>
          </rPr>
          <t xml:space="preserve">
アミ4
</t>
        </r>
      </text>
    </comment>
    <comment ref="O729" authorId="3" guid="{D55A472F-2652-4AF6-91E3-AC2D6942E8F0}" shapeId="0" xr:uid="{8085136B-CF9A-4580-8156-D40207F2449F}">
      <text>
        <r>
          <rPr>
            <b/>
            <sz val="9"/>
            <color indexed="81"/>
            <rFont val="MS P ゴシック"/>
            <family val="3"/>
            <charset val="128"/>
          </rPr>
          <t>Gyomu:</t>
        </r>
        <r>
          <rPr>
            <sz val="9"/>
            <color indexed="81"/>
            <rFont val="MS P ゴシック"/>
            <family val="3"/>
            <charset val="128"/>
          </rPr>
          <t xml:space="preserve">
アミ12
</t>
        </r>
      </text>
    </comment>
    <comment ref="O730" authorId="5" guid="{EEC7FA57-B27E-42B2-98E4-764E113910CA}" shapeId="0" xr:uid="{2472999C-7E2B-4770-AC89-A4CFA943A710}">
      <text>
        <r>
          <rPr>
            <b/>
            <sz val="9"/>
            <color indexed="81"/>
            <rFont val="MS P ゴシック"/>
            <family val="3"/>
            <charset val="128"/>
          </rPr>
          <t>tsujioka:</t>
        </r>
        <r>
          <rPr>
            <sz val="9"/>
            <color indexed="81"/>
            <rFont val="MS P ゴシック"/>
            <family val="3"/>
            <charset val="128"/>
          </rPr>
          <t xml:space="preserve">
アミ3
</t>
        </r>
      </text>
    </comment>
    <comment ref="O732" authorId="4" guid="{A6242B44-6753-46AA-9F4B-84817B115823}" shapeId="0" xr:uid="{1FD6286F-E208-4554-8110-A64EF5A86363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アミ5
</t>
        </r>
      </text>
    </comment>
    <comment ref="O735" authorId="4" guid="{4E50CB9E-9FA4-4A95-8D39-EE29B034D7FC}" shapeId="0" xr:uid="{68DE96ED-E136-4B98-BD21-32FFF18D617E}">
      <text>
        <r>
          <rPr>
            <b/>
            <sz val="9"/>
            <color indexed="81"/>
            <rFont val="MS P ゴシック"/>
            <family val="3"/>
            <charset val="128"/>
          </rPr>
          <t>morikawa:</t>
        </r>
        <r>
          <rPr>
            <sz val="9"/>
            <color indexed="81"/>
            <rFont val="MS P ゴシック"/>
            <family val="3"/>
            <charset val="128"/>
          </rPr>
          <t xml:space="preserve">
アミ2
</t>
        </r>
      </text>
    </comment>
    <comment ref="O736" authorId="5" guid="{AEFF462C-B934-48F8-AC55-4A58DEE68013}" shapeId="0" xr:uid="{26DC4ED4-DC26-438D-B3F6-0FBE4D312B4C}">
      <text>
        <r>
          <rPr>
            <b/>
            <sz val="9"/>
            <color indexed="81"/>
            <rFont val="MS P ゴシック"/>
            <family val="3"/>
            <charset val="128"/>
          </rPr>
          <t>tsujioka:</t>
        </r>
        <r>
          <rPr>
            <sz val="9"/>
            <color indexed="81"/>
            <rFont val="MS P ゴシック"/>
            <family val="3"/>
            <charset val="128"/>
          </rPr>
          <t xml:space="preserve">
アミ10
</t>
        </r>
      </text>
    </comment>
    <comment ref="O737" authorId="5" guid="{8732375C-19E8-46BB-8FAA-681BC94B082E}" shapeId="0" xr:uid="{1B8793C0-E4E2-4129-9954-30DD3AC44B1D}">
      <text>
        <r>
          <rPr>
            <b/>
            <sz val="9"/>
            <color indexed="81"/>
            <rFont val="MS P ゴシック"/>
            <family val="3"/>
            <charset val="128"/>
          </rPr>
          <t>tsujioka:</t>
        </r>
        <r>
          <rPr>
            <sz val="9"/>
            <color indexed="81"/>
            <rFont val="MS P ゴシック"/>
            <family val="3"/>
            <charset val="128"/>
          </rPr>
          <t xml:space="preserve">
アミ4
</t>
        </r>
      </text>
    </comment>
    <comment ref="O738" authorId="5" guid="{E3FA4187-D231-45DF-A6AD-B277654CB784}" shapeId="0" xr:uid="{08CF31CB-3044-4106-8963-A7F97DA9F681}">
      <text>
        <r>
          <rPr>
            <b/>
            <sz val="9"/>
            <color indexed="81"/>
            <rFont val="MS P ゴシック"/>
            <family val="3"/>
            <charset val="128"/>
          </rPr>
          <t>tsujioka:</t>
        </r>
        <r>
          <rPr>
            <sz val="9"/>
            <color indexed="81"/>
            <rFont val="MS P ゴシック"/>
            <family val="3"/>
            <charset val="128"/>
          </rPr>
          <t xml:space="preserve">
アミ22
</t>
        </r>
      </text>
    </comment>
    <comment ref="H739" authorId="3" guid="{35260148-F3B0-48F4-A662-153AC8B53A12}" shapeId="0" xr:uid="{95926ADB-3FA4-4451-AEDB-053C8E2F7BF6}">
      <text>
        <r>
          <rPr>
            <b/>
            <sz val="9"/>
            <color indexed="81"/>
            <rFont val="MS P ゴシック"/>
            <family val="3"/>
            <charset val="128"/>
          </rPr>
          <t>試作発注分</t>
        </r>
        <r>
          <rPr>
            <sz val="9"/>
            <color indexed="81"/>
            <rFont val="MS P ゴシック"/>
            <family val="3"/>
            <charset val="128"/>
          </rPr>
          <t xml:space="preserve">
3台乗せ台車必要
</t>
        </r>
      </text>
    </comment>
    <comment ref="O739" authorId="5" guid="{9761C535-8E80-4832-9EFE-52F480B6E578}" shapeId="0" xr:uid="{5B1613AE-0A94-4B67-BECD-7E631FEA9824}">
      <text>
        <r>
          <rPr>
            <b/>
            <sz val="9"/>
            <color indexed="81"/>
            <rFont val="MS P ゴシック"/>
            <family val="3"/>
            <charset val="128"/>
          </rPr>
          <t>tsujioka:</t>
        </r>
        <r>
          <rPr>
            <sz val="9"/>
            <color indexed="81"/>
            <rFont val="MS P ゴシック"/>
            <family val="3"/>
            <charset val="128"/>
          </rPr>
          <t xml:space="preserve">
アミ4
</t>
        </r>
      </text>
    </comment>
    <comment ref="O742" authorId="5" guid="{D33A56D9-1FE1-46DE-99A8-7BA0D8466F70}" shapeId="0" xr:uid="{C658F5F0-B149-48B2-8A8D-0A7B359F85B9}">
      <text>
        <r>
          <rPr>
            <b/>
            <sz val="9"/>
            <color indexed="81"/>
            <rFont val="MS P ゴシック"/>
            <family val="3"/>
            <charset val="128"/>
          </rPr>
          <t>tsujioka:</t>
        </r>
        <r>
          <rPr>
            <sz val="9"/>
            <color indexed="81"/>
            <rFont val="MS P ゴシック"/>
            <family val="3"/>
            <charset val="128"/>
          </rPr>
          <t xml:space="preserve">
アミ2
</t>
        </r>
      </text>
    </comment>
    <comment ref="O743" authorId="5" guid="{33A1AB45-3306-451A-AF56-3B1D7CD89CAA}" shapeId="0" xr:uid="{D5F7F34C-827A-473C-AEDF-7E49A2E1A973}">
      <text>
        <r>
          <rPr>
            <b/>
            <sz val="9"/>
            <color indexed="81"/>
            <rFont val="MS P ゴシック"/>
            <family val="3"/>
            <charset val="128"/>
          </rPr>
          <t>tsujioka:</t>
        </r>
        <r>
          <rPr>
            <sz val="9"/>
            <color indexed="81"/>
            <rFont val="MS P ゴシック"/>
            <family val="3"/>
            <charset val="128"/>
          </rPr>
          <t xml:space="preserve">
アミ2
</t>
        </r>
      </text>
    </comment>
    <comment ref="O744" authorId="5" guid="{0E32E7E3-A208-4D01-A2E1-4907C4F49728}" shapeId="0" xr:uid="{42222B59-013D-4EB7-B6DE-7DABDF9DAD1C}">
      <text>
        <r>
          <rPr>
            <b/>
            <sz val="9"/>
            <color indexed="81"/>
            <rFont val="MS P ゴシック"/>
            <family val="3"/>
            <charset val="128"/>
          </rPr>
          <t>tsujioka:</t>
        </r>
        <r>
          <rPr>
            <sz val="9"/>
            <color indexed="81"/>
            <rFont val="MS P ゴシック"/>
            <family val="3"/>
            <charset val="128"/>
          </rPr>
          <t xml:space="preserve">
アミ7
</t>
        </r>
      </text>
    </comment>
    <comment ref="O745" authorId="5" guid="{DB4024E2-AB74-4CEC-B3F6-6032F8D21665}" shapeId="0" xr:uid="{C9846E20-36E1-42F5-94EB-516F5C5D5895}">
      <text>
        <r>
          <rPr>
            <b/>
            <sz val="9"/>
            <color indexed="81"/>
            <rFont val="MS P ゴシック"/>
            <family val="3"/>
            <charset val="128"/>
          </rPr>
          <t>tsujioka:</t>
        </r>
        <r>
          <rPr>
            <sz val="9"/>
            <color indexed="81"/>
            <rFont val="MS P ゴシック"/>
            <family val="3"/>
            <charset val="128"/>
          </rPr>
          <t xml:space="preserve">
アミ2
</t>
        </r>
      </text>
    </comment>
    <comment ref="G749" authorId="0" guid="{4F46921B-FFF5-4887-885B-AFFC95B9695B}" shapeId="0" xr:uid="{31902C24-723F-49B6-98AE-3097BF2323C1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ＧＰＭ向け 製品
１台
</t>
        </r>
      </text>
    </comment>
    <comment ref="O749" authorId="5" guid="{80B2D3BA-A621-492E-93D7-577F58E90D74}" shapeId="0" xr:uid="{4B2EEAFF-F1CD-4B1C-9E60-B1135B032883}">
      <text>
        <r>
          <rPr>
            <b/>
            <sz val="9"/>
            <color indexed="81"/>
            <rFont val="MS P ゴシック"/>
            <family val="3"/>
            <charset val="128"/>
          </rPr>
          <t>tsujioka:</t>
        </r>
        <r>
          <rPr>
            <sz val="9"/>
            <color indexed="81"/>
            <rFont val="MS P ゴシック"/>
            <family val="3"/>
            <charset val="128"/>
          </rPr>
          <t xml:space="preserve">
アミ4
</t>
        </r>
      </text>
    </comment>
    <comment ref="O750" authorId="5" guid="{A1A68B80-1ED2-4C72-B0A5-21D72AD1B58E}" shapeId="0" xr:uid="{CE39FBD1-472F-4E4B-879C-ADCEAAF676A0}">
      <text>
        <r>
          <rPr>
            <b/>
            <sz val="9"/>
            <color indexed="81"/>
            <rFont val="MS P ゴシック"/>
            <family val="3"/>
            <charset val="128"/>
          </rPr>
          <t>tsujioka:</t>
        </r>
        <r>
          <rPr>
            <sz val="9"/>
            <color indexed="81"/>
            <rFont val="MS P ゴシック"/>
            <family val="3"/>
            <charset val="128"/>
          </rPr>
          <t xml:space="preserve">
アミ4</t>
        </r>
      </text>
    </comment>
    <comment ref="O751" authorId="5" guid="{CDF7FD01-EA5D-40F8-822F-C5ECD3327030}" shapeId="0" xr:uid="{38CA1979-6A31-4C40-A009-603202692C77}">
      <text>
        <r>
          <rPr>
            <b/>
            <sz val="9"/>
            <color indexed="81"/>
            <rFont val="MS P ゴシック"/>
            <family val="3"/>
            <charset val="128"/>
          </rPr>
          <t>tsujioka:</t>
        </r>
        <r>
          <rPr>
            <sz val="9"/>
            <color indexed="81"/>
            <rFont val="MS P ゴシック"/>
            <family val="3"/>
            <charset val="128"/>
          </rPr>
          <t xml:space="preserve">
アミ1</t>
        </r>
      </text>
    </comment>
    <comment ref="O752" authorId="5" guid="{A7BC11AA-AE7C-4C93-9F05-897A6728DEC3}" shapeId="0" xr:uid="{B24C8598-CEA7-4829-8668-DD84AC596969}">
      <text>
        <r>
          <rPr>
            <b/>
            <sz val="9"/>
            <color indexed="81"/>
            <rFont val="MS P ゴシック"/>
            <family val="3"/>
            <charset val="128"/>
          </rPr>
          <t>tsujioka:</t>
        </r>
        <r>
          <rPr>
            <sz val="9"/>
            <color indexed="81"/>
            <rFont val="MS P ゴシック"/>
            <family val="3"/>
            <charset val="128"/>
          </rPr>
          <t xml:space="preserve">
アミ1</t>
        </r>
      </text>
    </comment>
    <comment ref="O756" authorId="5" guid="{B23E1A31-5C87-45B6-82CE-ECEF2CA3F143}" shapeId="0" xr:uid="{9643EB24-384D-433A-9021-6989F0111684}">
      <text>
        <r>
          <rPr>
            <b/>
            <sz val="9"/>
            <color indexed="81"/>
            <rFont val="MS P ゴシック"/>
            <family val="3"/>
            <charset val="128"/>
          </rPr>
          <t>tsujioka:</t>
        </r>
        <r>
          <rPr>
            <sz val="9"/>
            <color indexed="81"/>
            <rFont val="MS P ゴシック"/>
            <family val="3"/>
            <charset val="128"/>
          </rPr>
          <t xml:space="preserve">
アミ1
</t>
        </r>
      </text>
    </comment>
    <comment ref="K760" authorId="5" guid="{CC2AA75D-157B-4C09-9928-534B765225E3}" shapeId="0" xr:uid="{8093EFC5-D59D-4985-8AA0-F57F18DB69BE}">
      <text>
        <r>
          <rPr>
            <b/>
            <sz val="9"/>
            <color indexed="81"/>
            <rFont val="MS P ゴシック"/>
            <family val="3"/>
            <charset val="128"/>
          </rPr>
          <t>tsujioka:</t>
        </r>
        <r>
          <rPr>
            <sz val="9"/>
            <color indexed="81"/>
            <rFont val="MS P ゴシック"/>
            <family val="3"/>
            <charset val="128"/>
          </rPr>
          <t xml:space="preserve">
1台は部品変形代替分
</t>
        </r>
      </text>
    </comment>
    <comment ref="G765" authorId="5" guid="{43D103C0-64C2-405A-8282-1FD561322241}" shapeId="0" xr:uid="{3D50206F-D9EE-4CCE-AF8F-42CAAD049695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4台乗せ台車必要
</t>
        </r>
      </text>
    </comment>
    <comment ref="H765" authorId="5" guid="{9E217703-67CF-4B59-9E2D-98150EE99A41}" shapeId="0" xr:uid="{1958674F-C53D-4A51-8D20-A8D0AEACDDC8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4台乗せ台車必要
</t>
        </r>
      </text>
    </comment>
    <comment ref="O765" authorId="5" guid="{10B780D4-FBE3-4FB0-88CF-4B8509231AF2}" shapeId="0" xr:uid="{7AAA0E47-A188-4434-9C9E-89AAD6E5F7B5}">
      <text>
        <r>
          <rPr>
            <b/>
            <sz val="9"/>
            <color indexed="81"/>
            <rFont val="MS P ゴシック"/>
            <family val="3"/>
            <charset val="128"/>
          </rPr>
          <t>tsujioka:</t>
        </r>
        <r>
          <rPr>
            <sz val="9"/>
            <color indexed="81"/>
            <rFont val="MS P ゴシック"/>
            <family val="3"/>
            <charset val="128"/>
          </rPr>
          <t xml:space="preserve">
アミ1
</t>
        </r>
      </text>
    </comment>
    <comment ref="O766" authorId="5" guid="{D8FCCEB8-9C5B-4476-9EDA-6F399A4C3182}" shapeId="0" xr:uid="{79BAB938-96B9-49DC-8357-C88FD90F9AA9}">
      <text>
        <r>
          <rPr>
            <b/>
            <sz val="9"/>
            <color indexed="81"/>
            <rFont val="MS P ゴシック"/>
            <family val="3"/>
            <charset val="128"/>
          </rPr>
          <t>tsujioka:</t>
        </r>
        <r>
          <rPr>
            <sz val="9"/>
            <color indexed="81"/>
            <rFont val="MS P ゴシック"/>
            <family val="3"/>
            <charset val="128"/>
          </rPr>
          <t xml:space="preserve">
アミ1
</t>
        </r>
      </text>
    </comment>
    <comment ref="O773" authorId="5" guid="{5158E962-981A-4F84-A296-FE7E2CA16230}" shapeId="0" xr:uid="{F355B0F4-ED26-45C6-B89C-E7BBBBF075F7}">
      <text>
        <r>
          <rPr>
            <b/>
            <sz val="9"/>
            <color indexed="81"/>
            <rFont val="MS P ゴシック"/>
            <family val="3"/>
            <charset val="128"/>
          </rPr>
          <t>tsujioka:</t>
        </r>
        <r>
          <rPr>
            <sz val="9"/>
            <color indexed="81"/>
            <rFont val="MS P ゴシック"/>
            <family val="3"/>
            <charset val="128"/>
          </rPr>
          <t xml:space="preserve">
10は新品
</t>
        </r>
      </text>
    </comment>
    <comment ref="O792" authorId="5" guid="{BAEAB330-807E-474D-A4ED-2E4336366C4D}" shapeId="0" xr:uid="{BE113667-1BBA-4F19-9887-9F9F01F2D9E7}">
      <text>
        <r>
          <rPr>
            <b/>
            <sz val="9"/>
            <color indexed="81"/>
            <rFont val="MS P ゴシック"/>
            <family val="3"/>
            <charset val="128"/>
          </rPr>
          <t>tsujioka:</t>
        </r>
        <r>
          <rPr>
            <sz val="9"/>
            <color indexed="81"/>
            <rFont val="MS P ゴシック"/>
            <family val="3"/>
            <charset val="128"/>
          </rPr>
          <t xml:space="preserve">
アミ2
</t>
        </r>
      </text>
    </comment>
    <comment ref="O798" authorId="5" guid="{E9B8C3B2-B151-470B-87FF-4DD0A25BDC66}" shapeId="0" xr:uid="{3E19C4D1-F0CA-47E0-82BE-2308C5634923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アミ4+4
</t>
        </r>
      </text>
    </comment>
    <comment ref="O799" authorId="5" guid="{D44C8824-63D5-4349-88CD-6E85B4D51E86}" shapeId="0" xr:uid="{A7B5ADC8-C125-4F9D-8E72-4A4C675A1738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アミ2
</t>
        </r>
      </text>
    </comment>
    <comment ref="O800" authorId="5" guid="{B8C561AE-AF78-4083-9E66-B496424CD00B}" shapeId="0" xr:uid="{5D6C7670-0E09-41BB-9532-F4711AA9FEB5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アミ1
</t>
        </r>
      </text>
    </comment>
    <comment ref="G802" authorId="5" guid="{11DE1232-8790-48E9-ABFD-B79EA2756B13}" shapeId="0" xr:uid="{8FAAE3BF-9A33-4986-BD26-9122655CB959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+8台（8/22追加）
</t>
        </r>
      </text>
    </comment>
    <comment ref="O802" authorId="5" guid="{B32DA5CF-F519-4FC9-9E44-FBCE163C8698}" shapeId="0" xr:uid="{BF341DDF-89DA-4C28-AA3B-A6547E2671EF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アミ6
</t>
        </r>
      </text>
    </comment>
    <comment ref="O806" authorId="5" guid="{F0D98888-7771-40B8-BC81-455FD78F7110}" shapeId="0" xr:uid="{FF944693-F201-4156-9E72-E7ADD69A6220}">
      <text>
        <r>
          <rPr>
            <b/>
            <sz val="9"/>
            <color indexed="81"/>
            <rFont val="MS P ゴシック"/>
            <family val="3"/>
            <charset val="128"/>
          </rPr>
          <t>アミ4</t>
        </r>
      </text>
    </comment>
    <comment ref="O807" authorId="5" guid="{BE84B733-AF79-49E9-83EB-76A0CF596504}" shapeId="0" xr:uid="{34908986-B3DF-497A-A75A-E5F536F9FB38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アミ6
</t>
        </r>
      </text>
    </comment>
    <comment ref="O808" authorId="5" guid="{C915E7FC-0E44-4211-8123-64D6E0F68240}" shapeId="0" xr:uid="{9B17F962-A6D2-44AC-94D1-893896475E2D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アミ4+2
</t>
        </r>
      </text>
    </comment>
    <comment ref="O809" authorId="5" guid="{5A0E0972-6E2D-49EC-80D7-BC6CB7FDC7A3}" shapeId="0" xr:uid="{56B18B58-919A-4F2F-BD69-CE04292CCBC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アミ1
</t>
        </r>
      </text>
    </comment>
    <comment ref="O812" authorId="5" guid="{272F26BE-635F-4D31-A9C3-8B2A4ABB5235}" shapeId="0" xr:uid="{7913EED1-C473-4F19-BDD0-8D032218FE2F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アミ8
</t>
        </r>
      </text>
    </comment>
    <comment ref="O813" authorId="5" guid="{1531BAC8-A7E1-4203-940D-59F837C0718E}" shapeId="0" xr:uid="{DE2D3850-D618-4109-9001-334F45FA0D63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アミ2
</t>
        </r>
      </text>
    </comment>
    <comment ref="O816" authorId="5" guid="{BB4AEBEB-5485-4A94-9D02-7AD36FA0F1CA}" shapeId="0" xr:uid="{11B7AB9D-30CE-483A-AC40-089C55D7E511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アミ14
</t>
        </r>
      </text>
    </comment>
    <comment ref="O820" authorId="5" guid="{7D07249E-48A6-4F33-9C5B-192680431058}" shapeId="0" xr:uid="{96D0A5D8-AFCD-41FD-A767-F688389520DD}">
      <text>
        <r>
          <rPr>
            <b/>
            <sz val="9"/>
            <color indexed="81"/>
            <rFont val="MS P ゴシック"/>
            <family val="3"/>
            <charset val="128"/>
          </rPr>
          <t>アミ4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y-hara</author>
    <author>gyomu4</author>
    <author>上野理恵</author>
    <author>Gyomu</author>
    <author>tsujioka</author>
  </authors>
  <commentList>
    <comment ref="H4" authorId="0" guid="{72B68554-E587-4797-801F-D11AFF36C4AA}" shapeId="0" xr:uid="{3B394A13-3AE6-46B7-93CB-A90D14929C0C}">
      <text>
        <r>
          <rPr>
            <b/>
            <sz val="9"/>
            <color indexed="81"/>
            <rFont val="MS P ゴシック"/>
            <family val="3"/>
            <charset val="128"/>
          </rPr>
          <t>64</t>
        </r>
      </text>
    </comment>
    <comment ref="H10" authorId="0" guid="{F20495F9-5537-461E-BE24-DBDD19D7F9E8}" shapeId="0" xr:uid="{AEA15F02-F0A4-4AFC-8EF6-536A1FEC50BC}">
      <text>
        <r>
          <rPr>
            <b/>
            <sz val="9"/>
            <color indexed="81"/>
            <rFont val="MS P ゴシック"/>
            <family val="3"/>
            <charset val="128"/>
          </rPr>
          <t>72</t>
        </r>
      </text>
    </comment>
    <comment ref="K28" authorId="1" guid="{F994F189-7434-44CE-A63A-5470CA491595}" shapeId="0" xr:uid="{9FE035CE-7025-4D9C-BE4C-02D1CA703CB1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調達管理課　西森様から牛田電装様での受入が出来ない為
</t>
        </r>
      </text>
    </comment>
    <comment ref="G50" authorId="0" guid="{0550DC86-31D9-4852-AF94-D7655B007D33}" shapeId="0" xr:uid="{9CD72317-5EF9-45E3-BEDA-95786B9D9C60}">
      <text>
        <r>
          <rPr>
            <b/>
            <sz val="9"/>
            <color indexed="81"/>
            <rFont val="MS P ゴシック"/>
            <family val="3"/>
            <charset val="128"/>
          </rPr>
          <t>80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G51" authorId="0" guid="{2E9012F9-169F-4686-B30D-F683597D7E8E}" shapeId="0" xr:uid="{52089362-DEE2-43C4-97BE-9DFD7E8B1A57}">
      <text>
        <r>
          <rPr>
            <b/>
            <sz val="9"/>
            <color indexed="81"/>
            <rFont val="MS P ゴシック"/>
            <family val="3"/>
            <charset val="128"/>
          </rPr>
          <t>80</t>
        </r>
      </text>
    </comment>
    <comment ref="E77" authorId="1" guid="{CAF072DF-23D4-4878-89E4-5198A2F2763F}" shapeId="0" xr:uid="{EE6C8B76-8641-4019-A1B5-991C453E89F8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在庫が合わないので
進度調整しました
</t>
        </r>
      </text>
    </comment>
    <comment ref="D137" authorId="2" guid="{BBCA1408-4B41-465E-BD52-51ADF0647735}" shapeId="0" xr:uid="{29C65C02-7EEC-46F0-B23A-E10852CEF150}">
      <text>
        <r>
          <rPr>
            <b/>
            <sz val="9"/>
            <color indexed="81"/>
            <rFont val="MS P ゴシック"/>
            <family val="3"/>
            <charset val="128"/>
          </rPr>
          <t>上野理恵:</t>
        </r>
        <r>
          <rPr>
            <sz val="9"/>
            <color indexed="81"/>
            <rFont val="MS P ゴシック"/>
            <family val="3"/>
            <charset val="128"/>
          </rPr>
          <t xml:space="preserve">
11/6引取
</t>
        </r>
      </text>
    </comment>
    <comment ref="C151" authorId="0" guid="{93007A2A-8E70-4CA5-B604-D3E6D4DC0D16}" shapeId="0" xr:uid="{A092A20E-5208-4A4C-AE25-C211E3F3A8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 7台乗せを１台車納入願います。
</t>
        </r>
      </text>
    </comment>
    <comment ref="C158" authorId="1" guid="{34A7D3A0-B9B6-4518-82FC-96F241CD4B84}" shapeId="0" xr:uid="{8AAA4B24-92A7-4326-ADA9-B7133CDAB1CE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端数7台追加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C164" authorId="0" guid="{B37776C3-F493-4D5E-AD8B-1A9E4C9FE20C}" shapeId="0" xr:uid="{E5090D0A-1DC2-4050-902C-DC09184A2F91}">
      <text>
        <r>
          <rPr>
            <b/>
            <sz val="9"/>
            <color indexed="81"/>
            <rFont val="MS P ゴシック"/>
            <family val="3"/>
            <charset val="128"/>
          </rPr>
          <t>y-hara:</t>
        </r>
        <r>
          <rPr>
            <sz val="9"/>
            <color indexed="81"/>
            <rFont val="MS P ゴシック"/>
            <family val="3"/>
            <charset val="128"/>
          </rPr>
          <t xml:space="preserve">
端数7台追加
</t>
        </r>
      </text>
    </comment>
    <comment ref="C169" authorId="0" guid="{11057C39-E662-4C6B-AE6D-D173A74FF30A}" shapeId="0" xr:uid="{AC01C7DF-16F8-4BD0-A175-43ACCAE3654B}">
      <text>
        <r>
          <rPr>
            <b/>
            <sz val="9"/>
            <color indexed="81"/>
            <rFont val="MS P ゴシック"/>
            <family val="3"/>
            <charset val="128"/>
          </rPr>
          <t>y-hara:</t>
        </r>
        <r>
          <rPr>
            <sz val="9"/>
            <color indexed="81"/>
            <rFont val="MS P ゴシック"/>
            <family val="3"/>
            <charset val="128"/>
          </rPr>
          <t xml:space="preserve">
端数7台追加
</t>
        </r>
      </text>
    </comment>
    <comment ref="D169" authorId="2" guid="{58C2BD6B-C3BE-4E4E-9E5A-F3E17D9AC048}" shapeId="0" xr:uid="{B413CAFC-E637-4B42-905A-46D86B5E1D1D}">
      <text>
        <r>
          <rPr>
            <b/>
            <sz val="9"/>
            <color indexed="81"/>
            <rFont val="MS P ゴシック"/>
            <family val="3"/>
            <charset val="128"/>
          </rPr>
          <t>上野理恵:</t>
        </r>
        <r>
          <rPr>
            <sz val="9"/>
            <color indexed="81"/>
            <rFont val="MS P ゴシック"/>
            <family val="3"/>
            <charset val="128"/>
          </rPr>
          <t xml:space="preserve">
台車不足
</t>
        </r>
      </text>
    </comment>
    <comment ref="D170" authorId="2" guid="{69E2228A-E6E2-47A1-90EF-D5A05986E5E6}" shapeId="0" xr:uid="{8EEC9B8B-8106-4E1F-9BD1-0D72850280F5}">
      <text>
        <r>
          <rPr>
            <b/>
            <sz val="9"/>
            <color indexed="81"/>
            <rFont val="MS P ゴシック"/>
            <family val="3"/>
            <charset val="128"/>
          </rPr>
          <t>上野理恵:</t>
        </r>
        <r>
          <rPr>
            <sz val="9"/>
            <color indexed="81"/>
            <rFont val="MS P ゴシック"/>
            <family val="3"/>
            <charset val="128"/>
          </rPr>
          <t xml:space="preserve">
台車不足
</t>
        </r>
      </text>
    </comment>
    <comment ref="D171" authorId="2" guid="{CBC4DA12-AF82-4028-A453-DB33A62F7734}" shapeId="0" xr:uid="{0A775A67-725B-491F-9D90-12F49EAC1F7D}">
      <text>
        <r>
          <rPr>
            <b/>
            <sz val="9"/>
            <color indexed="81"/>
            <rFont val="MS P ゴシック"/>
            <family val="3"/>
            <charset val="128"/>
          </rPr>
          <t>上野理恵:</t>
        </r>
        <r>
          <rPr>
            <sz val="9"/>
            <color indexed="81"/>
            <rFont val="MS P ゴシック"/>
            <family val="3"/>
            <charset val="128"/>
          </rPr>
          <t xml:space="preserve">
台車不足
</t>
        </r>
      </text>
    </comment>
    <comment ref="C185" authorId="1" guid="{63E7EA5B-4AF2-41A8-9D67-36499746EC10}" shapeId="0" xr:uid="{7F2CB6F0-04A6-4660-B391-AD8EBA4EF825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サンプル品3個含む
</t>
        </r>
      </text>
    </comment>
    <comment ref="H191" authorId="1" guid="{BE13E3BD-EA6B-417D-85B0-EE0B38E0E0B2}" shapeId="0" xr:uid="{FC436F4A-212A-4A0F-973D-47A29D5D8D30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中2階から降ろすタイミングで変形確認(品管)
</t>
        </r>
      </text>
    </comment>
    <comment ref="K212" authorId="1" guid="{9EABB55A-1B5C-4949-8B5B-550B0309FEB6}" shapeId="0" xr:uid="{E639F5B0-E957-4CA3-B509-AE58F46D99ED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48台中3台SK加工分
</t>
        </r>
      </text>
    </comment>
    <comment ref="C218" authorId="0" guid="{0D96C6DB-B4CE-4D1A-9E13-C8204C3CC44F}" shapeId="0" xr:uid="{03F329A2-37B9-487F-94B2-97ADC43F1988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1台追加　(共立梱包㈱行き)
スキット乗せ
</t>
        </r>
      </text>
    </comment>
    <comment ref="O218" authorId="1" guid="{C2EE9D9C-A8E8-450F-9597-D785A972603D}" shapeId="0" xr:uid="{B11FA545-5728-4944-A7BA-2A8B15843967}">
      <text>
        <r>
          <rPr>
            <b/>
            <sz val="9"/>
            <color indexed="81"/>
            <rFont val="MS P ゴシック"/>
            <family val="3"/>
            <charset val="128"/>
          </rPr>
          <t>gyomu4:</t>
        </r>
        <r>
          <rPr>
            <sz val="9"/>
            <color indexed="81"/>
            <rFont val="MS P ゴシック"/>
            <family val="3"/>
            <charset val="128"/>
          </rPr>
          <t xml:space="preserve">
アミ8</t>
        </r>
      </text>
    </comment>
    <comment ref="H220" authorId="0" guid="{6F193F49-C924-4C9A-BA9D-9B74A757A3AB}" shapeId="0" xr:uid="{941D0DF2-D850-40D7-B5A9-9477924EA9BF}">
      <text>
        <r>
          <rPr>
            <b/>
            <sz val="9"/>
            <color indexed="81"/>
            <rFont val="MS P ゴシック"/>
            <family val="3"/>
            <charset val="128"/>
          </rPr>
          <t>1台　(共立梱包㈱行き)
スキット納入</t>
        </r>
      </text>
    </comment>
    <comment ref="C270" authorId="0" guid="{8989466E-F6DC-493F-B63A-62C0CEA4A980}" shapeId="0" xr:uid="{52E2EFE3-C4DD-415D-873A-9D33E3A08ABA}">
      <text>
        <r>
          <rPr>
            <b/>
            <sz val="11"/>
            <color indexed="81"/>
            <rFont val="MS P ゴシック"/>
            <family val="3"/>
            <charset val="128"/>
          </rPr>
          <t xml:space="preserve">追加注文あり(20台)
2網(8個入り)
1網(4個入り)gyomu4:
gyomu4:
</t>
        </r>
      </text>
    </comment>
    <comment ref="G274" authorId="0" guid="{3B25E209-914C-406C-8B7C-1B0AB0C28443}" shapeId="0" xr:uid="{68B9E449-DA80-4D26-A06F-F4CE73FCC5C5}">
      <text>
        <r>
          <rPr>
            <b/>
            <sz val="11"/>
            <color indexed="81"/>
            <rFont val="MS P ゴシック"/>
            <family val="3"/>
            <charset val="128"/>
          </rPr>
          <t xml:space="preserve">追加注文あり(20台)
2網(8個入り)
1網(4個入り)
</t>
        </r>
      </text>
    </comment>
    <comment ref="C463" authorId="3" guid="{2EE02522-2A1E-40FD-9DE5-BD19D0E2A678}" shapeId="0" xr:uid="{719EAF9F-28AC-4F1C-8F9B-272F98202B4A}">
      <text>
        <r>
          <rPr>
            <b/>
            <sz val="9"/>
            <color indexed="81"/>
            <rFont val="MS P ゴシック"/>
            <family val="3"/>
            <charset val="128"/>
          </rPr>
          <t>Gyomu:</t>
        </r>
        <r>
          <rPr>
            <sz val="9"/>
            <color indexed="81"/>
            <rFont val="MS P ゴシック"/>
            <family val="3"/>
            <charset val="128"/>
          </rPr>
          <t xml:space="preserve">
5×1アミ　端数あり
</t>
        </r>
      </text>
    </comment>
    <comment ref="H465" authorId="3" guid="{003347FA-5F44-4385-9F30-3464E8BBAC52}" shapeId="0" xr:uid="{22DB424E-8500-486E-B279-C4B927A03FAC}">
      <text>
        <r>
          <rPr>
            <b/>
            <sz val="9"/>
            <color indexed="81"/>
            <rFont val="MS P ゴシック"/>
            <family val="3"/>
            <charset val="128"/>
          </rPr>
          <t>Gyomu:</t>
        </r>
        <r>
          <rPr>
            <sz val="9"/>
            <color indexed="81"/>
            <rFont val="MS P ゴシック"/>
            <family val="3"/>
            <charset val="128"/>
          </rPr>
          <t xml:space="preserve">
5×1　端数あり
</t>
        </r>
      </text>
    </comment>
    <comment ref="H536" authorId="0" guid="{1B3EEE61-9063-4876-AFA6-AD69D0CF26F7}" shapeId="0" xr:uid="{73F3AA58-DD59-4FC7-AC84-B8FC75D3FB29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1台車乗せ台車出荷
</t>
        </r>
      </text>
    </comment>
    <comment ref="C539" authorId="0" guid="{3BFA173D-227F-413D-AFC4-581443548C88}" shapeId="0" xr:uid="{98879ACC-7C8D-414A-AA82-FC58D19DA946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試作注文分 1台 あり
1台乗せ台車の製作ｵをお願いします。
</t>
        </r>
      </text>
    </comment>
    <comment ref="G541" authorId="0" guid="{DE826388-D1B1-4C60-95C9-17F23E80018E}" shapeId="0" xr:uid="{A72710B3-C7A0-4903-9506-0CBB7B26D92F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試作注文 １台　あり
</t>
        </r>
      </text>
    </comment>
    <comment ref="C576" authorId="0" guid="{3909A0C8-7454-43F8-8A92-3ABBC8B52CFF}" shapeId="0" xr:uid="{4E4843CC-968A-4725-B3F7-8F5732459F32}">
      <text>
        <r>
          <rPr>
            <b/>
            <sz val="11"/>
            <color indexed="81"/>
            <rFont val="MS P ゴシック"/>
            <family val="3"/>
            <charset val="128"/>
          </rPr>
          <t xml:space="preserve">3台　行き先が違う為3台入りの網台車が必要
</t>
        </r>
      </text>
    </comment>
    <comment ref="G578" authorId="0" guid="{EBF83343-6126-42E1-9A43-A7F75AB65D31}" shapeId="0" xr:uid="{1C1FF8D6-A1A1-4608-8A58-1C4077ABB116}">
      <text>
        <r>
          <rPr>
            <b/>
            <sz val="11"/>
            <color indexed="81"/>
            <rFont val="MS P ゴシック"/>
            <family val="3"/>
            <charset val="128"/>
          </rPr>
          <t xml:space="preserve">3台　行き先が違う為3台入りの網台車が必要
</t>
        </r>
      </text>
    </comment>
    <comment ref="G661" authorId="0" guid="{804A8628-8BB3-4246-A2A7-15608047CFCD}" shapeId="0" xr:uid="{747F1A1E-5079-434C-B67E-E535E3E0EDC6}">
      <text>
        <r>
          <rPr>
            <b/>
            <sz val="12"/>
            <color indexed="81"/>
            <rFont val="MS P ゴシック"/>
            <family val="3"/>
            <charset val="128"/>
          </rPr>
          <t xml:space="preserve">2台乗せ必要
</t>
        </r>
      </text>
    </comment>
    <comment ref="G798" authorId="0" guid="{089204B0-8A32-4739-88D1-DFA07F7828DA}" shapeId="0" xr:uid="{98334ACE-F2F6-439D-8F28-FC0E29CB8983}">
      <text>
        <r>
          <rPr>
            <b/>
            <sz val="10"/>
            <color indexed="81"/>
            <rFont val="MS P ゴシック"/>
            <family val="3"/>
            <charset val="128"/>
          </rPr>
          <t>+16台 (8/20追加)</t>
        </r>
        <r>
          <rPr>
            <sz val="10"/>
            <color indexed="81"/>
            <rFont val="MS P ゴシック"/>
            <family val="3"/>
            <charset val="128"/>
          </rPr>
          <t xml:space="preserve">
</t>
        </r>
      </text>
    </comment>
    <comment ref="G800" authorId="4" guid="{284C25A5-DC3B-4D9D-9912-396A2902A643}" shapeId="0" xr:uid="{5E6A6B62-B988-4DB5-92D8-13CE215E1F4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+8台（8/22追加）
</t>
        </r>
      </text>
    </comment>
    <comment ref="G802" authorId="4" guid="{F0124909-60DB-44BC-9BDC-628FCE5621FE}" shapeId="0" xr:uid="{8F41780B-38F5-486D-9569-E522788A18D4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-8台（8/22）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y-hara</author>
    <author>tsujioka</author>
  </authors>
  <commentList>
    <comment ref="N35" authorId="0" guid="{4244A0F3-6341-4867-962F-3C938E00E39D}" shapeId="0" xr:uid="{E5D74392-CF0C-4363-AB54-CD00BAC3DFED}">
      <text>
        <r>
          <rPr>
            <b/>
            <sz val="12"/>
            <color indexed="81"/>
            <rFont val="MS P ゴシック"/>
            <family val="3"/>
            <charset val="128"/>
          </rPr>
          <t>検査課行き</t>
        </r>
      </text>
    </comment>
    <comment ref="Z35" authorId="0" guid="{5AF114B8-D157-4837-88D7-6EB293B55368}" shapeId="0" xr:uid="{4D9BB1DA-BF12-4629-B26A-40194D73BF55}">
      <text>
        <r>
          <rPr>
            <b/>
            <sz val="12"/>
            <color indexed="81"/>
            <rFont val="MS P ゴシック"/>
            <family val="3"/>
            <charset val="128"/>
          </rPr>
          <t>検査課行き</t>
        </r>
      </text>
    </comment>
    <comment ref="AA41" authorId="0" guid="{69919B02-A461-437F-8A66-00175F86AAA2}" shapeId="0" xr:uid="{DE3AB881-D5D3-45D6-AAD0-525582149794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2/27台車不足により調整
</t>
        </r>
      </text>
    </comment>
    <comment ref="O45" authorId="0" guid="{5359BD62-0FD9-4F4E-A9D8-24AA56FEC1DA}" shapeId="0" xr:uid="{4B8F5B86-2549-48D0-ACFC-20668CA1E7DD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3/3調整
</t>
        </r>
      </text>
    </comment>
    <comment ref="AA45" authorId="0" guid="{612705BE-9C0E-47FD-B722-0BE7A07FFFA3}" shapeId="0" xr:uid="{CBC78301-7DD0-48A5-9190-3A1DC94611B3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3/3調整
</t>
        </r>
      </text>
    </comment>
    <comment ref="Y188" authorId="1" guid="{21C1CCDA-C02E-432A-913A-21E584E5883B}" shapeId="0" xr:uid="{14E03A5A-0B90-4657-A216-84933A0F0ED8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生産外納所分4台有
2台車に分配要
</t>
        </r>
      </text>
    </comment>
    <comment ref="Z188" authorId="1" guid="{90DE5E08-2E8A-476A-809D-1F3D73356E93}" shapeId="0" xr:uid="{58F79241-8993-42FB-A5C6-7C51418DB613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生産外納所分4台有
2台車に分配要
</t>
        </r>
      </text>
    </comment>
    <comment ref="Y220" authorId="0" guid="{E8A4A93E-4174-4DB9-BE68-98C14C3915C8}" shapeId="0" xr:uid="{740C44EB-82C1-4BD4-A818-079D93BB9B8E}">
      <text>
        <r>
          <rPr>
            <b/>
            <sz val="10"/>
            <color indexed="81"/>
            <rFont val="MS P ゴシック"/>
            <family val="3"/>
            <charset val="128"/>
          </rPr>
          <t xml:space="preserve">+6台 (8/20追加)
</t>
        </r>
      </text>
    </comment>
    <comment ref="Y255" authorId="0" guid="{73713D6E-1611-4EC6-A24C-2C610B1FA23A}" shapeId="0" xr:uid="{3DBB7F60-AA7A-4AFE-8B15-CD9226AEE83D}">
      <text>
        <r>
          <rPr>
            <b/>
            <sz val="11"/>
            <color indexed="81"/>
            <rFont val="MS P ゴシック"/>
            <family val="3"/>
            <charset val="128"/>
          </rPr>
          <t>1台注文が入っています。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y-hara</author>
    <author>tsujioka</author>
  </authors>
  <commentList>
    <comment ref="G382" authorId="0" guid="{E7EE4AD2-CC50-419E-AA7C-20F72CCF69E5}" shapeId="0" xr:uid="{1F9C61CF-8D4F-42C0-B30B-AE274F711DE5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試作品 1台 追加
</t>
        </r>
      </text>
    </comment>
    <comment ref="H382" authorId="0" guid="{21E2E588-340B-4BDA-A274-05E4B5BA837B}" shapeId="0" xr:uid="{AB4F80F8-48D7-411A-B5F7-2B7DE197AC16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試作品 1台 納品します（トナミ運輸行き）
</t>
        </r>
      </text>
    </comment>
    <comment ref="Q382" authorId="0" guid="{A0CAFF86-CE0C-4F00-BBCE-13310737EC1E}" shapeId="0" xr:uid="{C9677550-B7A7-4885-AE26-D3F6EEE06662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試作品 1台 追加
</t>
        </r>
      </text>
    </comment>
    <comment ref="R382" authorId="0" guid="{D00AB762-C135-450E-8EA7-5900D5E4145B}" shapeId="0" xr:uid="{8643A217-B40E-4527-A866-74986752A6D7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試作品 1台 納品します（トナミ運輸行き）
</t>
        </r>
      </text>
    </comment>
    <comment ref="C389" authorId="0" guid="{FA5C0CB8-2BCD-4938-A8E5-32F3FFBFAC70}" shapeId="0" xr:uid="{0BB520D3-50D4-48D3-B5C2-61BE7C89AE5E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２４
</t>
        </r>
      </text>
    </comment>
    <comment ref="C390" authorId="0" guid="{2976C7B3-3F52-450B-9FAB-2516357010AD}" shapeId="0" xr:uid="{7BECEDB6-C7F2-40DB-9FB4-A97DAC51E4D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２４
</t>
        </r>
      </text>
    </comment>
    <comment ref="C391" authorId="0" guid="{06229F35-D681-449B-AAC0-271A6A1515B9}" shapeId="0" xr:uid="{F7CC1818-7C73-4710-9E92-982C11E328AE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４０
</t>
        </r>
      </text>
    </comment>
    <comment ref="C392" authorId="0" guid="{11D929F1-A865-421E-A171-6C6F5DF04489}" shapeId="0" xr:uid="{19FFB6F7-28B5-4011-91CD-616E7F719FF9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４８
</t>
        </r>
      </text>
    </comment>
    <comment ref="G572" authorId="1" guid="{A2B857F3-3247-4C2F-B84F-ED6F78DD5D80}" shapeId="0" xr:uid="{04F751D5-F38B-41AB-A850-A3EA107D44CC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4台乗せ台車必要
</t>
        </r>
      </text>
    </comment>
    <comment ref="H572" authorId="1" guid="{5F63BD64-D1C5-4179-B322-1F82E1D94F9E}" shapeId="0" xr:uid="{28311277-03EE-4C7B-91C7-9C6FE22909D3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4台乗せ台車必要
</t>
        </r>
      </text>
    </comment>
    <comment ref="Q572" authorId="1" guid="{4D987DE3-A1B2-48FC-8932-4F0F60E3289A}" shapeId="0" xr:uid="{EF4E87E1-0355-4A17-8CA5-B8DF4E5BC36F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4台乗せ台車必要
</t>
        </r>
      </text>
    </comment>
    <comment ref="R572" authorId="1" guid="{1798CF73-AE98-461B-BF90-72F21D3BDD13}" shapeId="0" xr:uid="{89B26DA7-2FFE-4925-8AED-AC24EC359DC7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4台乗せ台車必要
</t>
        </r>
      </text>
    </comment>
    <comment ref="G605" authorId="0" guid="{1D00DF98-C2D6-4C26-BCD9-C98B9AD5264E}" shapeId="0" xr:uid="{CEA4F88F-1669-4F49-BE5E-260018568E54}">
      <text>
        <r>
          <rPr>
            <b/>
            <sz val="10"/>
            <color indexed="81"/>
            <rFont val="MS P ゴシック"/>
            <family val="3"/>
            <charset val="128"/>
          </rPr>
          <t>+8台 (8/20追加)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G609" authorId="1" guid="{9383BDA9-95C8-441A-9A8C-3DD42CB1D761}" shapeId="0" xr:uid="{6D7104B7-C1D1-4712-BE89-94EA9F716776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-8台（8/22）
</t>
        </r>
      </text>
    </comment>
    <comment ref="G641" authorId="0" guid="{580DEF2F-A25D-4F5F-9C2B-9F20882CE26D}" shapeId="0" xr:uid="{CF276E95-7F00-43A6-9DEA-21167A4D8367}">
      <text>
        <r>
          <rPr>
            <b/>
            <sz val="11"/>
            <color indexed="81"/>
            <rFont val="MS P ゴシック"/>
            <family val="3"/>
            <charset val="128"/>
          </rPr>
          <t>1台注文が入っています。</t>
        </r>
      </text>
    </comment>
  </commentList>
</comments>
</file>

<file path=xl/sharedStrings.xml><?xml version="1.0" encoding="utf-8"?>
<sst xmlns="http://schemas.openxmlformats.org/spreadsheetml/2006/main" count="4480" uniqueCount="79">
  <si>
    <t>計画</t>
    <rPh sb="0" eb="2">
      <t>ケイカク</t>
    </rPh>
    <phoneticPr fontId="3"/>
  </si>
  <si>
    <t>実績</t>
    <rPh sb="0" eb="2">
      <t>ジッセキ</t>
    </rPh>
    <phoneticPr fontId="3"/>
  </si>
  <si>
    <t>進度</t>
    <rPh sb="0" eb="2">
      <t>シンド</t>
    </rPh>
    <phoneticPr fontId="3"/>
  </si>
  <si>
    <t>ステー(ラジエータ)</t>
    <phoneticPr fontId="1"/>
  </si>
  <si>
    <t>フレームコンプ(フロント)</t>
    <phoneticPr fontId="1"/>
  </si>
  <si>
    <t>生産</t>
    <rPh sb="0" eb="2">
      <t>セイサン</t>
    </rPh>
    <phoneticPr fontId="1"/>
  </si>
  <si>
    <t>カバーコンプ(エアコン)</t>
    <phoneticPr fontId="1"/>
  </si>
  <si>
    <t>ブラケット(ファン)</t>
    <phoneticPr fontId="1"/>
  </si>
  <si>
    <t>台車
返却数</t>
    <rPh sb="0" eb="2">
      <t>ダイシャ</t>
    </rPh>
    <rPh sb="3" eb="5">
      <t>ヘンキャク</t>
    </rPh>
    <rPh sb="5" eb="6">
      <t>スウ</t>
    </rPh>
    <phoneticPr fontId="1"/>
  </si>
  <si>
    <t>注残</t>
    <rPh sb="0" eb="2">
      <t>チュウザン</t>
    </rPh>
    <phoneticPr fontId="1"/>
  </si>
  <si>
    <t>休日生産分
振分け</t>
    <rPh sb="0" eb="2">
      <t>キュウジツ</t>
    </rPh>
    <rPh sb="2" eb="5">
      <t>セイサンブン</t>
    </rPh>
    <rPh sb="6" eb="7">
      <t>フ</t>
    </rPh>
    <rPh sb="7" eb="8">
      <t>ワ</t>
    </rPh>
    <phoneticPr fontId="1"/>
  </si>
  <si>
    <t>クボタ
発注数</t>
    <rPh sb="4" eb="6">
      <t>ハッチュウ</t>
    </rPh>
    <rPh sb="6" eb="7">
      <t>スウ</t>
    </rPh>
    <phoneticPr fontId="1"/>
  </si>
  <si>
    <t>出荷実績</t>
    <rPh sb="0" eb="2">
      <t>シュッカ</t>
    </rPh>
    <rPh sb="2" eb="4">
      <t>ジッセキ</t>
    </rPh>
    <phoneticPr fontId="1"/>
  </si>
  <si>
    <t>出荷計画
（クボタ着日）</t>
    <rPh sb="0" eb="2">
      <t>シュッカ</t>
    </rPh>
    <rPh sb="2" eb="4">
      <t>ケイカク</t>
    </rPh>
    <rPh sb="9" eb="11">
      <t>チャクビ</t>
    </rPh>
    <phoneticPr fontId="1"/>
  </si>
  <si>
    <t>木</t>
  </si>
  <si>
    <t>金</t>
  </si>
  <si>
    <t>土</t>
  </si>
  <si>
    <t>日</t>
  </si>
  <si>
    <t>月</t>
  </si>
  <si>
    <t>火</t>
  </si>
  <si>
    <t>水</t>
  </si>
  <si>
    <t>注残予定</t>
    <rPh sb="0" eb="2">
      <t>チュウザン</t>
    </rPh>
    <rPh sb="2" eb="4">
      <t>ヨテイ</t>
    </rPh>
    <phoneticPr fontId="1"/>
  </si>
  <si>
    <t>DA出荷前</t>
    <rPh sb="2" eb="4">
      <t>シュッカ</t>
    </rPh>
    <rPh sb="4" eb="5">
      <t>マエ</t>
    </rPh>
    <phoneticPr fontId="1"/>
  </si>
  <si>
    <t>※メモ）7/19社内在庫確認結果　56個</t>
    <rPh sb="8" eb="12">
      <t>シャナイザイコ</t>
    </rPh>
    <rPh sb="12" eb="14">
      <t>カクニン</t>
    </rPh>
    <rPh sb="14" eb="16">
      <t>ケッカ</t>
    </rPh>
    <rPh sb="19" eb="20">
      <t>コ</t>
    </rPh>
    <phoneticPr fontId="1"/>
  </si>
  <si>
    <t>※メモ）7/19社内在庫確認結果　88個</t>
    <rPh sb="8" eb="12">
      <t>シャナイザイコ</t>
    </rPh>
    <rPh sb="12" eb="14">
      <t>カクニン</t>
    </rPh>
    <rPh sb="14" eb="16">
      <t>ケッカ</t>
    </rPh>
    <rPh sb="19" eb="20">
      <t>コ</t>
    </rPh>
    <phoneticPr fontId="1"/>
  </si>
  <si>
    <t>土</t>
    <phoneticPr fontId="1"/>
  </si>
  <si>
    <t>日</t>
    <phoneticPr fontId="1"/>
  </si>
  <si>
    <t>来歴3</t>
    <rPh sb="0" eb="2">
      <t>ライレキ</t>
    </rPh>
    <phoneticPr fontId="1"/>
  </si>
  <si>
    <t>納入不可</t>
    <rPh sb="0" eb="2">
      <t>ノウニュウ</t>
    </rPh>
    <rPh sb="2" eb="4">
      <t>フカ</t>
    </rPh>
    <phoneticPr fontId="1"/>
  </si>
  <si>
    <t>棚卸</t>
    <rPh sb="0" eb="2">
      <t>タナオロシ</t>
    </rPh>
    <phoneticPr fontId="1"/>
  </si>
  <si>
    <t>追込み分</t>
    <rPh sb="0" eb="2">
      <t>オイコ</t>
    </rPh>
    <rPh sb="3" eb="4">
      <t>ブン</t>
    </rPh>
    <phoneticPr fontId="1"/>
  </si>
  <si>
    <t>追込み分合計</t>
    <rPh sb="0" eb="2">
      <t>オイコ</t>
    </rPh>
    <rPh sb="3" eb="4">
      <t>ブン</t>
    </rPh>
    <rPh sb="4" eb="6">
      <t>ゴウケイ</t>
    </rPh>
    <phoneticPr fontId="1"/>
  </si>
  <si>
    <t>火</t>
    <phoneticPr fontId="1"/>
  </si>
  <si>
    <t>エアコン</t>
    <phoneticPr fontId="1"/>
  </si>
  <si>
    <t>16アミ</t>
    <phoneticPr fontId="1"/>
  </si>
  <si>
    <t>8アミ</t>
    <phoneticPr fontId="1"/>
  </si>
  <si>
    <t>追込み分</t>
    <rPh sb="0" eb="2">
      <t>オイコ</t>
    </rPh>
    <rPh sb="3" eb="4">
      <t>ブン</t>
    </rPh>
    <phoneticPr fontId="0"/>
  </si>
  <si>
    <t>16アミ</t>
    <phoneticPr fontId="1"/>
  </si>
  <si>
    <t>ファン</t>
    <phoneticPr fontId="1"/>
  </si>
  <si>
    <t>8アミ</t>
    <phoneticPr fontId="1"/>
  </si>
  <si>
    <t>台車返却数　6網 (36台分)</t>
    <rPh sb="0" eb="2">
      <t>ダイシャ</t>
    </rPh>
    <rPh sb="2" eb="4">
      <t>ヘンキャク</t>
    </rPh>
    <rPh sb="4" eb="5">
      <t>スウ</t>
    </rPh>
    <rPh sb="7" eb="8">
      <t>アミ</t>
    </rPh>
    <rPh sb="12" eb="14">
      <t>ダイブン</t>
    </rPh>
    <phoneticPr fontId="1"/>
  </si>
  <si>
    <t>牛田電送に素地で300個ある</t>
    <rPh sb="0" eb="2">
      <t>ウシダ</t>
    </rPh>
    <rPh sb="2" eb="4">
      <t>デンソウ</t>
    </rPh>
    <rPh sb="5" eb="7">
      <t>ソジ</t>
    </rPh>
    <rPh sb="11" eb="12">
      <t>コ</t>
    </rPh>
    <phoneticPr fontId="1"/>
  </si>
  <si>
    <t>SS23 カバーコンプ(エアコン)</t>
    <phoneticPr fontId="1"/>
  </si>
  <si>
    <t>SS23 フレームコンプ(フロント)</t>
    <phoneticPr fontId="1"/>
  </si>
  <si>
    <t>9月予測</t>
    <rPh sb="1" eb="2">
      <t>ガツ</t>
    </rPh>
    <rPh sb="2" eb="4">
      <t>ヨソク</t>
    </rPh>
    <phoneticPr fontId="1"/>
  </si>
  <si>
    <t>10月予測</t>
    <rPh sb="2" eb="3">
      <t>ガツ</t>
    </rPh>
    <rPh sb="3" eb="5">
      <t>ヨソク</t>
    </rPh>
    <phoneticPr fontId="1"/>
  </si>
  <si>
    <t>11月予測</t>
    <rPh sb="2" eb="3">
      <t>ガツ</t>
    </rPh>
    <rPh sb="3" eb="5">
      <t>ヨソク</t>
    </rPh>
    <phoneticPr fontId="1"/>
  </si>
  <si>
    <t>12月予測</t>
    <rPh sb="2" eb="3">
      <t>ガツ</t>
    </rPh>
    <rPh sb="3" eb="5">
      <t>ヨソク</t>
    </rPh>
    <phoneticPr fontId="1"/>
  </si>
  <si>
    <t>台/day</t>
    <rPh sb="0" eb="1">
      <t>ダイ</t>
    </rPh>
    <phoneticPr fontId="1"/>
  </si>
  <si>
    <t>120台余分</t>
    <rPh sb="3" eb="4">
      <t>ダイ</t>
    </rPh>
    <rPh sb="4" eb="6">
      <t>ヨブン</t>
    </rPh>
    <phoneticPr fontId="1"/>
  </si>
  <si>
    <t>8/1納期分 12台 朝一出荷</t>
    <rPh sb="3" eb="5">
      <t>ノウキ</t>
    </rPh>
    <rPh sb="5" eb="6">
      <t>ブン</t>
    </rPh>
    <rPh sb="9" eb="10">
      <t>ダイ</t>
    </rPh>
    <rPh sb="11" eb="13">
      <t>アサイチ</t>
    </rPh>
    <rPh sb="13" eb="15">
      <t>シュッカ</t>
    </rPh>
    <phoneticPr fontId="1"/>
  </si>
  <si>
    <t>8/2納期分 12台 朝一出荷</t>
    <rPh sb="3" eb="5">
      <t>ノウキ</t>
    </rPh>
    <rPh sb="5" eb="6">
      <t>ブン</t>
    </rPh>
    <rPh sb="9" eb="10">
      <t>ダイ</t>
    </rPh>
    <rPh sb="11" eb="13">
      <t>アサイチ</t>
    </rPh>
    <rPh sb="13" eb="15">
      <t>シュッカ</t>
    </rPh>
    <phoneticPr fontId="1"/>
  </si>
  <si>
    <t>8/6納期分 12台 朝一出荷</t>
    <rPh sb="3" eb="5">
      <t>ノウキ</t>
    </rPh>
    <rPh sb="5" eb="6">
      <t>ブン</t>
    </rPh>
    <rPh sb="9" eb="10">
      <t>ダイ</t>
    </rPh>
    <rPh sb="11" eb="13">
      <t>アサイチ</t>
    </rPh>
    <rPh sb="13" eb="15">
      <t>シュッカ</t>
    </rPh>
    <phoneticPr fontId="1"/>
  </si>
  <si>
    <t>V053103705</t>
    <phoneticPr fontId="1"/>
  </si>
  <si>
    <t>V053904703</t>
    <phoneticPr fontId="1"/>
  </si>
  <si>
    <t>末番4</t>
    <rPh sb="0" eb="1">
      <t>マツ</t>
    </rPh>
    <rPh sb="1" eb="2">
      <t>バン</t>
    </rPh>
    <phoneticPr fontId="1"/>
  </si>
  <si>
    <t>末番5</t>
    <rPh sb="0" eb="1">
      <t>マツ</t>
    </rPh>
    <rPh sb="1" eb="2">
      <t>バン</t>
    </rPh>
    <phoneticPr fontId="1"/>
  </si>
  <si>
    <t>週平均</t>
    <rPh sb="0" eb="3">
      <t>シュウヘイキン</t>
    </rPh>
    <phoneticPr fontId="1"/>
  </si>
  <si>
    <t>末番3</t>
    <rPh sb="0" eb="1">
      <t>マツ</t>
    </rPh>
    <rPh sb="1" eb="2">
      <t>バン</t>
    </rPh>
    <phoneticPr fontId="1"/>
  </si>
  <si>
    <t>末番2</t>
    <rPh sb="0" eb="1">
      <t>マツ</t>
    </rPh>
    <rPh sb="1" eb="2">
      <t>バン</t>
    </rPh>
    <phoneticPr fontId="1"/>
  </si>
  <si>
    <t>末番1</t>
    <rPh sb="0" eb="1">
      <t>マツ</t>
    </rPh>
    <rPh sb="1" eb="2">
      <t>バン</t>
    </rPh>
    <phoneticPr fontId="1"/>
  </si>
  <si>
    <t>日付</t>
    <phoneticPr fontId="1"/>
  </si>
  <si>
    <t>V065104702</t>
    <phoneticPr fontId="1"/>
  </si>
  <si>
    <t>V065103702</t>
    <phoneticPr fontId="1"/>
  </si>
  <si>
    <t>生産トラブル</t>
    <rPh sb="0" eb="2">
      <t>セイサン</t>
    </rPh>
    <phoneticPr fontId="1"/>
  </si>
  <si>
    <t>台</t>
    <rPh sb="0" eb="1">
      <t>ダイ</t>
    </rPh>
    <phoneticPr fontId="1"/>
  </si>
  <si>
    <t>当日便AM</t>
    <rPh sb="0" eb="2">
      <t>トウジツ</t>
    </rPh>
    <rPh sb="2" eb="3">
      <t>ビン</t>
    </rPh>
    <phoneticPr fontId="1"/>
  </si>
  <si>
    <t>台車</t>
    <rPh sb="0" eb="2">
      <t>ダイシャ</t>
    </rPh>
    <phoneticPr fontId="1"/>
  </si>
  <si>
    <t>発注数1台多い</t>
    <rPh sb="0" eb="3">
      <t>ハッチュウスウ</t>
    </rPh>
    <rPh sb="4" eb="5">
      <t>ダイ</t>
    </rPh>
    <rPh sb="5" eb="6">
      <t>オオ</t>
    </rPh>
    <phoneticPr fontId="1"/>
  </si>
  <si>
    <t>火曜日のタイミングで現品票の残量を確認</t>
    <rPh sb="0" eb="3">
      <t>カヨウビ</t>
    </rPh>
    <rPh sb="10" eb="12">
      <t>ゲンピン</t>
    </rPh>
    <rPh sb="12" eb="13">
      <t>ヒョウ</t>
    </rPh>
    <rPh sb="14" eb="16">
      <t>ザンリョウ</t>
    </rPh>
    <rPh sb="17" eb="19">
      <t>カクニン</t>
    </rPh>
    <phoneticPr fontId="1"/>
  </si>
  <si>
    <t>注文数を出荷していく</t>
    <rPh sb="0" eb="2">
      <t>チュウモン</t>
    </rPh>
    <rPh sb="2" eb="3">
      <t>スウ</t>
    </rPh>
    <rPh sb="4" eb="6">
      <t>シュッカ</t>
    </rPh>
    <phoneticPr fontId="1"/>
  </si>
  <si>
    <t>1月予測</t>
    <rPh sb="1" eb="2">
      <t>ガツ</t>
    </rPh>
    <rPh sb="2" eb="4">
      <t>ヨソク</t>
    </rPh>
    <phoneticPr fontId="1"/>
  </si>
  <si>
    <t>2月予測</t>
    <rPh sb="1" eb="2">
      <t>ガツ</t>
    </rPh>
    <rPh sb="2" eb="4">
      <t>ヨソク</t>
    </rPh>
    <phoneticPr fontId="1"/>
  </si>
  <si>
    <t>3月予測</t>
    <rPh sb="1" eb="2">
      <t>ガツ</t>
    </rPh>
    <rPh sb="2" eb="4">
      <t>ヨソク</t>
    </rPh>
    <phoneticPr fontId="1"/>
  </si>
  <si>
    <t>4月予測</t>
    <rPh sb="1" eb="2">
      <t>ガツ</t>
    </rPh>
    <rPh sb="2" eb="4">
      <t>ヨソク</t>
    </rPh>
    <phoneticPr fontId="1"/>
  </si>
  <si>
    <t>5月予測</t>
    <rPh sb="1" eb="2">
      <t>ガツ</t>
    </rPh>
    <rPh sb="2" eb="4">
      <t>ヨソク</t>
    </rPh>
    <phoneticPr fontId="1"/>
  </si>
  <si>
    <t>6月予測</t>
    <rPh sb="1" eb="2">
      <t>ガツ</t>
    </rPh>
    <rPh sb="2" eb="4">
      <t>ヨソク</t>
    </rPh>
    <phoneticPr fontId="1"/>
  </si>
  <si>
    <t>V065103703</t>
    <phoneticPr fontId="1"/>
  </si>
  <si>
    <t>V065104703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</si>
</sst>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_ "/>
  </numFmts>
  <fonts count="33">
    <font>
      <sz val="11"/>
      <color theme="1"/>
      <name val="游ゴシック"/>
      <family val="2"/>
      <charset val="128"/>
    </font>
    <font>
      <sz val="6"/>
      <name val="游ゴシック"/>
      <family val="2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2"/>
      <charset val="128"/>
    </font>
    <font>
      <sz val="9"/>
      <color theme="1"/>
      <name val="游ゴシック"/>
      <family val="2"/>
      <charset val="128"/>
    </font>
    <font>
      <b/>
      <sz val="16"/>
      <color theme="1"/>
      <name val="游ゴシック"/>
      <family val="3"/>
      <charset val="128"/>
    </font>
    <font>
      <sz val="10"/>
      <color theme="1"/>
      <name val="游ゴシック"/>
      <family val="2"/>
      <charset val="128"/>
    </font>
    <font>
      <sz val="10"/>
      <name val="Arial"/>
      <family val="2"/>
    </font>
    <font>
      <sz val="9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b/>
      <sz val="11"/>
      <name val="游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4"/>
      <name val="游ゴシック"/>
      <family val="2"/>
      <charset val="128"/>
    </font>
    <font>
      <sz val="11"/>
      <color rgb="FF0070C0"/>
      <name val="游ゴシック"/>
      <family val="2"/>
      <charset val="128"/>
    </font>
    <font>
      <sz val="11"/>
      <color theme="1"/>
      <name val="游ゴシック"/>
      <family val="2"/>
      <charset val="128"/>
    </font>
    <font>
      <sz val="11"/>
      <color rgb="FF4472C4"/>
      <name val="游ゴシック"/>
      <family val="2"/>
      <charset val="128"/>
    </font>
    <font>
      <b/>
      <sz val="11"/>
      <color rgb="FFFF0000"/>
      <name val="游ゴシック"/>
      <family val="3"/>
      <charset val="128"/>
    </font>
    <font>
      <b/>
      <sz val="14"/>
      <color theme="1"/>
      <name val="游ゴシック"/>
      <family val="3"/>
      <charset val="128"/>
    </font>
    <font>
      <sz val="11"/>
      <name val="游ゴシック"/>
      <family val="2"/>
      <charset val="128"/>
    </font>
    <font>
      <sz val="11"/>
      <color theme="1"/>
      <name val="游ゴシック"/>
      <family val="3"/>
      <charset val="128"/>
    </font>
    <font>
      <b/>
      <sz val="16"/>
      <color rgb="FFFF0000"/>
      <name val="游ゴシック"/>
      <family val="3"/>
      <charset val="128"/>
    </font>
    <font>
      <sz val="11"/>
      <name val="游ゴシック"/>
      <family val="3"/>
      <charset val="128"/>
    </font>
    <font>
      <sz val="11"/>
      <color theme="4"/>
      <name val="游ゴシック"/>
      <family val="3"/>
      <charset val="128"/>
    </font>
    <font>
      <b/>
      <sz val="11"/>
      <color theme="4"/>
      <name val="游ゴシック"/>
      <family val="3"/>
      <charset val="128"/>
    </font>
    <font>
      <b/>
      <sz val="11"/>
      <color indexed="81"/>
      <name val="MS P ゴシック"/>
      <family val="3"/>
      <charset val="128"/>
    </font>
    <font>
      <b/>
      <sz val="12"/>
      <color indexed="81"/>
      <name val="MS P ゴシック"/>
      <family val="3"/>
      <charset val="128"/>
    </font>
    <font>
      <b/>
      <sz val="10"/>
      <color indexed="81"/>
      <name val="MS P ゴシック"/>
      <family val="3"/>
      <charset val="128"/>
    </font>
    <font>
      <sz val="11"/>
      <color rgb="FFFFCCFF"/>
      <name val="游ゴシック"/>
      <family val="2"/>
      <charset val="128"/>
    </font>
    <font>
      <b/>
      <sz val="11"/>
      <color theme="0" tint="-0.249977111117893"/>
      <name val="游ゴシック"/>
      <family val="3"/>
      <charset val="128"/>
    </font>
    <font>
      <b/>
      <sz val="11"/>
      <color theme="8"/>
      <name val="游ゴシック"/>
      <family val="3"/>
      <charset val="128"/>
    </font>
    <font>
      <sz val="10"/>
      <color indexed="81"/>
      <name val="MS P ゴシック"/>
      <family val="3"/>
      <charset val="128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 diagonalUp="1"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38" fontId="16" fillId="0" borderId="0" applyFont="0" applyFill="0" applyBorder="0" applyAlignment="0" applyProtection="0">
      <alignment vertical="center"/>
    </xf>
  </cellStyleXfs>
  <cellXfs count="3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6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0" fillId="0" borderId="8" xfId="0" applyBorder="1">
      <alignment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14" fontId="0" fillId="3" borderId="1" xfId="0" applyNumberFormat="1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0" fillId="3" borderId="10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1" xfId="0" applyFill="1" applyBorder="1">
      <alignment vertical="center"/>
    </xf>
    <xf numFmtId="0" fontId="4" fillId="0" borderId="0" xfId="0" applyFont="1" applyAlignment="1">
      <alignment horizontal="center" vertical="center"/>
    </xf>
    <xf numFmtId="0" fontId="7" fillId="4" borderId="9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0" fillId="3" borderId="1" xfId="0" applyFont="1" applyFill="1" applyBorder="1">
      <alignment vertical="center"/>
    </xf>
    <xf numFmtId="0" fontId="0" fillId="2" borderId="13" xfId="0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 wrapText="1"/>
    </xf>
    <xf numFmtId="0" fontId="7" fillId="4" borderId="19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3" borderId="21" xfId="0" applyFill="1" applyBorder="1">
      <alignment vertical="center"/>
    </xf>
    <xf numFmtId="0" fontId="0" fillId="3" borderId="22" xfId="0" applyFill="1" applyBorder="1">
      <alignment vertical="center"/>
    </xf>
    <xf numFmtId="0" fontId="0" fillId="0" borderId="15" xfId="0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10" fillId="5" borderId="1" xfId="0" applyFont="1" applyFill="1" applyBorder="1">
      <alignment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11" fillId="3" borderId="1" xfId="0" applyFont="1" applyFill="1" applyBorder="1">
      <alignment vertical="center"/>
    </xf>
    <xf numFmtId="0" fontId="11" fillId="5" borderId="1" xfId="0" applyFont="1" applyFill="1" applyBorder="1">
      <alignment vertical="center"/>
    </xf>
    <xf numFmtId="0" fontId="10" fillId="0" borderId="5" xfId="0" applyFont="1" applyBorder="1">
      <alignment vertical="center"/>
    </xf>
    <xf numFmtId="0" fontId="10" fillId="3" borderId="5" xfId="0" applyFont="1" applyFill="1" applyBorder="1">
      <alignment vertical="center"/>
    </xf>
    <xf numFmtId="0" fontId="0" fillId="3" borderId="7" xfId="0" applyFill="1" applyBorder="1">
      <alignment vertical="center"/>
    </xf>
    <xf numFmtId="0" fontId="11" fillId="0" borderId="5" xfId="0" applyFont="1" applyBorder="1">
      <alignment vertical="center"/>
    </xf>
    <xf numFmtId="0" fontId="11" fillId="3" borderId="5" xfId="0" applyFont="1" applyFill="1" applyBorder="1">
      <alignment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3" borderId="4" xfId="0" applyFill="1" applyBorder="1" applyAlignment="1">
      <alignment horizontal="right" vertical="center"/>
    </xf>
    <xf numFmtId="0" fontId="4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3" borderId="5" xfId="0" applyFill="1" applyBorder="1" applyAlignment="1">
      <alignment horizontal="right" vertical="center"/>
    </xf>
    <xf numFmtId="0" fontId="4" fillId="2" borderId="23" xfId="0" applyFont="1" applyFill="1" applyBorder="1" applyAlignment="1">
      <alignment horizontal="center" vertical="center"/>
    </xf>
    <xf numFmtId="0" fontId="10" fillId="0" borderId="24" xfId="0" applyFont="1" applyBorder="1" applyAlignment="1">
      <alignment horizontal="right" vertical="center"/>
    </xf>
    <xf numFmtId="0" fontId="0" fillId="3" borderId="24" xfId="0" applyFill="1" applyBorder="1" applyAlignment="1">
      <alignment horizontal="right" vertical="center"/>
    </xf>
    <xf numFmtId="0" fontId="10" fillId="3" borderId="24" xfId="0" applyFont="1" applyFill="1" applyBorder="1" applyAlignment="1">
      <alignment horizontal="right" vertical="center"/>
    </xf>
    <xf numFmtId="0" fontId="10" fillId="6" borderId="5" xfId="0" applyFont="1" applyFill="1" applyBorder="1">
      <alignment vertical="center"/>
    </xf>
    <xf numFmtId="0" fontId="14" fillId="0" borderId="7" xfId="0" applyFont="1" applyBorder="1">
      <alignment vertical="center"/>
    </xf>
    <xf numFmtId="0" fontId="14" fillId="3" borderId="7" xfId="0" applyFont="1" applyFill="1" applyBorder="1">
      <alignment vertical="center"/>
    </xf>
    <xf numFmtId="0" fontId="10" fillId="3" borderId="4" xfId="0" applyFont="1" applyFill="1" applyBorder="1" applyAlignment="1">
      <alignment horizontal="right" vertic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5" fillId="0" borderId="7" xfId="0" applyFont="1" applyBorder="1">
      <alignment vertical="center"/>
    </xf>
    <xf numFmtId="38" fontId="0" fillId="0" borderId="0" xfId="2" applyFont="1" applyAlignment="1">
      <alignment vertical="center"/>
    </xf>
    <xf numFmtId="38" fontId="0" fillId="0" borderId="0" xfId="0" applyNumberFormat="1" applyAlignment="1">
      <alignment horizontal="center" vertical="center"/>
    </xf>
    <xf numFmtId="38" fontId="0" fillId="3" borderId="0" xfId="0" applyNumberFormat="1" applyFill="1" applyAlignment="1">
      <alignment horizontal="center" vertical="center"/>
    </xf>
    <xf numFmtId="0" fontId="0" fillId="3" borderId="5" xfId="0" applyFill="1" applyBorder="1">
      <alignment vertical="center"/>
    </xf>
    <xf numFmtId="0" fontId="0" fillId="0" borderId="0" xfId="0" applyAlignment="1">
      <alignment horizontal="left" vertical="center"/>
    </xf>
    <xf numFmtId="0" fontId="10" fillId="0" borderId="1" xfId="0" applyFont="1" applyBorder="1" applyAlignment="1">
      <alignment horizontal="right" vertical="center"/>
    </xf>
    <xf numFmtId="0" fontId="10" fillId="6" borderId="1" xfId="0" applyFont="1" applyFill="1" applyBorder="1" applyAlignment="1">
      <alignment horizontal="right" vertical="center"/>
    </xf>
    <xf numFmtId="0" fontId="10" fillId="3" borderId="1" xfId="0" applyFont="1" applyFill="1" applyBorder="1" applyAlignment="1">
      <alignment horizontal="right" vertical="center"/>
    </xf>
    <xf numFmtId="0" fontId="10" fillId="3" borderId="2" xfId="0" applyFont="1" applyFill="1" applyBorder="1" applyAlignment="1">
      <alignment horizontal="right" vertical="center"/>
    </xf>
    <xf numFmtId="0" fontId="10" fillId="3" borderId="25" xfId="0" applyFont="1" applyFill="1" applyBorder="1" applyAlignment="1">
      <alignment horizontal="right" vertical="center"/>
    </xf>
    <xf numFmtId="0" fontId="10" fillId="0" borderId="4" xfId="0" applyFont="1" applyBorder="1" applyAlignment="1">
      <alignment horizontal="right" vertical="center"/>
    </xf>
    <xf numFmtId="14" fontId="0" fillId="3" borderId="1" xfId="0" applyNumberFormat="1" applyFill="1" applyBorder="1">
      <alignment vertical="center"/>
    </xf>
    <xf numFmtId="14" fontId="0" fillId="0" borderId="1" xfId="0" applyNumberFormat="1" applyBorder="1">
      <alignment vertical="center"/>
    </xf>
    <xf numFmtId="176" fontId="0" fillId="0" borderId="0" xfId="0" applyNumberFormat="1" applyAlignment="1">
      <alignment horizontal="center" vertical="center"/>
    </xf>
    <xf numFmtId="0" fontId="0" fillId="3" borderId="4" xfId="0" applyFill="1" applyBorder="1">
      <alignment vertical="center"/>
    </xf>
    <xf numFmtId="0" fontId="0" fillId="3" borderId="24" xfId="0" applyFill="1" applyBorder="1">
      <alignment vertical="center"/>
    </xf>
    <xf numFmtId="0" fontId="0" fillId="0" borderId="24" xfId="0" applyBorder="1">
      <alignment vertical="center"/>
    </xf>
    <xf numFmtId="0" fontId="0" fillId="0" borderId="4" xfId="0" applyBorder="1">
      <alignment vertical="center"/>
    </xf>
    <xf numFmtId="0" fontId="10" fillId="7" borderId="5" xfId="0" applyFont="1" applyFill="1" applyBorder="1">
      <alignment vertical="center"/>
    </xf>
    <xf numFmtId="0" fontId="10" fillId="7" borderId="1" xfId="0" applyFont="1" applyFill="1" applyBorder="1" applyAlignment="1">
      <alignment horizontal="right" vertical="center"/>
    </xf>
    <xf numFmtId="0" fontId="10" fillId="7" borderId="4" xfId="0" applyFont="1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0" fillId="8" borderId="4" xfId="0" applyFill="1" applyBorder="1">
      <alignment vertical="center"/>
    </xf>
    <xf numFmtId="0" fontId="0" fillId="8" borderId="4" xfId="0" applyFill="1" applyBorder="1" applyAlignment="1">
      <alignment horizontal="right" vertical="center"/>
    </xf>
    <xf numFmtId="0" fontId="17" fillId="0" borderId="7" xfId="0" applyFont="1" applyBorder="1">
      <alignment vertical="center"/>
    </xf>
    <xf numFmtId="0" fontId="10" fillId="0" borderId="26" xfId="0" applyFont="1" applyBorder="1" applyAlignment="1">
      <alignment horizontal="right" vertical="center"/>
    </xf>
    <xf numFmtId="0" fontId="10" fillId="0" borderId="24" xfId="0" applyFont="1" applyBorder="1">
      <alignment vertical="center"/>
    </xf>
    <xf numFmtId="14" fontId="0" fillId="0" borderId="25" xfId="0" applyNumberFormat="1" applyBorder="1">
      <alignment vertical="center"/>
    </xf>
    <xf numFmtId="0" fontId="0" fillId="0" borderId="25" xfId="0" applyBorder="1" applyAlignment="1">
      <alignment horizontal="center" vertical="center"/>
    </xf>
    <xf numFmtId="0" fontId="0" fillId="0" borderId="25" xfId="0" applyBorder="1">
      <alignment vertical="center"/>
    </xf>
    <xf numFmtId="0" fontId="10" fillId="0" borderId="28" xfId="0" applyFont="1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10" fillId="0" borderId="25" xfId="0" applyFont="1" applyBorder="1">
      <alignment vertical="center"/>
    </xf>
    <xf numFmtId="0" fontId="0" fillId="0" borderId="2" xfId="0" applyBorder="1">
      <alignment vertical="center"/>
    </xf>
    <xf numFmtId="0" fontId="10" fillId="0" borderId="11" xfId="0" applyFont="1" applyBorder="1">
      <alignment vertical="center"/>
    </xf>
    <xf numFmtId="0" fontId="0" fillId="0" borderId="31" xfId="0" applyBorder="1">
      <alignment vertical="center"/>
    </xf>
    <xf numFmtId="0" fontId="0" fillId="0" borderId="12" xfId="0" applyBorder="1">
      <alignment vertical="center"/>
    </xf>
    <xf numFmtId="0" fontId="0" fillId="0" borderId="32" xfId="0" applyBorder="1" applyAlignment="1">
      <alignment horizontal="center" vertical="center"/>
    </xf>
    <xf numFmtId="14" fontId="0" fillId="3" borderId="1" xfId="0" applyNumberFormat="1" applyFill="1" applyBorder="1" applyAlignment="1">
      <alignment vertical="center" shrinkToFit="1"/>
    </xf>
    <xf numFmtId="14" fontId="0" fillId="0" borderId="1" xfId="0" applyNumberFormat="1" applyBorder="1" applyAlignment="1">
      <alignment vertical="center" shrinkToFit="1"/>
    </xf>
    <xf numFmtId="0" fontId="0" fillId="8" borderId="25" xfId="0" applyFill="1" applyBorder="1" applyAlignment="1">
      <alignment horizontal="right" vertical="center"/>
    </xf>
    <xf numFmtId="0" fontId="14" fillId="0" borderId="27" xfId="0" applyFont="1" applyBorder="1">
      <alignment vertical="center"/>
    </xf>
    <xf numFmtId="0" fontId="10" fillId="5" borderId="2" xfId="0" applyFont="1" applyFill="1" applyBorder="1">
      <alignment vertical="center"/>
    </xf>
    <xf numFmtId="14" fontId="0" fillId="3" borderId="2" xfId="0" applyNumberFormat="1" applyFill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>
      <alignment vertical="center"/>
    </xf>
    <xf numFmtId="14" fontId="0" fillId="0" borderId="2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8" borderId="2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14" fillId="0" borderId="9" xfId="0" applyFont="1" applyBorder="1">
      <alignment vertical="center"/>
    </xf>
    <xf numFmtId="0" fontId="0" fillId="4" borderId="1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4" xfId="0" applyFill="1" applyBorder="1" applyAlignment="1">
      <alignment horizontal="right" vertical="center"/>
    </xf>
    <xf numFmtId="0" fontId="19" fillId="9" borderId="0" xfId="0" applyFont="1" applyFill="1" applyAlignment="1">
      <alignment horizontal="center" vertical="center"/>
    </xf>
    <xf numFmtId="0" fontId="19" fillId="10" borderId="0" xfId="0" applyFont="1" applyFill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0" fillId="0" borderId="2" xfId="0" applyFont="1" applyBorder="1">
      <alignment vertical="center"/>
    </xf>
    <xf numFmtId="0" fontId="20" fillId="0" borderId="7" xfId="0" applyFont="1" applyBorder="1">
      <alignment vertical="center"/>
    </xf>
    <xf numFmtId="0" fontId="10" fillId="5" borderId="25" xfId="0" applyFont="1" applyFill="1" applyBorder="1">
      <alignment vertical="center"/>
    </xf>
    <xf numFmtId="0" fontId="20" fillId="0" borderId="27" xfId="0" applyFont="1" applyBorder="1">
      <alignment vertical="center"/>
    </xf>
    <xf numFmtId="0" fontId="20" fillId="3" borderId="7" xfId="0" applyFont="1" applyFill="1" applyBorder="1">
      <alignment vertical="center"/>
    </xf>
    <xf numFmtId="0" fontId="0" fillId="4" borderId="1" xfId="0" applyFill="1" applyBorder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18" fillId="3" borderId="4" xfId="0" applyFont="1" applyFill="1" applyBorder="1" applyAlignment="1">
      <alignment horizontal="right" vertical="center"/>
    </xf>
    <xf numFmtId="0" fontId="18" fillId="3" borderId="5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0" fillId="5" borderId="37" xfId="0" applyFill="1" applyBorder="1">
      <alignment vertical="center"/>
    </xf>
    <xf numFmtId="0" fontId="0" fillId="11" borderId="10" xfId="0" applyFill="1" applyBorder="1">
      <alignment vertical="center"/>
    </xf>
    <xf numFmtId="0" fontId="0" fillId="12" borderId="10" xfId="0" applyFill="1" applyBorder="1">
      <alignment vertical="center"/>
    </xf>
    <xf numFmtId="0" fontId="10" fillId="10" borderId="5" xfId="0" applyFont="1" applyFill="1" applyBorder="1">
      <alignment vertical="center"/>
    </xf>
    <xf numFmtId="0" fontId="0" fillId="10" borderId="1" xfId="0" applyFill="1" applyBorder="1" applyAlignment="1">
      <alignment horizontal="right" vertical="center"/>
    </xf>
    <xf numFmtId="0" fontId="0" fillId="10" borderId="4" xfId="0" applyFill="1" applyBorder="1">
      <alignment vertical="center"/>
    </xf>
    <xf numFmtId="0" fontId="0" fillId="10" borderId="4" xfId="0" applyFill="1" applyBorder="1" applyAlignment="1">
      <alignment horizontal="right" vertical="center"/>
    </xf>
    <xf numFmtId="0" fontId="10" fillId="10" borderId="1" xfId="0" applyFont="1" applyFill="1" applyBorder="1">
      <alignment vertical="center"/>
    </xf>
    <xf numFmtId="2" fontId="0" fillId="0" borderId="0" xfId="0" applyNumberFormat="1" applyAlignment="1">
      <alignment horizontal="center" vertical="center"/>
    </xf>
    <xf numFmtId="0" fontId="10" fillId="3" borderId="24" xfId="0" applyFont="1" applyFill="1" applyBorder="1">
      <alignment vertical="center"/>
    </xf>
    <xf numFmtId="56" fontId="0" fillId="0" borderId="0" xfId="0" applyNumberFormat="1" applyAlignment="1">
      <alignment horizontal="center" vertical="center"/>
    </xf>
    <xf numFmtId="0" fontId="18" fillId="3" borderId="5" xfId="0" applyFont="1" applyFill="1" applyBorder="1" applyAlignment="1">
      <alignment horizontal="center" vertical="top"/>
    </xf>
    <xf numFmtId="0" fontId="18" fillId="0" borderId="5" xfId="0" applyFont="1" applyBorder="1" applyAlignment="1">
      <alignment horizontal="center" vertical="center"/>
    </xf>
    <xf numFmtId="0" fontId="0" fillId="5" borderId="37" xfId="0" applyFill="1" applyBorder="1" applyAlignment="1">
      <alignment horizontal="right" vertical="center"/>
    </xf>
    <xf numFmtId="0" fontId="14" fillId="5" borderId="7" xfId="0" applyFont="1" applyFill="1" applyBorder="1" applyAlignment="1">
      <alignment vertical="center" wrapText="1"/>
    </xf>
    <xf numFmtId="0" fontId="14" fillId="5" borderId="7" xfId="0" applyFont="1" applyFill="1" applyBorder="1">
      <alignment vertical="center"/>
    </xf>
    <xf numFmtId="0" fontId="0" fillId="0" borderId="8" xfId="0" applyBorder="1" applyAlignment="1">
      <alignment vertical="center" shrinkToFit="1"/>
    </xf>
    <xf numFmtId="0" fontId="18" fillId="0" borderId="1" xfId="0" applyFont="1" applyBorder="1" applyAlignment="1">
      <alignment horizontal="right" vertical="center"/>
    </xf>
    <xf numFmtId="0" fontId="18" fillId="0" borderId="5" xfId="0" applyFont="1" applyBorder="1">
      <alignment vertical="center"/>
    </xf>
    <xf numFmtId="0" fontId="22" fillId="0" borderId="0" xfId="0" applyFont="1">
      <alignment vertical="center"/>
    </xf>
    <xf numFmtId="0" fontId="18" fillId="0" borderId="4" xfId="0" applyFont="1" applyBorder="1">
      <alignment vertical="center"/>
    </xf>
    <xf numFmtId="0" fontId="18" fillId="0" borderId="4" xfId="0" applyFont="1" applyBorder="1" applyAlignment="1">
      <alignment horizontal="right" vertical="center"/>
    </xf>
    <xf numFmtId="0" fontId="0" fillId="5" borderId="38" xfId="0" applyFill="1" applyBorder="1">
      <alignment vertical="center"/>
    </xf>
    <xf numFmtId="0" fontId="0" fillId="5" borderId="4" xfId="0" applyFill="1" applyBorder="1" applyAlignment="1">
      <alignment horizontal="right" vertical="center"/>
    </xf>
    <xf numFmtId="0" fontId="21" fillId="0" borderId="7" xfId="0" applyFont="1" applyBorder="1">
      <alignment vertical="center"/>
    </xf>
    <xf numFmtId="0" fontId="21" fillId="3" borderId="7" xfId="0" applyFont="1" applyFill="1" applyBorder="1">
      <alignment vertical="center"/>
    </xf>
    <xf numFmtId="0" fontId="0" fillId="5" borderId="4" xfId="0" applyFill="1" applyBorder="1">
      <alignment vertical="center"/>
    </xf>
    <xf numFmtId="0" fontId="0" fillId="13" borderId="1" xfId="0" applyFill="1" applyBorder="1">
      <alignment vertical="center"/>
    </xf>
    <xf numFmtId="0" fontId="0" fillId="13" borderId="7" xfId="0" applyFill="1" applyBorder="1">
      <alignment vertical="center"/>
    </xf>
    <xf numFmtId="0" fontId="10" fillId="13" borderId="5" xfId="0" applyFont="1" applyFill="1" applyBorder="1">
      <alignment vertical="center"/>
    </xf>
    <xf numFmtId="0" fontId="0" fillId="13" borderId="10" xfId="0" applyFill="1" applyBorder="1">
      <alignment vertical="center"/>
    </xf>
    <xf numFmtId="0" fontId="0" fillId="13" borderId="8" xfId="0" applyFill="1" applyBorder="1">
      <alignment vertical="center"/>
    </xf>
    <xf numFmtId="0" fontId="10" fillId="13" borderId="1" xfId="0" applyFont="1" applyFill="1" applyBorder="1">
      <alignment vertical="center"/>
    </xf>
    <xf numFmtId="0" fontId="0" fillId="13" borderId="0" xfId="0" applyFill="1">
      <alignment vertical="center"/>
    </xf>
    <xf numFmtId="0" fontId="10" fillId="0" borderId="7" xfId="0" applyFont="1" applyBorder="1">
      <alignment vertical="center"/>
    </xf>
    <xf numFmtId="0" fontId="10" fillId="5" borderId="7" xfId="0" applyFont="1" applyFill="1" applyBorder="1">
      <alignment vertical="center"/>
    </xf>
    <xf numFmtId="0" fontId="23" fillId="5" borderId="1" xfId="0" applyFont="1" applyFill="1" applyBorder="1">
      <alignment vertical="center"/>
    </xf>
    <xf numFmtId="0" fontId="18" fillId="5" borderId="1" xfId="0" applyFont="1" applyFill="1" applyBorder="1">
      <alignment vertical="center"/>
    </xf>
    <xf numFmtId="0" fontId="11" fillId="0" borderId="1" xfId="0" applyFont="1" applyBorder="1">
      <alignment vertical="center"/>
    </xf>
    <xf numFmtId="0" fontId="10" fillId="15" borderId="5" xfId="0" applyFont="1" applyFill="1" applyBorder="1">
      <alignment vertical="center"/>
    </xf>
    <xf numFmtId="0" fontId="0" fillId="15" borderId="10" xfId="0" applyFill="1" applyBorder="1">
      <alignment vertical="center"/>
    </xf>
    <xf numFmtId="0" fontId="0" fillId="15" borderId="8" xfId="0" applyFill="1" applyBorder="1">
      <alignment vertical="center"/>
    </xf>
    <xf numFmtId="0" fontId="10" fillId="15" borderId="1" xfId="0" applyFont="1" applyFill="1" applyBorder="1">
      <alignment vertical="center"/>
    </xf>
    <xf numFmtId="0" fontId="0" fillId="15" borderId="1" xfId="0" applyFill="1" applyBorder="1">
      <alignment vertical="center"/>
    </xf>
    <xf numFmtId="0" fontId="0" fillId="15" borderId="0" xfId="0" applyFill="1">
      <alignment vertical="center"/>
    </xf>
    <xf numFmtId="0" fontId="10" fillId="14" borderId="5" xfId="0" applyFont="1" applyFill="1" applyBorder="1">
      <alignment vertical="center"/>
    </xf>
    <xf numFmtId="0" fontId="24" fillId="0" borderId="7" xfId="0" applyFont="1" applyBorder="1">
      <alignment vertical="center"/>
    </xf>
    <xf numFmtId="0" fontId="25" fillId="0" borderId="7" xfId="0" applyFont="1" applyBorder="1">
      <alignment vertical="center"/>
    </xf>
    <xf numFmtId="0" fontId="0" fillId="16" borderId="5" xfId="0" applyFill="1" applyBorder="1">
      <alignment vertical="center"/>
    </xf>
    <xf numFmtId="0" fontId="10" fillId="0" borderId="4" xfId="0" applyFont="1" applyBorder="1">
      <alignment vertical="center"/>
    </xf>
    <xf numFmtId="0" fontId="23" fillId="0" borderId="7" xfId="0" applyFont="1" applyBorder="1">
      <alignment vertical="center"/>
    </xf>
    <xf numFmtId="38" fontId="0" fillId="0" borderId="0" xfId="0" applyNumberFormat="1">
      <alignment vertical="center"/>
    </xf>
    <xf numFmtId="0" fontId="18" fillId="4" borderId="7" xfId="0" applyFont="1" applyFill="1" applyBorder="1">
      <alignment vertical="center"/>
    </xf>
    <xf numFmtId="177" fontId="0" fillId="0" borderId="0" xfId="0" applyNumberFormat="1" applyAlignment="1">
      <alignment horizontal="center" vertical="center"/>
    </xf>
    <xf numFmtId="0" fontId="14" fillId="14" borderId="7" xfId="0" applyFont="1" applyFill="1" applyBorder="1">
      <alignment vertical="center"/>
    </xf>
    <xf numFmtId="0" fontId="18" fillId="5" borderId="7" xfId="0" applyFont="1" applyFill="1" applyBorder="1">
      <alignment vertical="center"/>
    </xf>
    <xf numFmtId="0" fontId="25" fillId="3" borderId="7" xfId="0" applyFont="1" applyFill="1" applyBorder="1">
      <alignment vertical="center"/>
    </xf>
    <xf numFmtId="0" fontId="7" fillId="5" borderId="16" xfId="0" applyFont="1" applyFill="1" applyBorder="1" applyAlignment="1">
      <alignment horizontal="center" vertical="center"/>
    </xf>
    <xf numFmtId="0" fontId="0" fillId="0" borderId="15" xfId="0" applyBorder="1">
      <alignment vertical="center"/>
    </xf>
    <xf numFmtId="0" fontId="22" fillId="12" borderId="0" xfId="0" applyFont="1" applyFill="1">
      <alignment vertical="center"/>
    </xf>
    <xf numFmtId="0" fontId="6" fillId="12" borderId="0" xfId="0" applyFont="1" applyFill="1">
      <alignment vertical="center"/>
    </xf>
    <xf numFmtId="0" fontId="0" fillId="12" borderId="0" xfId="0" applyFill="1" applyAlignment="1">
      <alignment horizontal="center" vertical="center"/>
    </xf>
    <xf numFmtId="0" fontId="0" fillId="12" borderId="0" xfId="0" applyFill="1">
      <alignment vertical="center"/>
    </xf>
    <xf numFmtId="0" fontId="0" fillId="17" borderId="1" xfId="0" applyFill="1" applyBorder="1">
      <alignment vertical="center"/>
    </xf>
    <xf numFmtId="0" fontId="0" fillId="17" borderId="22" xfId="0" applyFill="1" applyBorder="1">
      <alignment vertical="center"/>
    </xf>
    <xf numFmtId="0" fontId="0" fillId="17" borderId="0" xfId="0" applyFill="1" applyAlignment="1">
      <alignment horizontal="center" vertical="center"/>
    </xf>
    <xf numFmtId="0" fontId="0" fillId="17" borderId="7" xfId="0" applyFill="1" applyBorder="1">
      <alignment vertical="center"/>
    </xf>
    <xf numFmtId="0" fontId="10" fillId="17" borderId="5" xfId="0" applyFont="1" applyFill="1" applyBorder="1">
      <alignment vertical="center"/>
    </xf>
    <xf numFmtId="0" fontId="0" fillId="17" borderId="10" xfId="0" applyFill="1" applyBorder="1">
      <alignment vertical="center"/>
    </xf>
    <xf numFmtId="0" fontId="0" fillId="17" borderId="8" xfId="0" applyFill="1" applyBorder="1">
      <alignment vertical="center"/>
    </xf>
    <xf numFmtId="0" fontId="10" fillId="17" borderId="1" xfId="0" applyFont="1" applyFill="1" applyBorder="1">
      <alignment vertical="center"/>
    </xf>
    <xf numFmtId="0" fontId="0" fillId="0" borderId="0" xfId="0" applyAlignment="1">
      <alignment horizontal="right" vertical="center" shrinkToFit="1"/>
    </xf>
    <xf numFmtId="0" fontId="0" fillId="0" borderId="0" xfId="0" applyAlignment="1">
      <alignment horizontal="center" vertical="center" shrinkToFit="1"/>
    </xf>
    <xf numFmtId="0" fontId="10" fillId="3" borderId="7" xfId="0" applyFont="1" applyFill="1" applyBorder="1">
      <alignment vertical="center"/>
    </xf>
    <xf numFmtId="0" fontId="10" fillId="5" borderId="5" xfId="0" applyFont="1" applyFill="1" applyBorder="1">
      <alignment vertical="center"/>
    </xf>
    <xf numFmtId="14" fontId="0" fillId="18" borderId="1" xfId="0" applyNumberFormat="1" applyFill="1" applyBorder="1">
      <alignment vertical="center"/>
    </xf>
    <xf numFmtId="0" fontId="0" fillId="18" borderId="1" xfId="0" applyFill="1" applyBorder="1" applyAlignment="1">
      <alignment horizontal="center" vertical="center"/>
    </xf>
    <xf numFmtId="0" fontId="0" fillId="18" borderId="4" xfId="0" applyFill="1" applyBorder="1">
      <alignment vertical="center"/>
    </xf>
    <xf numFmtId="0" fontId="0" fillId="18" borderId="24" xfId="0" applyFill="1" applyBorder="1">
      <alignment vertical="center"/>
    </xf>
    <xf numFmtId="0" fontId="0" fillId="18" borderId="5" xfId="0" applyFill="1" applyBorder="1">
      <alignment vertical="center"/>
    </xf>
    <xf numFmtId="0" fontId="0" fillId="18" borderId="0" xfId="0" applyFill="1" applyAlignment="1">
      <alignment horizontal="center" vertical="center"/>
    </xf>
    <xf numFmtId="0" fontId="0" fillId="18" borderId="21" xfId="0" applyFill="1" applyBorder="1">
      <alignment vertical="center"/>
    </xf>
    <xf numFmtId="0" fontId="0" fillId="18" borderId="1" xfId="0" applyFill="1" applyBorder="1" applyAlignment="1">
      <alignment horizontal="right" vertical="center"/>
    </xf>
    <xf numFmtId="0" fontId="0" fillId="18" borderId="1" xfId="0" applyFill="1" applyBorder="1">
      <alignment vertical="center"/>
    </xf>
    <xf numFmtId="0" fontId="0" fillId="18" borderId="7" xfId="0" applyFill="1" applyBorder="1">
      <alignment vertical="center"/>
    </xf>
    <xf numFmtId="0" fontId="11" fillId="18" borderId="5" xfId="0" applyFont="1" applyFill="1" applyBorder="1">
      <alignment vertical="center"/>
    </xf>
    <xf numFmtId="0" fontId="0" fillId="18" borderId="8" xfId="0" applyFill="1" applyBorder="1">
      <alignment vertical="center"/>
    </xf>
    <xf numFmtId="0" fontId="10" fillId="18" borderId="7" xfId="0" applyFont="1" applyFill="1" applyBorder="1">
      <alignment vertical="center"/>
    </xf>
    <xf numFmtId="0" fontId="0" fillId="18" borderId="22" xfId="0" applyFill="1" applyBorder="1">
      <alignment vertical="center"/>
    </xf>
    <xf numFmtId="0" fontId="10" fillId="18" borderId="5" xfId="0" applyFont="1" applyFill="1" applyBorder="1">
      <alignment vertical="center"/>
    </xf>
    <xf numFmtId="0" fontId="0" fillId="18" borderId="10" xfId="0" applyFill="1" applyBorder="1">
      <alignment vertical="center"/>
    </xf>
    <xf numFmtId="0" fontId="10" fillId="18" borderId="1" xfId="0" applyFont="1" applyFill="1" applyBorder="1">
      <alignment vertical="center"/>
    </xf>
    <xf numFmtId="0" fontId="0" fillId="18" borderId="0" xfId="0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18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 shrinkToFit="1"/>
    </xf>
    <xf numFmtId="0" fontId="15" fillId="0" borderId="0" xfId="0" applyFont="1">
      <alignment vertical="center"/>
    </xf>
    <xf numFmtId="0" fontId="24" fillId="0" borderId="0" xfId="0" applyFont="1">
      <alignment vertical="center"/>
    </xf>
    <xf numFmtId="0" fontId="11" fillId="0" borderId="0" xfId="0" applyFont="1">
      <alignment vertical="center"/>
    </xf>
    <xf numFmtId="0" fontId="19" fillId="19" borderId="0" xfId="0" applyFont="1" applyFill="1" applyAlignment="1">
      <alignment horizontal="center" vertical="center"/>
    </xf>
    <xf numFmtId="0" fontId="10" fillId="20" borderId="5" xfId="0" applyFont="1" applyFill="1" applyBorder="1">
      <alignment vertical="center"/>
    </xf>
    <xf numFmtId="0" fontId="0" fillId="20" borderId="10" xfId="0" applyFill="1" applyBorder="1">
      <alignment vertical="center"/>
    </xf>
    <xf numFmtId="0" fontId="0" fillId="20" borderId="8" xfId="0" applyFill="1" applyBorder="1">
      <alignment vertical="center"/>
    </xf>
    <xf numFmtId="0" fontId="10" fillId="20" borderId="1" xfId="0" applyFont="1" applyFill="1" applyBorder="1">
      <alignment vertical="center"/>
    </xf>
    <xf numFmtId="0" fontId="0" fillId="20" borderId="1" xfId="0" applyFill="1" applyBorder="1">
      <alignment vertical="center"/>
    </xf>
    <xf numFmtId="14" fontId="0" fillId="20" borderId="1" xfId="0" applyNumberFormat="1" applyFill="1" applyBorder="1">
      <alignment vertical="center"/>
    </xf>
    <xf numFmtId="0" fontId="0" fillId="20" borderId="1" xfId="0" applyFill="1" applyBorder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15" borderId="7" xfId="0" applyFill="1" applyBorder="1">
      <alignment vertical="center"/>
    </xf>
    <xf numFmtId="0" fontId="10" fillId="4" borderId="1" xfId="0" applyFont="1" applyFill="1" applyBorder="1">
      <alignment vertical="center"/>
    </xf>
    <xf numFmtId="0" fontId="0" fillId="18" borderId="4" xfId="0" applyFill="1" applyBorder="1" applyAlignment="1">
      <alignment horizontal="right" vertical="center"/>
    </xf>
    <xf numFmtId="14" fontId="0" fillId="18" borderId="1" xfId="0" applyNumberFormat="1" applyFill="1" applyBorder="1" applyAlignment="1">
      <alignment vertical="center" shrinkToFit="1"/>
    </xf>
    <xf numFmtId="0" fontId="21" fillId="20" borderId="1" xfId="0" applyFont="1" applyFill="1" applyBorder="1" applyAlignment="1">
      <alignment horizontal="right" vertical="center"/>
    </xf>
    <xf numFmtId="0" fontId="21" fillId="0" borderId="1" xfId="0" applyFont="1" applyBorder="1" applyAlignment="1">
      <alignment horizontal="right" vertical="center"/>
    </xf>
    <xf numFmtId="0" fontId="14" fillId="20" borderId="7" xfId="0" applyFont="1" applyFill="1" applyBorder="1">
      <alignment vertical="center"/>
    </xf>
    <xf numFmtId="0" fontId="14" fillId="18" borderId="7" xfId="0" applyFont="1" applyFill="1" applyBorder="1">
      <alignment vertical="center"/>
    </xf>
    <xf numFmtId="0" fontId="5" fillId="0" borderId="0" xfId="0" applyFont="1" applyAlignment="1">
      <alignment horizontal="center" vertical="center" wrapText="1"/>
    </xf>
    <xf numFmtId="0" fontId="20" fillId="0" borderId="1" xfId="0" applyFont="1" applyBorder="1" applyAlignment="1">
      <alignment horizontal="right" vertical="center"/>
    </xf>
    <xf numFmtId="0" fontId="10" fillId="21" borderId="5" xfId="0" applyFont="1" applyFill="1" applyBorder="1">
      <alignment vertical="center"/>
    </xf>
    <xf numFmtId="0" fontId="0" fillId="5" borderId="0" xfId="0" applyFill="1" applyAlignment="1">
      <alignment horizontal="center" vertical="center"/>
    </xf>
    <xf numFmtId="0" fontId="29" fillId="3" borderId="4" xfId="0" applyFont="1" applyFill="1" applyBorder="1">
      <alignment vertical="center"/>
    </xf>
    <xf numFmtId="0" fontId="0" fillId="22" borderId="1" xfId="0" applyFill="1" applyBorder="1" applyAlignment="1">
      <alignment horizontal="right" vertical="center"/>
    </xf>
    <xf numFmtId="0" fontId="0" fillId="22" borderId="4" xfId="0" applyFill="1" applyBorder="1">
      <alignment vertical="center"/>
    </xf>
    <xf numFmtId="0" fontId="0" fillId="22" borderId="4" xfId="0" applyFill="1" applyBorder="1" applyAlignment="1">
      <alignment horizontal="right" vertical="center"/>
    </xf>
    <xf numFmtId="0" fontId="0" fillId="22" borderId="1" xfId="0" applyFill="1" applyBorder="1">
      <alignment vertical="center"/>
    </xf>
    <xf numFmtId="0" fontId="0" fillId="22" borderId="21" xfId="0" applyFill="1" applyBorder="1">
      <alignment vertical="center"/>
    </xf>
    <xf numFmtId="0" fontId="0" fillId="11" borderId="1" xfId="0" applyFill="1" applyBorder="1">
      <alignment vertical="center"/>
    </xf>
    <xf numFmtId="0" fontId="0" fillId="11" borderId="22" xfId="0" applyFill="1" applyBorder="1">
      <alignment vertical="center"/>
    </xf>
    <xf numFmtId="0" fontId="18" fillId="0" borderId="0" xfId="0" applyFont="1" applyAlignment="1">
      <alignment horizontal="center" vertical="center"/>
    </xf>
    <xf numFmtId="0" fontId="10" fillId="11" borderId="5" xfId="0" applyFont="1" applyFill="1" applyBorder="1">
      <alignment vertical="center"/>
    </xf>
    <xf numFmtId="0" fontId="0" fillId="6" borderId="10" xfId="0" applyFill="1" applyBorder="1">
      <alignment vertical="center"/>
    </xf>
    <xf numFmtId="0" fontId="0" fillId="6" borderId="8" xfId="0" applyFill="1" applyBorder="1">
      <alignment vertical="center"/>
    </xf>
    <xf numFmtId="0" fontId="10" fillId="6" borderId="1" xfId="0" applyFont="1" applyFill="1" applyBorder="1">
      <alignment vertical="center"/>
    </xf>
    <xf numFmtId="0" fontId="18" fillId="0" borderId="0" xfId="0" applyFont="1" applyAlignment="1">
      <alignment horizontal="left" vertical="center"/>
    </xf>
    <xf numFmtId="0" fontId="11" fillId="6" borderId="5" xfId="0" applyFont="1" applyFill="1" applyBorder="1">
      <alignment vertical="center"/>
    </xf>
    <xf numFmtId="0" fontId="0" fillId="6" borderId="4" xfId="0" applyFill="1" applyBorder="1">
      <alignment vertical="center"/>
    </xf>
    <xf numFmtId="0" fontId="10" fillId="6" borderId="7" xfId="0" applyFont="1" applyFill="1" applyBorder="1">
      <alignment vertical="center"/>
    </xf>
    <xf numFmtId="0" fontId="30" fillId="0" borderId="0" xfId="0" applyFont="1" applyAlignment="1">
      <alignment horizontal="left" vertical="center"/>
    </xf>
    <xf numFmtId="0" fontId="14" fillId="6" borderId="7" xfId="0" applyFont="1" applyFill="1" applyBorder="1">
      <alignment vertical="center"/>
    </xf>
    <xf numFmtId="0" fontId="23" fillId="3" borderId="1" xfId="0" applyFont="1" applyFill="1" applyBorder="1">
      <alignment vertical="center"/>
    </xf>
    <xf numFmtId="0" fontId="31" fillId="0" borderId="7" xfId="0" applyFont="1" applyBorder="1">
      <alignment vertical="center"/>
    </xf>
    <xf numFmtId="0" fontId="24" fillId="3" borderId="7" xfId="0" applyFont="1" applyFill="1" applyBorder="1">
      <alignment vertical="center"/>
    </xf>
    <xf numFmtId="0" fontId="11" fillId="0" borderId="4" xfId="0" applyFont="1" applyBorder="1">
      <alignment vertical="center"/>
    </xf>
    <xf numFmtId="0" fontId="23" fillId="0" borderId="1" xfId="0" applyFont="1" applyBorder="1">
      <alignment vertical="center"/>
    </xf>
    <xf numFmtId="0" fontId="20" fillId="0" borderId="1" xfId="0" applyFont="1" applyBorder="1">
      <alignment vertical="center"/>
    </xf>
    <xf numFmtId="0" fontId="0" fillId="20" borderId="7" xfId="0" applyFill="1" applyBorder="1">
      <alignment vertical="center"/>
    </xf>
    <xf numFmtId="0" fontId="21" fillId="20" borderId="7" xfId="0" applyFont="1" applyFill="1" applyBorder="1">
      <alignment vertical="center"/>
    </xf>
    <xf numFmtId="0" fontId="10" fillId="20" borderId="7" xfId="0" applyFont="1" applyFill="1" applyBorder="1">
      <alignment vertical="center"/>
    </xf>
    <xf numFmtId="0" fontId="23" fillId="20" borderId="7" xfId="0" applyFont="1" applyFill="1" applyBorder="1">
      <alignment vertical="center"/>
    </xf>
    <xf numFmtId="0" fontId="18" fillId="20" borderId="7" xfId="0" applyFont="1" applyFill="1" applyBorder="1">
      <alignment vertical="center"/>
    </xf>
    <xf numFmtId="0" fontId="18" fillId="20" borderId="5" xfId="0" applyFont="1" applyFill="1" applyBorder="1">
      <alignment vertical="center"/>
    </xf>
    <xf numFmtId="0" fontId="25" fillId="20" borderId="7" xfId="0" applyFont="1" applyFill="1" applyBorder="1">
      <alignment vertical="center"/>
    </xf>
    <xf numFmtId="0" fontId="11" fillId="20" borderId="5" xfId="0" applyFont="1" applyFill="1" applyBorder="1">
      <alignment vertical="center"/>
    </xf>
    <xf numFmtId="0" fontId="24" fillId="20" borderId="7" xfId="0" applyFont="1" applyFill="1" applyBorder="1">
      <alignment vertical="center"/>
    </xf>
    <xf numFmtId="0" fontId="0" fillId="20" borderId="22" xfId="0" applyFill="1" applyBorder="1">
      <alignment vertical="center"/>
    </xf>
    <xf numFmtId="0" fontId="25" fillId="5" borderId="7" xfId="0" applyFont="1" applyFill="1" applyBorder="1">
      <alignment vertical="center"/>
    </xf>
    <xf numFmtId="0" fontId="9" fillId="4" borderId="6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 wrapText="1"/>
    </xf>
    <xf numFmtId="0" fontId="9" fillId="4" borderId="18" xfId="0" applyFont="1" applyFill="1" applyBorder="1" applyAlignment="1">
      <alignment horizontal="center" vertical="center" wrapText="1"/>
    </xf>
    <xf numFmtId="0" fontId="9" fillId="4" borderId="18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/>
    </xf>
  </cellXfs>
  <cellStyles count="3">
    <cellStyle name="桁区切り" xfId="2" builtinId="6"/>
    <cellStyle name="標準" xfId="0" builtinId="0"/>
    <cellStyle name="標準 2" xfId="1" xr:uid="{E1B1643F-6B42-41F8-A07C-A120E11052FE}"/>
  </cellStyles>
  <dxfs count="1">
    <dxf>
      <font>
        <b/>
        <i val="0"/>
        <strike val="0"/>
        <color rgb="FFFF0000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usernames" Target="revisions/userNames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33131</xdr:colOff>
      <xdr:row>37</xdr:row>
      <xdr:rowOff>99879</xdr:rowOff>
    </xdr:from>
    <xdr:to>
      <xdr:col>6</xdr:col>
      <xdr:colOff>414131</xdr:colOff>
      <xdr:row>39</xdr:row>
      <xdr:rowOff>232400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F47B662-5142-4153-9EB0-9C62DE424264}"/>
            </a:ext>
          </a:extLst>
        </xdr:cNvPr>
        <xdr:cNvSpPr txBox="1"/>
      </xdr:nvSpPr>
      <xdr:spPr>
        <a:xfrm>
          <a:off x="3252581" y="1028700"/>
          <a:ext cx="581025" cy="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600"/>
            <a:t>7/20</a:t>
          </a:r>
          <a:r>
            <a:rPr kumimoji="1" lang="ja-JP" altLang="en-US" sz="600"/>
            <a:t>時点</a:t>
          </a:r>
          <a:endParaRPr kumimoji="1" lang="en-US" altLang="ja-JP" sz="600"/>
        </a:p>
        <a:p>
          <a:r>
            <a:rPr kumimoji="1" lang="ja-JP" altLang="en-US" sz="600"/>
            <a:t>確定・内示反映</a:t>
          </a:r>
        </a:p>
      </xdr:txBody>
    </xdr:sp>
    <xdr:clientData/>
  </xdr:twoCellAnchor>
  <xdr:twoCellAnchor>
    <xdr:from>
      <xdr:col>18</xdr:col>
      <xdr:colOff>0</xdr:colOff>
      <xdr:row>97</xdr:row>
      <xdr:rowOff>224118</xdr:rowOff>
    </xdr:from>
    <xdr:to>
      <xdr:col>20</xdr:col>
      <xdr:colOff>0</xdr:colOff>
      <xdr:row>112</xdr:row>
      <xdr:rowOff>224118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BFF5A76C-980A-4A16-8FC7-CB8FA75C9E84}"/>
            </a:ext>
          </a:extLst>
        </xdr:cNvPr>
        <xdr:cNvSpPr/>
      </xdr:nvSpPr>
      <xdr:spPr>
        <a:xfrm>
          <a:off x="11788588" y="1725706"/>
          <a:ext cx="694765" cy="35298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</xdr:colOff>
      <xdr:row>95</xdr:row>
      <xdr:rowOff>112060</xdr:rowOff>
    </xdr:from>
    <xdr:to>
      <xdr:col>21</xdr:col>
      <xdr:colOff>661147</xdr:colOff>
      <xdr:row>96</xdr:row>
      <xdr:rowOff>156884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BE1927C1-85BC-4660-8CA4-D3A7ACABBF7E}"/>
            </a:ext>
          </a:extLst>
        </xdr:cNvPr>
        <xdr:cNvSpPr/>
      </xdr:nvSpPr>
      <xdr:spPr>
        <a:xfrm>
          <a:off x="12483354" y="3966884"/>
          <a:ext cx="1434352" cy="280147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 w="28575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/>
            <a:t>9/18 , 9/19</a:t>
          </a:r>
          <a:r>
            <a:rPr kumimoji="1" lang="ja-JP" altLang="en-US" sz="1200"/>
            <a:t>生産分</a:t>
          </a:r>
          <a:endParaRPr kumimoji="1" lang="en-US" altLang="ja-JP" sz="1200"/>
        </a:p>
      </xdr:txBody>
    </xdr:sp>
    <xdr:clientData/>
  </xdr:twoCellAnchor>
  <xdr:twoCellAnchor>
    <xdr:from>
      <xdr:col>20</xdr:col>
      <xdr:colOff>11206</xdr:colOff>
      <xdr:row>96</xdr:row>
      <xdr:rowOff>156884</xdr:rowOff>
    </xdr:from>
    <xdr:to>
      <xdr:col>20</xdr:col>
      <xdr:colOff>717177</xdr:colOff>
      <xdr:row>98</xdr:row>
      <xdr:rowOff>11206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F707EF21-7CD1-4CD3-A66C-31F7AF27FF17}"/>
            </a:ext>
          </a:extLst>
        </xdr:cNvPr>
        <xdr:cNvCxnSpPr>
          <a:stCxn id="4" idx="2"/>
        </xdr:cNvCxnSpPr>
      </xdr:nvCxnSpPr>
      <xdr:spPr>
        <a:xfrm flipH="1">
          <a:off x="12494559" y="4247031"/>
          <a:ext cx="705971" cy="324969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11207</xdr:colOff>
      <xdr:row>95</xdr:row>
      <xdr:rowOff>156885</xdr:rowOff>
    </xdr:from>
    <xdr:to>
      <xdr:col>19</xdr:col>
      <xdr:colOff>123264</xdr:colOff>
      <xdr:row>96</xdr:row>
      <xdr:rowOff>201707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7B0D27FD-7DEA-4135-9419-648A632184F3}"/>
            </a:ext>
          </a:extLst>
        </xdr:cNvPr>
        <xdr:cNvSpPr/>
      </xdr:nvSpPr>
      <xdr:spPr>
        <a:xfrm>
          <a:off x="10174942" y="4011709"/>
          <a:ext cx="2084293" cy="280145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chemeClr val="accent6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検査課行き含む</a:t>
          </a:r>
          <a:r>
            <a:rPr kumimoji="1" lang="en-US" altLang="ja-JP" sz="1200"/>
            <a:t>(</a:t>
          </a:r>
          <a:r>
            <a:rPr kumimoji="1" lang="ja-JP" altLang="en-US" sz="1200"/>
            <a:t>トナミ</a:t>
          </a:r>
          <a:r>
            <a:rPr kumimoji="1" lang="en-US" altLang="ja-JP" sz="1200"/>
            <a:t>)</a:t>
          </a:r>
        </a:p>
      </xdr:txBody>
    </xdr:sp>
    <xdr:clientData/>
  </xdr:twoCellAnchor>
  <xdr:twoCellAnchor>
    <xdr:from>
      <xdr:col>17</xdr:col>
      <xdr:colOff>369795</xdr:colOff>
      <xdr:row>96</xdr:row>
      <xdr:rowOff>201707</xdr:rowOff>
    </xdr:from>
    <xdr:to>
      <xdr:col>17</xdr:col>
      <xdr:colOff>672354</xdr:colOff>
      <xdr:row>98</xdr:row>
      <xdr:rowOff>112059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5B131510-1DEE-4FFC-8AED-443D9C23D103}"/>
            </a:ext>
          </a:extLst>
        </xdr:cNvPr>
        <xdr:cNvCxnSpPr>
          <a:stCxn id="6" idx="2"/>
        </xdr:cNvCxnSpPr>
      </xdr:nvCxnSpPr>
      <xdr:spPr>
        <a:xfrm>
          <a:off x="11217089" y="4291854"/>
          <a:ext cx="302559" cy="380999"/>
        </a:xfrm>
        <a:prstGeom prst="straightConnector1">
          <a:avLst/>
        </a:prstGeom>
        <a:ln w="28575"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99</xdr:row>
      <xdr:rowOff>11206</xdr:rowOff>
    </xdr:from>
    <xdr:to>
      <xdr:col>10</xdr:col>
      <xdr:colOff>773205</xdr:colOff>
      <xdr:row>101</xdr:row>
      <xdr:rowOff>11206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4A480918-F448-4A59-9D05-95A63F6E5945}"/>
            </a:ext>
          </a:extLst>
        </xdr:cNvPr>
        <xdr:cNvGrpSpPr/>
      </xdr:nvGrpSpPr>
      <xdr:grpSpPr>
        <a:xfrm>
          <a:off x="0" y="1030941"/>
          <a:ext cx="3417794" cy="0"/>
          <a:chOff x="0" y="2971283"/>
          <a:chExt cx="6741278" cy="517195"/>
        </a:xfrm>
      </xdr:grpSpPr>
      <xdr:cxnSp macro="">
        <xdr:nvCxnSpPr>
          <xdr:cNvPr id="9" name="直線コネクタ 8">
            <a:extLst>
              <a:ext uri="{FF2B5EF4-FFF2-40B4-BE49-F238E27FC236}">
                <a16:creationId xmlns:a16="http://schemas.microsoft.com/office/drawing/2014/main" id="{1F807C08-53B7-07F0-912B-15D9B69DD3D1}"/>
              </a:ext>
            </a:extLst>
          </xdr:cNvPr>
          <xdr:cNvCxnSpPr/>
        </xdr:nvCxnSpPr>
        <xdr:spPr>
          <a:xfrm>
            <a:off x="0" y="2971283"/>
            <a:ext cx="3332026" cy="0"/>
          </a:xfrm>
          <a:prstGeom prst="line">
            <a:avLst/>
          </a:prstGeom>
          <a:ln w="381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直線コネクタ 9">
            <a:extLst>
              <a:ext uri="{FF2B5EF4-FFF2-40B4-BE49-F238E27FC236}">
                <a16:creationId xmlns:a16="http://schemas.microsoft.com/office/drawing/2014/main" id="{9FDB6D59-4DE9-FA3D-D442-490AEEB4AE61}"/>
              </a:ext>
            </a:extLst>
          </xdr:cNvPr>
          <xdr:cNvCxnSpPr/>
        </xdr:nvCxnSpPr>
        <xdr:spPr>
          <a:xfrm>
            <a:off x="3335474" y="2975162"/>
            <a:ext cx="0" cy="512453"/>
          </a:xfrm>
          <a:prstGeom prst="line">
            <a:avLst/>
          </a:prstGeom>
          <a:ln w="381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直線コネクタ 10">
            <a:extLst>
              <a:ext uri="{FF2B5EF4-FFF2-40B4-BE49-F238E27FC236}">
                <a16:creationId xmlns:a16="http://schemas.microsoft.com/office/drawing/2014/main" id="{F05DF905-A5EC-20CC-320C-E305E4DB11E5}"/>
              </a:ext>
            </a:extLst>
          </xdr:cNvPr>
          <xdr:cNvCxnSpPr/>
        </xdr:nvCxnSpPr>
        <xdr:spPr>
          <a:xfrm>
            <a:off x="3332026" y="3488478"/>
            <a:ext cx="3409252" cy="0"/>
          </a:xfrm>
          <a:prstGeom prst="line">
            <a:avLst/>
          </a:prstGeom>
          <a:ln w="381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392206</xdr:colOff>
      <xdr:row>101</xdr:row>
      <xdr:rowOff>0</xdr:rowOff>
    </xdr:from>
    <xdr:to>
      <xdr:col>6</xdr:col>
      <xdr:colOff>392206</xdr:colOff>
      <xdr:row>104</xdr:row>
      <xdr:rowOff>168088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EC4C27B2-D5E3-424D-A4D8-E524BB8D4F48}"/>
            </a:ext>
          </a:extLst>
        </xdr:cNvPr>
        <xdr:cNvCxnSpPr/>
      </xdr:nvCxnSpPr>
      <xdr:spPr>
        <a:xfrm>
          <a:off x="3810000" y="2442882"/>
          <a:ext cx="0" cy="874059"/>
        </a:xfrm>
        <a:prstGeom prst="straightConnector1">
          <a:avLst/>
        </a:prstGeom>
        <a:ln w="28575"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51546</xdr:colOff>
      <xdr:row>102</xdr:row>
      <xdr:rowOff>96373</xdr:rowOff>
    </xdr:from>
    <xdr:to>
      <xdr:col>7</xdr:col>
      <xdr:colOff>145678</xdr:colOff>
      <xdr:row>103</xdr:row>
      <xdr:rowOff>141196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F96CA791-73C5-4CDA-BF72-9C884E1DE268}"/>
            </a:ext>
          </a:extLst>
        </xdr:cNvPr>
        <xdr:cNvSpPr/>
      </xdr:nvSpPr>
      <xdr:spPr>
        <a:xfrm>
          <a:off x="3469340" y="2774579"/>
          <a:ext cx="822514" cy="280146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chemeClr val="accent6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来歴４</a:t>
          </a:r>
          <a:endParaRPr kumimoji="1" lang="en-US" altLang="ja-JP" sz="1200" b="1"/>
        </a:p>
      </xdr:txBody>
    </xdr:sp>
    <xdr:clientData/>
  </xdr:twoCellAnchor>
  <xdr:twoCellAnchor>
    <xdr:from>
      <xdr:col>5</xdr:col>
      <xdr:colOff>0</xdr:colOff>
      <xdr:row>381</xdr:row>
      <xdr:rowOff>0</xdr:rowOff>
    </xdr:from>
    <xdr:to>
      <xdr:col>16</xdr:col>
      <xdr:colOff>460777</xdr:colOff>
      <xdr:row>382</xdr:row>
      <xdr:rowOff>1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1C13CC03-A1B2-A2B9-0C28-C2CD8CD304B6}"/>
            </a:ext>
          </a:extLst>
        </xdr:cNvPr>
        <xdr:cNvSpPr/>
      </xdr:nvSpPr>
      <xdr:spPr>
        <a:xfrm>
          <a:off x="3216088" y="9031941"/>
          <a:ext cx="662483" cy="235324"/>
        </a:xfrm>
        <a:prstGeom prst="roundRect">
          <a:avLst/>
        </a:prstGeom>
        <a:ln w="1905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none" lIns="36000" tIns="0" rIns="36000" bIns="0" rtlCol="0" anchor="ctr">
          <a:noAutofit/>
        </a:bodyPr>
        <a:lstStyle/>
        <a:p>
          <a:pPr algn="ctr"/>
          <a:r>
            <a:rPr kumimoji="1" lang="en-US" altLang="ja-JP" sz="800"/>
            <a:t>7/5</a:t>
          </a:r>
          <a:r>
            <a:rPr kumimoji="1" lang="ja-JP" altLang="en-US" sz="800"/>
            <a:t> 安全の日</a:t>
          </a:r>
        </a:p>
      </xdr:txBody>
    </xdr:sp>
    <xdr:clientData/>
  </xdr:twoCellAnchor>
  <xdr:twoCellAnchor>
    <xdr:from>
      <xdr:col>27</xdr:col>
      <xdr:colOff>1</xdr:colOff>
      <xdr:row>710</xdr:row>
      <xdr:rowOff>0</xdr:rowOff>
    </xdr:from>
    <xdr:to>
      <xdr:col>30</xdr:col>
      <xdr:colOff>322385</xdr:colOff>
      <xdr:row>711</xdr:row>
      <xdr:rowOff>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E7CC4C2C-DF98-F4FE-A3AB-2CADB8D8437A}"/>
            </a:ext>
          </a:extLst>
        </xdr:cNvPr>
        <xdr:cNvSpPr/>
      </xdr:nvSpPr>
      <xdr:spPr>
        <a:xfrm>
          <a:off x="4183674" y="7070481"/>
          <a:ext cx="1970942" cy="241788"/>
        </a:xfrm>
        <a:prstGeom prst="roundRect">
          <a:avLst/>
        </a:prstGeom>
        <a:ln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棚卸の為、納入できない。</a:t>
          </a:r>
        </a:p>
      </xdr:txBody>
    </xdr:sp>
    <xdr:clientData/>
  </xdr:twoCellAnchor>
  <xdr:twoCellAnchor>
    <xdr:from>
      <xdr:col>28</xdr:col>
      <xdr:colOff>44824</xdr:colOff>
      <xdr:row>745</xdr:row>
      <xdr:rowOff>33618</xdr:rowOff>
    </xdr:from>
    <xdr:to>
      <xdr:col>32</xdr:col>
      <xdr:colOff>162893</xdr:colOff>
      <xdr:row>746</xdr:row>
      <xdr:rowOff>33618</xdr:rowOff>
    </xdr:to>
    <xdr:sp macro="" textlink="">
      <xdr:nvSpPr>
        <xdr:cNvPr id="16" name="四角形: 角を丸くする 15">
          <a:extLst>
            <a:ext uri="{FF2B5EF4-FFF2-40B4-BE49-F238E27FC236}">
              <a16:creationId xmlns:a16="http://schemas.microsoft.com/office/drawing/2014/main" id="{6B70126F-5809-14B7-915E-77D637C2FB05}"/>
            </a:ext>
          </a:extLst>
        </xdr:cNvPr>
        <xdr:cNvSpPr/>
      </xdr:nvSpPr>
      <xdr:spPr>
        <a:xfrm>
          <a:off x="5154706" y="175909942"/>
          <a:ext cx="2269599" cy="235323"/>
        </a:xfrm>
        <a:prstGeom prst="roundRect">
          <a:avLst/>
        </a:prstGeom>
        <a:ln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tIns="0" bIns="0" rtlCol="0" anchor="t">
          <a:noAutofit/>
        </a:bodyPr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7/4 </a:t>
          </a:r>
          <a:r>
            <a:rPr kumimoji="1" lang="ja-JP" altLang="en-US" sz="1100" b="1">
              <a:solidFill>
                <a:srgbClr val="FF0000"/>
              </a:solidFill>
            </a:rPr>
            <a:t>安全の日で納入できません。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208</xdr:row>
      <xdr:rowOff>0</xdr:rowOff>
    </xdr:from>
    <xdr:to>
      <xdr:col>16</xdr:col>
      <xdr:colOff>445649</xdr:colOff>
      <xdr:row>209</xdr:row>
      <xdr:rowOff>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6CD28BB1-60B1-4C19-B0B1-66D29ACA87B0}"/>
            </a:ext>
          </a:extLst>
        </xdr:cNvPr>
        <xdr:cNvSpPr/>
      </xdr:nvSpPr>
      <xdr:spPr>
        <a:xfrm>
          <a:off x="7911353" y="6925235"/>
          <a:ext cx="1958443" cy="235324"/>
        </a:xfrm>
        <a:prstGeom prst="roundRect">
          <a:avLst/>
        </a:prstGeom>
        <a:ln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棚卸の為、納入できない。</a:t>
          </a:r>
        </a:p>
      </xdr:txBody>
    </xdr:sp>
    <xdr:clientData/>
  </xdr:twoCellAnchor>
  <xdr:twoCellAnchor>
    <xdr:from>
      <xdr:col>25</xdr:col>
      <xdr:colOff>0</xdr:colOff>
      <xdr:row>208</xdr:row>
      <xdr:rowOff>0</xdr:rowOff>
    </xdr:from>
    <xdr:to>
      <xdr:col>28</xdr:col>
      <xdr:colOff>221531</xdr:colOff>
      <xdr:row>209</xdr:row>
      <xdr:rowOff>0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03104A84-849A-4764-ABFE-62D34CBC65E1}"/>
            </a:ext>
          </a:extLst>
        </xdr:cNvPr>
        <xdr:cNvSpPr/>
      </xdr:nvSpPr>
      <xdr:spPr>
        <a:xfrm>
          <a:off x="15307235" y="6925235"/>
          <a:ext cx="1958443" cy="235324"/>
        </a:xfrm>
        <a:prstGeom prst="roundRect">
          <a:avLst/>
        </a:prstGeom>
        <a:ln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棚卸の為、納入できない。</a:t>
          </a:r>
        </a:p>
      </xdr:txBody>
    </xdr:sp>
    <xdr:clientData/>
  </xdr:twoCellAnchor>
  <xdr:twoCellAnchor>
    <xdr:from>
      <xdr:col>14</xdr:col>
      <xdr:colOff>33617</xdr:colOff>
      <xdr:row>243</xdr:row>
      <xdr:rowOff>11206</xdr:rowOff>
    </xdr:from>
    <xdr:to>
      <xdr:col>17</xdr:col>
      <xdr:colOff>790422</xdr:colOff>
      <xdr:row>244</xdr:row>
      <xdr:rowOff>37089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286BB134-5AE9-427E-A071-17C8B745C6A8}"/>
            </a:ext>
          </a:extLst>
        </xdr:cNvPr>
        <xdr:cNvSpPr/>
      </xdr:nvSpPr>
      <xdr:spPr>
        <a:xfrm>
          <a:off x="8740588" y="5524500"/>
          <a:ext cx="2269599" cy="261206"/>
        </a:xfrm>
        <a:prstGeom prst="roundRect">
          <a:avLst/>
        </a:prstGeom>
        <a:ln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tIns="0" bIns="0" rtlCol="0" anchor="t">
          <a:noAutofit/>
        </a:bodyPr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7/4 </a:t>
          </a:r>
          <a:r>
            <a:rPr kumimoji="1" lang="ja-JP" altLang="en-US" sz="1100" b="1">
              <a:solidFill>
                <a:srgbClr val="FF0000"/>
              </a:solidFill>
            </a:rPr>
            <a:t>安全の日で納入できません。</a:t>
          </a:r>
        </a:p>
      </xdr:txBody>
    </xdr:sp>
    <xdr:clientData/>
  </xdr:twoCellAnchor>
  <xdr:twoCellAnchor>
    <xdr:from>
      <xdr:col>26</xdr:col>
      <xdr:colOff>22411</xdr:colOff>
      <xdr:row>243</xdr:row>
      <xdr:rowOff>11206</xdr:rowOff>
    </xdr:from>
    <xdr:to>
      <xdr:col>29</xdr:col>
      <xdr:colOff>768010</xdr:colOff>
      <xdr:row>244</xdr:row>
      <xdr:rowOff>37089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8C2E357C-98E3-D398-A190-1F2A452CDC8C}"/>
            </a:ext>
          </a:extLst>
        </xdr:cNvPr>
        <xdr:cNvSpPr/>
      </xdr:nvSpPr>
      <xdr:spPr>
        <a:xfrm>
          <a:off x="16326970" y="5524500"/>
          <a:ext cx="2269599" cy="261206"/>
        </a:xfrm>
        <a:prstGeom prst="roundRect">
          <a:avLst/>
        </a:prstGeom>
        <a:ln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tIns="0" bIns="0" rtlCol="0" anchor="t">
          <a:noAutofit/>
        </a:bodyPr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7/4 </a:t>
          </a:r>
          <a:r>
            <a:rPr kumimoji="1" lang="ja-JP" altLang="en-US" sz="1100" b="1">
              <a:solidFill>
                <a:srgbClr val="FF0000"/>
              </a:solidFill>
            </a:rPr>
            <a:t>安全の日で納入できません。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37</xdr:row>
      <xdr:rowOff>234202</xdr:rowOff>
    </xdr:from>
    <xdr:to>
      <xdr:col>6</xdr:col>
      <xdr:colOff>455957</xdr:colOff>
      <xdr:row>40</xdr:row>
      <xdr:rowOff>149306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1266C71-6587-45F9-A459-9D9A4356F01D}"/>
            </a:ext>
          </a:extLst>
        </xdr:cNvPr>
        <xdr:cNvSpPr txBox="1"/>
      </xdr:nvSpPr>
      <xdr:spPr>
        <a:xfrm>
          <a:off x="3273238" y="9512673"/>
          <a:ext cx="578101" cy="621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600"/>
            <a:t>7/20</a:t>
          </a:r>
          <a:r>
            <a:rPr kumimoji="1" lang="ja-JP" altLang="en-US" sz="600"/>
            <a:t>時点</a:t>
          </a:r>
          <a:endParaRPr kumimoji="1" lang="en-US" altLang="ja-JP" sz="600"/>
        </a:p>
        <a:p>
          <a:r>
            <a:rPr kumimoji="1" lang="ja-JP" altLang="en-US" sz="600"/>
            <a:t>確定・内示反映</a:t>
          </a:r>
        </a:p>
      </xdr:txBody>
    </xdr:sp>
    <xdr:clientData/>
  </xdr:twoCellAnchor>
  <xdr:twoCellAnchor>
    <xdr:from>
      <xdr:col>5</xdr:col>
      <xdr:colOff>0</xdr:colOff>
      <xdr:row>381</xdr:row>
      <xdr:rowOff>0</xdr:rowOff>
    </xdr:from>
    <xdr:to>
      <xdr:col>6</xdr:col>
      <xdr:colOff>483189</xdr:colOff>
      <xdr:row>382</xdr:row>
      <xdr:rowOff>1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0D857505-EE5B-44EF-9556-7CBBB0196DD2}"/>
            </a:ext>
          </a:extLst>
        </xdr:cNvPr>
        <xdr:cNvSpPr/>
      </xdr:nvSpPr>
      <xdr:spPr>
        <a:xfrm>
          <a:off x="3216088" y="9043147"/>
          <a:ext cx="662483" cy="235324"/>
        </a:xfrm>
        <a:prstGeom prst="roundRect">
          <a:avLst/>
        </a:prstGeom>
        <a:ln w="1905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none" lIns="36000" tIns="0" rIns="36000" bIns="0" rtlCol="0" anchor="ctr">
          <a:noAutofit/>
        </a:bodyPr>
        <a:lstStyle/>
        <a:p>
          <a:pPr algn="ctr"/>
          <a:r>
            <a:rPr kumimoji="1" lang="en-US" altLang="ja-JP" sz="800"/>
            <a:t>7/5</a:t>
          </a:r>
          <a:r>
            <a:rPr kumimoji="1" lang="ja-JP" altLang="en-US" sz="800"/>
            <a:t> 安全の日</a:t>
          </a:r>
        </a:p>
      </xdr:txBody>
    </xdr:sp>
    <xdr:clientData/>
  </xdr:twoCellAnchor>
  <xdr:twoCellAnchor>
    <xdr:from>
      <xdr:col>7</xdr:col>
      <xdr:colOff>0</xdr:colOff>
      <xdr:row>710</xdr:row>
      <xdr:rowOff>0</xdr:rowOff>
    </xdr:from>
    <xdr:to>
      <xdr:col>10</xdr:col>
      <xdr:colOff>221531</xdr:colOff>
      <xdr:row>711</xdr:row>
      <xdr:rowOff>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909C62D8-F41F-491A-8E05-A92BBD0CFCDD}"/>
            </a:ext>
          </a:extLst>
        </xdr:cNvPr>
        <xdr:cNvSpPr/>
      </xdr:nvSpPr>
      <xdr:spPr>
        <a:xfrm>
          <a:off x="4179794" y="6925235"/>
          <a:ext cx="1958443" cy="235324"/>
        </a:xfrm>
        <a:prstGeom prst="roundRect">
          <a:avLst/>
        </a:prstGeom>
        <a:ln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棚卸の為、納入できない。</a:t>
          </a:r>
        </a:p>
      </xdr:txBody>
    </xdr:sp>
    <xdr:clientData/>
  </xdr:twoCellAnchor>
  <xdr:twoCellAnchor>
    <xdr:from>
      <xdr:col>8</xdr:col>
      <xdr:colOff>33617</xdr:colOff>
      <xdr:row>745</xdr:row>
      <xdr:rowOff>11206</xdr:rowOff>
    </xdr:from>
    <xdr:to>
      <xdr:col>11</xdr:col>
      <xdr:colOff>779216</xdr:colOff>
      <xdr:row>746</xdr:row>
      <xdr:rowOff>37089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6AD90721-EBCB-4310-A610-9A0FCA703867}"/>
            </a:ext>
          </a:extLst>
        </xdr:cNvPr>
        <xdr:cNvSpPr/>
      </xdr:nvSpPr>
      <xdr:spPr>
        <a:xfrm>
          <a:off x="5210735" y="5524500"/>
          <a:ext cx="2269599" cy="261206"/>
        </a:xfrm>
        <a:prstGeom prst="roundRect">
          <a:avLst/>
        </a:prstGeom>
        <a:ln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tIns="0" bIns="0" rtlCol="0" anchor="t">
          <a:noAutofit/>
        </a:bodyPr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7/4 </a:t>
          </a:r>
          <a:r>
            <a:rPr kumimoji="1" lang="ja-JP" altLang="en-US" sz="1100" b="1">
              <a:solidFill>
                <a:srgbClr val="FF0000"/>
              </a:solidFill>
            </a:rPr>
            <a:t>安全の日で納入できません。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37</xdr:row>
      <xdr:rowOff>205066</xdr:rowOff>
    </xdr:from>
    <xdr:to>
      <xdr:col>6</xdr:col>
      <xdr:colOff>475007</xdr:colOff>
      <xdr:row>40</xdr:row>
      <xdr:rowOff>120170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5EDEB0CC-7BD7-4541-AF38-DEFCFC6ED0D9}"/>
            </a:ext>
          </a:extLst>
        </xdr:cNvPr>
        <xdr:cNvSpPr txBox="1"/>
      </xdr:nvSpPr>
      <xdr:spPr>
        <a:xfrm>
          <a:off x="3358963" y="9483537"/>
          <a:ext cx="578662" cy="621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600"/>
            <a:t>7/20</a:t>
          </a:r>
          <a:r>
            <a:rPr kumimoji="1" lang="ja-JP" altLang="en-US" sz="600"/>
            <a:t>時点</a:t>
          </a:r>
          <a:endParaRPr kumimoji="1" lang="en-US" altLang="ja-JP" sz="600"/>
        </a:p>
        <a:p>
          <a:r>
            <a:rPr kumimoji="1" lang="ja-JP" altLang="en-US" sz="600"/>
            <a:t>確定・内示反映</a:t>
          </a:r>
        </a:p>
      </xdr:txBody>
    </xdr:sp>
    <xdr:clientData/>
  </xdr:twoCellAnchor>
  <xdr:twoCellAnchor>
    <xdr:from>
      <xdr:col>5</xdr:col>
      <xdr:colOff>0</xdr:colOff>
      <xdr:row>381</xdr:row>
      <xdr:rowOff>0</xdr:rowOff>
    </xdr:from>
    <xdr:to>
      <xdr:col>6</xdr:col>
      <xdr:colOff>415953</xdr:colOff>
      <xdr:row>382</xdr:row>
      <xdr:rowOff>1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FA99626D-49AB-4D7F-ABEF-3EA1FB1CCDBC}"/>
            </a:ext>
          </a:extLst>
        </xdr:cNvPr>
        <xdr:cNvSpPr/>
      </xdr:nvSpPr>
      <xdr:spPr>
        <a:xfrm>
          <a:off x="3216088" y="9043147"/>
          <a:ext cx="662483" cy="235324"/>
        </a:xfrm>
        <a:prstGeom prst="roundRect">
          <a:avLst/>
        </a:prstGeom>
        <a:ln w="1905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none" lIns="36000" tIns="0" rIns="36000" bIns="0" rtlCol="0" anchor="ctr">
          <a:noAutofit/>
        </a:bodyPr>
        <a:lstStyle/>
        <a:p>
          <a:pPr algn="ctr"/>
          <a:r>
            <a:rPr kumimoji="1" lang="en-US" altLang="ja-JP" sz="800"/>
            <a:t>7/5</a:t>
          </a:r>
          <a:r>
            <a:rPr kumimoji="1" lang="ja-JP" altLang="en-US" sz="800"/>
            <a:t> 安全の日</a:t>
          </a:r>
        </a:p>
      </xdr:txBody>
    </xdr:sp>
    <xdr:clientData/>
  </xdr:twoCellAnchor>
  <xdr:twoCellAnchor>
    <xdr:from>
      <xdr:col>7</xdr:col>
      <xdr:colOff>0</xdr:colOff>
      <xdr:row>710</xdr:row>
      <xdr:rowOff>0</xdr:rowOff>
    </xdr:from>
    <xdr:to>
      <xdr:col>10</xdr:col>
      <xdr:colOff>221531</xdr:colOff>
      <xdr:row>711</xdr:row>
      <xdr:rowOff>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B55B8D16-3336-4115-9685-51AB776DF869}"/>
            </a:ext>
          </a:extLst>
        </xdr:cNvPr>
        <xdr:cNvSpPr/>
      </xdr:nvSpPr>
      <xdr:spPr>
        <a:xfrm>
          <a:off x="4247029" y="6925235"/>
          <a:ext cx="1958443" cy="235324"/>
        </a:xfrm>
        <a:prstGeom prst="roundRect">
          <a:avLst/>
        </a:prstGeom>
        <a:ln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棚卸の為、納入できない。</a:t>
          </a:r>
        </a:p>
      </xdr:txBody>
    </xdr:sp>
    <xdr:clientData/>
  </xdr:twoCellAnchor>
  <xdr:twoCellAnchor>
    <xdr:from>
      <xdr:col>8</xdr:col>
      <xdr:colOff>22411</xdr:colOff>
      <xdr:row>745</xdr:row>
      <xdr:rowOff>11206</xdr:rowOff>
    </xdr:from>
    <xdr:to>
      <xdr:col>11</xdr:col>
      <xdr:colOff>768010</xdr:colOff>
      <xdr:row>746</xdr:row>
      <xdr:rowOff>37089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51919225-8996-4B0F-BB41-34CA1681259F}"/>
            </a:ext>
          </a:extLst>
        </xdr:cNvPr>
        <xdr:cNvSpPr/>
      </xdr:nvSpPr>
      <xdr:spPr>
        <a:xfrm>
          <a:off x="5266764" y="5524500"/>
          <a:ext cx="2269599" cy="261206"/>
        </a:xfrm>
        <a:prstGeom prst="roundRect">
          <a:avLst/>
        </a:prstGeom>
        <a:ln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tIns="0" bIns="0" rtlCol="0" anchor="t">
          <a:noAutofit/>
        </a:bodyPr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7/4 </a:t>
          </a:r>
          <a:r>
            <a:rPr kumimoji="1" lang="ja-JP" altLang="en-US" sz="1100" b="1">
              <a:solidFill>
                <a:srgbClr val="FF0000"/>
              </a:solidFill>
            </a:rPr>
            <a:t>安全の日で納入できません。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33616</xdr:colOff>
      <xdr:row>21</xdr:row>
      <xdr:rowOff>67236</xdr:rowOff>
    </xdr:from>
    <xdr:to>
      <xdr:col>27</xdr:col>
      <xdr:colOff>330461</xdr:colOff>
      <xdr:row>23</xdr:row>
      <xdr:rowOff>102758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66CEC798-C10C-4AD6-BDE0-AEF4E2E2E614}"/>
            </a:ext>
          </a:extLst>
        </xdr:cNvPr>
        <xdr:cNvSpPr/>
      </xdr:nvSpPr>
      <xdr:spPr>
        <a:xfrm>
          <a:off x="15677028" y="2521324"/>
          <a:ext cx="1692089" cy="336177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2/11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時点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kumimoji="1" lang="ja-JP" altLang="en-US" sz="1100"/>
            <a:t>在庫：</a:t>
          </a:r>
          <a:r>
            <a:rPr kumimoji="1" lang="en-US" altLang="ja-JP" sz="1100"/>
            <a:t>7</a:t>
          </a:r>
          <a:r>
            <a:rPr kumimoji="1" lang="ja-JP" altLang="en-US" sz="1100"/>
            <a:t>台</a:t>
          </a:r>
        </a:p>
      </xdr:txBody>
    </xdr:sp>
    <xdr:clientData/>
  </xdr:twoCellAnchor>
  <xdr:twoCellAnchor>
    <xdr:from>
      <xdr:col>13</xdr:col>
      <xdr:colOff>0</xdr:colOff>
      <xdr:row>132</xdr:row>
      <xdr:rowOff>0</xdr:rowOff>
    </xdr:from>
    <xdr:to>
      <xdr:col>16</xdr:col>
      <xdr:colOff>210325</xdr:colOff>
      <xdr:row>133</xdr:row>
      <xdr:rowOff>0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B709A7E7-ECC7-4FB7-8734-3B616EF4B608}"/>
            </a:ext>
          </a:extLst>
        </xdr:cNvPr>
        <xdr:cNvSpPr/>
      </xdr:nvSpPr>
      <xdr:spPr>
        <a:xfrm>
          <a:off x="7911353" y="6925235"/>
          <a:ext cx="1958443" cy="235324"/>
        </a:xfrm>
        <a:prstGeom prst="roundRect">
          <a:avLst/>
        </a:prstGeom>
        <a:ln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棚卸の為、納入できない。</a:t>
          </a:r>
        </a:p>
      </xdr:txBody>
    </xdr:sp>
    <xdr:clientData/>
  </xdr:twoCellAnchor>
  <xdr:twoCellAnchor>
    <xdr:from>
      <xdr:col>25</xdr:col>
      <xdr:colOff>0</xdr:colOff>
      <xdr:row>132</xdr:row>
      <xdr:rowOff>0</xdr:rowOff>
    </xdr:from>
    <xdr:to>
      <xdr:col>28</xdr:col>
      <xdr:colOff>199120</xdr:colOff>
      <xdr:row>133</xdr:row>
      <xdr:rowOff>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4D257C2A-A501-4C65-AC7A-7BB552BD6647}"/>
            </a:ext>
          </a:extLst>
        </xdr:cNvPr>
        <xdr:cNvSpPr/>
      </xdr:nvSpPr>
      <xdr:spPr>
        <a:xfrm>
          <a:off x="15643412" y="6925235"/>
          <a:ext cx="1958443" cy="235324"/>
        </a:xfrm>
        <a:prstGeom prst="roundRect">
          <a:avLst/>
        </a:prstGeom>
        <a:ln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棚卸の為、納入できない。</a:t>
          </a:r>
        </a:p>
      </xdr:txBody>
    </xdr:sp>
    <xdr:clientData/>
  </xdr:twoCellAnchor>
  <xdr:twoCellAnchor>
    <xdr:from>
      <xdr:col>14</xdr:col>
      <xdr:colOff>33618</xdr:colOff>
      <xdr:row>167</xdr:row>
      <xdr:rowOff>22412</xdr:rowOff>
    </xdr:from>
    <xdr:to>
      <xdr:col>18</xdr:col>
      <xdr:colOff>6011</xdr:colOff>
      <xdr:row>168</xdr:row>
      <xdr:rowOff>48295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F3E23C3B-B53D-43C3-8CD9-706C56004DB9}"/>
            </a:ext>
          </a:extLst>
        </xdr:cNvPr>
        <xdr:cNvSpPr/>
      </xdr:nvSpPr>
      <xdr:spPr>
        <a:xfrm>
          <a:off x="8975912" y="5535706"/>
          <a:ext cx="2269599" cy="261206"/>
        </a:xfrm>
        <a:prstGeom prst="roundRect">
          <a:avLst/>
        </a:prstGeom>
        <a:ln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tIns="0" bIns="0" rtlCol="0" anchor="t">
          <a:noAutofit/>
        </a:bodyPr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7/4 </a:t>
          </a:r>
          <a:r>
            <a:rPr kumimoji="1" lang="ja-JP" altLang="en-US" sz="1100" b="1">
              <a:solidFill>
                <a:srgbClr val="FF0000"/>
              </a:solidFill>
            </a:rPr>
            <a:t>安全の日で納入できません。</a:t>
          </a:r>
        </a:p>
      </xdr:txBody>
    </xdr:sp>
    <xdr:clientData/>
  </xdr:twoCellAnchor>
  <xdr:twoCellAnchor>
    <xdr:from>
      <xdr:col>26</xdr:col>
      <xdr:colOff>29135</xdr:colOff>
      <xdr:row>167</xdr:row>
      <xdr:rowOff>17930</xdr:rowOff>
    </xdr:from>
    <xdr:to>
      <xdr:col>29</xdr:col>
      <xdr:colOff>774734</xdr:colOff>
      <xdr:row>168</xdr:row>
      <xdr:rowOff>43813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20BFB6A4-490B-47C5-8D1F-6066DFB39EEB}"/>
            </a:ext>
          </a:extLst>
        </xdr:cNvPr>
        <xdr:cNvSpPr/>
      </xdr:nvSpPr>
      <xdr:spPr>
        <a:xfrm>
          <a:off x="16692282" y="5531224"/>
          <a:ext cx="2269599" cy="261206"/>
        </a:xfrm>
        <a:prstGeom prst="roundRect">
          <a:avLst/>
        </a:prstGeom>
        <a:ln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tIns="0" bIns="0" rtlCol="0" anchor="t">
          <a:noAutofit/>
        </a:bodyPr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7/4 </a:t>
          </a:r>
          <a:r>
            <a:rPr kumimoji="1" lang="ja-JP" altLang="en-US" sz="1100" b="1">
              <a:solidFill>
                <a:srgbClr val="FF0000"/>
              </a:solidFill>
            </a:rPr>
            <a:t>安全の日で納入できません。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761999</xdr:colOff>
      <xdr:row>399</xdr:row>
      <xdr:rowOff>67236</xdr:rowOff>
    </xdr:from>
    <xdr:to>
      <xdr:col>9</xdr:col>
      <xdr:colOff>281827</xdr:colOff>
      <xdr:row>400</xdr:row>
      <xdr:rowOff>160468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B6624965-EC48-4B13-ADA7-834E4792C875}"/>
            </a:ext>
          </a:extLst>
        </xdr:cNvPr>
        <xdr:cNvSpPr/>
      </xdr:nvSpPr>
      <xdr:spPr>
        <a:xfrm>
          <a:off x="4034117" y="94532824"/>
          <a:ext cx="1693769" cy="328556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2/11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時点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kumimoji="1" lang="ja-JP" altLang="en-US" sz="1100"/>
            <a:t>在庫：</a:t>
          </a:r>
          <a:r>
            <a:rPr kumimoji="1" lang="en-US" altLang="ja-JP" sz="1100"/>
            <a:t>120</a:t>
          </a:r>
          <a:r>
            <a:rPr kumimoji="1" lang="ja-JP" altLang="en-US" sz="1100"/>
            <a:t>台</a:t>
          </a:r>
        </a:p>
      </xdr:txBody>
    </xdr:sp>
    <xdr:clientData/>
  </xdr:twoCellAnchor>
  <xdr:twoCellAnchor>
    <xdr:from>
      <xdr:col>7</xdr:col>
      <xdr:colOff>0</xdr:colOff>
      <xdr:row>517</xdr:row>
      <xdr:rowOff>0</xdr:rowOff>
    </xdr:from>
    <xdr:to>
      <xdr:col>10</xdr:col>
      <xdr:colOff>199119</xdr:colOff>
      <xdr:row>518</xdr:row>
      <xdr:rowOff>0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9E2BBEAB-DA10-4D70-8474-368618121E02}"/>
            </a:ext>
          </a:extLst>
        </xdr:cNvPr>
        <xdr:cNvSpPr/>
      </xdr:nvSpPr>
      <xdr:spPr>
        <a:xfrm>
          <a:off x="4056529" y="6925235"/>
          <a:ext cx="1958443" cy="235324"/>
        </a:xfrm>
        <a:prstGeom prst="roundRect">
          <a:avLst/>
        </a:prstGeom>
        <a:ln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棚卸の為、納入できない。</a:t>
          </a:r>
        </a:p>
      </xdr:txBody>
    </xdr:sp>
    <xdr:clientData/>
  </xdr:twoCellAnchor>
  <xdr:twoCellAnchor>
    <xdr:from>
      <xdr:col>8</xdr:col>
      <xdr:colOff>44823</xdr:colOff>
      <xdr:row>552</xdr:row>
      <xdr:rowOff>22412</xdr:rowOff>
    </xdr:from>
    <xdr:to>
      <xdr:col>11</xdr:col>
      <xdr:colOff>790422</xdr:colOff>
      <xdr:row>553</xdr:row>
      <xdr:rowOff>48295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E7E94564-1C9A-43D7-8887-0AA1CF97888D}"/>
            </a:ext>
          </a:extLst>
        </xdr:cNvPr>
        <xdr:cNvSpPr/>
      </xdr:nvSpPr>
      <xdr:spPr>
        <a:xfrm>
          <a:off x="5121088" y="5535706"/>
          <a:ext cx="2269599" cy="261206"/>
        </a:xfrm>
        <a:prstGeom prst="roundRect">
          <a:avLst/>
        </a:prstGeom>
        <a:ln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tIns="0" bIns="0" rtlCol="0" anchor="t">
          <a:noAutofit/>
        </a:bodyPr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7/4 </a:t>
          </a:r>
          <a:r>
            <a:rPr kumimoji="1" lang="ja-JP" altLang="en-US" sz="1100" b="1">
              <a:solidFill>
                <a:srgbClr val="FF0000"/>
              </a:solidFill>
            </a:rPr>
            <a:t>安全の日で納入できません。</a:t>
          </a:r>
        </a:p>
      </xdr:txBody>
    </xdr:sp>
    <xdr:clientData/>
  </xdr:twoCellAnchor>
  <xdr:twoCellAnchor>
    <xdr:from>
      <xdr:col>16</xdr:col>
      <xdr:colOff>761999</xdr:colOff>
      <xdr:row>399</xdr:row>
      <xdr:rowOff>67236</xdr:rowOff>
    </xdr:from>
    <xdr:to>
      <xdr:col>19</xdr:col>
      <xdr:colOff>281827</xdr:colOff>
      <xdr:row>400</xdr:row>
      <xdr:rowOff>160468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3578792C-4EC0-426A-B535-81AFAC22A793}"/>
            </a:ext>
          </a:extLst>
        </xdr:cNvPr>
        <xdr:cNvSpPr/>
      </xdr:nvSpPr>
      <xdr:spPr>
        <a:xfrm>
          <a:off x="4370293" y="1042147"/>
          <a:ext cx="1693769" cy="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2/11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時点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kumimoji="1" lang="ja-JP" altLang="en-US" sz="1100"/>
            <a:t>在庫：</a:t>
          </a:r>
          <a:r>
            <a:rPr kumimoji="1" lang="en-US" altLang="ja-JP" sz="1100"/>
            <a:t>120</a:t>
          </a:r>
          <a:r>
            <a:rPr kumimoji="1" lang="ja-JP" altLang="en-US" sz="1100"/>
            <a:t>台</a:t>
          </a:r>
        </a:p>
      </xdr:txBody>
    </xdr:sp>
    <xdr:clientData/>
  </xdr:twoCellAnchor>
  <xdr:twoCellAnchor>
    <xdr:from>
      <xdr:col>17</xdr:col>
      <xdr:colOff>0</xdr:colOff>
      <xdr:row>517</xdr:row>
      <xdr:rowOff>0</xdr:rowOff>
    </xdr:from>
    <xdr:to>
      <xdr:col>20</xdr:col>
      <xdr:colOff>199119</xdr:colOff>
      <xdr:row>518</xdr:row>
      <xdr:rowOff>0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87037C9D-2E8A-40CC-AD00-B532BD54A269}"/>
            </a:ext>
          </a:extLst>
        </xdr:cNvPr>
        <xdr:cNvSpPr/>
      </xdr:nvSpPr>
      <xdr:spPr>
        <a:xfrm>
          <a:off x="4392706" y="1042147"/>
          <a:ext cx="1958442" cy="0"/>
        </a:xfrm>
        <a:prstGeom prst="roundRect">
          <a:avLst/>
        </a:prstGeom>
        <a:ln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棚卸の為、納入できない。</a:t>
          </a:r>
        </a:p>
      </xdr:txBody>
    </xdr:sp>
    <xdr:clientData/>
  </xdr:twoCellAnchor>
  <xdr:twoCellAnchor>
    <xdr:from>
      <xdr:col>18</xdr:col>
      <xdr:colOff>44823</xdr:colOff>
      <xdr:row>552</xdr:row>
      <xdr:rowOff>22412</xdr:rowOff>
    </xdr:from>
    <xdr:to>
      <xdr:col>21</xdr:col>
      <xdr:colOff>790422</xdr:colOff>
      <xdr:row>553</xdr:row>
      <xdr:rowOff>48295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D82996C8-4649-4966-A108-9507F038ED3C}"/>
            </a:ext>
          </a:extLst>
        </xdr:cNvPr>
        <xdr:cNvSpPr/>
      </xdr:nvSpPr>
      <xdr:spPr>
        <a:xfrm>
          <a:off x="5457264" y="1042147"/>
          <a:ext cx="2269599" cy="0"/>
        </a:xfrm>
        <a:prstGeom prst="roundRect">
          <a:avLst/>
        </a:prstGeom>
        <a:ln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tIns="0" bIns="0" rtlCol="0" anchor="t">
          <a:noAutofit/>
        </a:bodyPr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7/4 </a:t>
          </a:r>
          <a:r>
            <a:rPr kumimoji="1" lang="ja-JP" altLang="en-US" sz="1100" b="1">
              <a:solidFill>
                <a:srgbClr val="FF0000"/>
              </a:solidFill>
            </a:rPr>
            <a:t>安全の日で納入できません。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iso3\e\F-&#29983;&#29987;\&#12458;&#12540;&#12503;&#12531;\&#21508;&#29677;&#21029;&#12501;&#12457;&#12523;&#12480;\&#35069;&#32566;3&#29677;\&#9632;&#29983;&#29987;&#35336;&#30011;\&#12463;&#12508;&#12479;&#27096;&#37096;&#21697;_&#29983;&#29987;&#36914;&#2543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生産計画"/>
      <sheetName val="生産計画 (2)"/>
    </sheetNames>
    <sheetDataSet>
      <sheetData sheetId="0"/>
      <sheetData sheetId="1">
        <row r="4">
          <cell r="A4">
            <v>45099</v>
          </cell>
          <cell r="B4" t="str">
            <v>木</v>
          </cell>
          <cell r="C4">
            <v>66</v>
          </cell>
          <cell r="D4">
            <v>66</v>
          </cell>
          <cell r="E4">
            <v>0</v>
          </cell>
        </row>
        <row r="5">
          <cell r="A5">
            <v>45100</v>
          </cell>
          <cell r="B5" t="str">
            <v>金</v>
          </cell>
          <cell r="C5">
            <v>66</v>
          </cell>
          <cell r="D5">
            <v>66</v>
          </cell>
          <cell r="E5">
            <v>0</v>
          </cell>
        </row>
        <row r="6">
          <cell r="A6">
            <v>45101</v>
          </cell>
          <cell r="B6" t="str">
            <v>土</v>
          </cell>
          <cell r="C6">
            <v>66</v>
          </cell>
          <cell r="D6">
            <v>30</v>
          </cell>
          <cell r="E6">
            <v>-36</v>
          </cell>
        </row>
        <row r="7">
          <cell r="A7">
            <v>45102</v>
          </cell>
          <cell r="B7" t="str">
            <v>日</v>
          </cell>
          <cell r="C7"/>
          <cell r="D7"/>
          <cell r="E7">
            <v>-36</v>
          </cell>
        </row>
        <row r="8">
          <cell r="A8">
            <v>45103</v>
          </cell>
          <cell r="B8" t="str">
            <v>月</v>
          </cell>
          <cell r="C8">
            <v>66</v>
          </cell>
          <cell r="D8">
            <v>102</v>
          </cell>
          <cell r="E8">
            <v>0</v>
          </cell>
        </row>
        <row r="9">
          <cell r="A9">
            <v>45104</v>
          </cell>
          <cell r="B9" t="str">
            <v>火</v>
          </cell>
          <cell r="C9">
            <v>66</v>
          </cell>
          <cell r="D9">
            <v>70</v>
          </cell>
          <cell r="E9">
            <v>4</v>
          </cell>
        </row>
        <row r="10">
          <cell r="A10">
            <v>45105</v>
          </cell>
          <cell r="B10" t="str">
            <v>水</v>
          </cell>
          <cell r="C10">
            <v>66</v>
          </cell>
          <cell r="D10">
            <v>73</v>
          </cell>
          <cell r="E10">
            <v>11</v>
          </cell>
        </row>
        <row r="11">
          <cell r="A11">
            <v>45106</v>
          </cell>
          <cell r="B11" t="str">
            <v>木</v>
          </cell>
          <cell r="C11">
            <v>66</v>
          </cell>
          <cell r="D11">
            <v>73</v>
          </cell>
          <cell r="E11">
            <v>18</v>
          </cell>
        </row>
        <row r="12">
          <cell r="A12">
            <v>45107</v>
          </cell>
          <cell r="B12" t="str">
            <v>金</v>
          </cell>
          <cell r="C12">
            <v>66</v>
          </cell>
          <cell r="D12">
            <v>54</v>
          </cell>
          <cell r="E12">
            <v>6</v>
          </cell>
        </row>
        <row r="13">
          <cell r="A13">
            <v>45108</v>
          </cell>
          <cell r="B13" t="str">
            <v>土</v>
          </cell>
          <cell r="C13">
            <v>40</v>
          </cell>
          <cell r="D13">
            <v>69</v>
          </cell>
          <cell r="E13">
            <v>35</v>
          </cell>
        </row>
        <row r="14">
          <cell r="A14">
            <v>45109</v>
          </cell>
          <cell r="B14" t="str">
            <v>日</v>
          </cell>
          <cell r="C14">
            <v>0</v>
          </cell>
          <cell r="D14"/>
          <cell r="E14">
            <v>35</v>
          </cell>
        </row>
        <row r="15">
          <cell r="A15">
            <v>45110</v>
          </cell>
          <cell r="B15" t="str">
            <v>月</v>
          </cell>
          <cell r="C15">
            <v>66</v>
          </cell>
          <cell r="D15">
            <v>65</v>
          </cell>
          <cell r="E15">
            <v>34</v>
          </cell>
        </row>
        <row r="16">
          <cell r="A16">
            <v>45111</v>
          </cell>
          <cell r="B16" t="str">
            <v>火</v>
          </cell>
          <cell r="C16">
            <v>66</v>
          </cell>
          <cell r="D16">
            <v>62</v>
          </cell>
          <cell r="E16">
            <v>30</v>
          </cell>
        </row>
        <row r="17">
          <cell r="A17">
            <v>45112</v>
          </cell>
          <cell r="B17" t="str">
            <v>水</v>
          </cell>
          <cell r="C17">
            <v>66</v>
          </cell>
          <cell r="D17">
            <v>67</v>
          </cell>
          <cell r="E17">
            <v>31</v>
          </cell>
        </row>
        <row r="18">
          <cell r="A18">
            <v>45113</v>
          </cell>
          <cell r="B18" t="str">
            <v>木</v>
          </cell>
          <cell r="C18">
            <v>66</v>
          </cell>
          <cell r="D18">
            <v>75</v>
          </cell>
          <cell r="E18">
            <v>40</v>
          </cell>
        </row>
        <row r="19">
          <cell r="A19">
            <v>45114</v>
          </cell>
          <cell r="B19" t="str">
            <v>金</v>
          </cell>
          <cell r="C19">
            <v>66</v>
          </cell>
          <cell r="D19">
            <v>67</v>
          </cell>
          <cell r="E19">
            <v>41</v>
          </cell>
        </row>
        <row r="20">
          <cell r="A20">
            <v>45115</v>
          </cell>
          <cell r="B20" t="str">
            <v>土</v>
          </cell>
          <cell r="D20">
            <v>44</v>
          </cell>
          <cell r="E20">
            <v>45</v>
          </cell>
        </row>
        <row r="21">
          <cell r="A21">
            <v>45116</v>
          </cell>
          <cell r="B21" t="str">
            <v>日</v>
          </cell>
          <cell r="C21">
            <v>0</v>
          </cell>
          <cell r="D21"/>
          <cell r="E21">
            <v>45</v>
          </cell>
        </row>
        <row r="22">
          <cell r="A22">
            <v>45117</v>
          </cell>
          <cell r="B22" t="str">
            <v>月</v>
          </cell>
          <cell r="C22">
            <v>66</v>
          </cell>
          <cell r="D22">
            <v>74</v>
          </cell>
          <cell r="E22">
            <v>53</v>
          </cell>
        </row>
        <row r="23">
          <cell r="A23">
            <v>45118</v>
          </cell>
          <cell r="B23" t="str">
            <v>火</v>
          </cell>
          <cell r="C23">
            <v>66</v>
          </cell>
          <cell r="D23">
            <v>67</v>
          </cell>
          <cell r="E23">
            <v>54</v>
          </cell>
        </row>
        <row r="24">
          <cell r="A24">
            <v>45119</v>
          </cell>
          <cell r="B24" t="str">
            <v>水</v>
          </cell>
          <cell r="C24">
            <v>66</v>
          </cell>
          <cell r="D24">
            <v>54</v>
          </cell>
          <cell r="E24">
            <v>42</v>
          </cell>
        </row>
        <row r="25">
          <cell r="A25">
            <v>45120</v>
          </cell>
          <cell r="B25" t="str">
            <v>木</v>
          </cell>
          <cell r="C25">
            <v>66</v>
          </cell>
          <cell r="D25">
            <v>95</v>
          </cell>
          <cell r="E25">
            <v>71</v>
          </cell>
        </row>
        <row r="26">
          <cell r="A26">
            <v>45121</v>
          </cell>
          <cell r="B26" t="str">
            <v>金</v>
          </cell>
          <cell r="C26">
            <v>66</v>
          </cell>
          <cell r="D26">
            <v>74</v>
          </cell>
          <cell r="E26">
            <v>79</v>
          </cell>
        </row>
        <row r="27">
          <cell r="A27">
            <v>45122</v>
          </cell>
          <cell r="B27" t="str">
            <v>土</v>
          </cell>
          <cell r="C27">
            <v>0</v>
          </cell>
          <cell r="D27"/>
          <cell r="E27">
            <v>79</v>
          </cell>
        </row>
        <row r="28">
          <cell r="A28">
            <v>45123</v>
          </cell>
          <cell r="B28" t="str">
            <v>日</v>
          </cell>
          <cell r="C28">
            <v>0</v>
          </cell>
          <cell r="D28"/>
          <cell r="E28">
            <v>79</v>
          </cell>
        </row>
        <row r="29">
          <cell r="A29">
            <v>45124</v>
          </cell>
          <cell r="B29" t="str">
            <v>月</v>
          </cell>
          <cell r="C29">
            <v>66</v>
          </cell>
          <cell r="D29">
            <v>0</v>
          </cell>
          <cell r="E29">
            <v>13</v>
          </cell>
        </row>
        <row r="30">
          <cell r="A30">
            <v>45125</v>
          </cell>
          <cell r="B30" t="str">
            <v>火</v>
          </cell>
          <cell r="C30">
            <v>66</v>
          </cell>
          <cell r="D30">
            <v>66</v>
          </cell>
          <cell r="E30">
            <v>13</v>
          </cell>
        </row>
        <row r="31">
          <cell r="A31">
            <v>45126</v>
          </cell>
          <cell r="B31" t="str">
            <v>水</v>
          </cell>
          <cell r="C31">
            <v>66</v>
          </cell>
          <cell r="D31">
            <v>51</v>
          </cell>
          <cell r="E31">
            <v>-2</v>
          </cell>
        </row>
        <row r="32">
          <cell r="A32">
            <v>45127</v>
          </cell>
          <cell r="B32" t="str">
            <v>木</v>
          </cell>
          <cell r="C32">
            <v>66</v>
          </cell>
          <cell r="D32">
            <v>76</v>
          </cell>
          <cell r="E32">
            <v>8</v>
          </cell>
        </row>
        <row r="33">
          <cell r="A33">
            <v>45128</v>
          </cell>
          <cell r="B33" t="str">
            <v>金</v>
          </cell>
          <cell r="C33">
            <v>66</v>
          </cell>
          <cell r="D33">
            <v>87</v>
          </cell>
          <cell r="E33">
            <v>29</v>
          </cell>
        </row>
        <row r="34">
          <cell r="A34">
            <v>45129</v>
          </cell>
          <cell r="B34" t="str">
            <v>土</v>
          </cell>
          <cell r="C34">
            <v>0</v>
          </cell>
          <cell r="D34"/>
          <cell r="E34">
            <v>29</v>
          </cell>
        </row>
        <row r="35">
          <cell r="A35">
            <v>45130</v>
          </cell>
          <cell r="B35" t="str">
            <v>日</v>
          </cell>
          <cell r="C35">
            <v>0</v>
          </cell>
          <cell r="D35"/>
          <cell r="E35">
            <v>29</v>
          </cell>
        </row>
        <row r="36">
          <cell r="A36">
            <v>45131</v>
          </cell>
          <cell r="B36" t="str">
            <v>月</v>
          </cell>
          <cell r="D36">
            <v>73</v>
          </cell>
          <cell r="E36">
            <v>30</v>
          </cell>
        </row>
        <row r="37">
          <cell r="A37">
            <v>45132</v>
          </cell>
          <cell r="B37" t="str">
            <v>火</v>
          </cell>
          <cell r="C37">
            <v>66</v>
          </cell>
          <cell r="D37">
            <v>62</v>
          </cell>
          <cell r="E37">
            <v>26</v>
          </cell>
        </row>
        <row r="38">
          <cell r="A38">
            <v>45133</v>
          </cell>
          <cell r="B38" t="str">
            <v>水</v>
          </cell>
          <cell r="D38">
            <v>66</v>
          </cell>
          <cell r="E38">
            <v>26</v>
          </cell>
        </row>
        <row r="39">
          <cell r="A39">
            <v>45134</v>
          </cell>
          <cell r="B39" t="str">
            <v>木</v>
          </cell>
          <cell r="C39">
            <v>66</v>
          </cell>
          <cell r="D39">
            <v>75</v>
          </cell>
          <cell r="E39">
            <v>35</v>
          </cell>
        </row>
        <row r="40">
          <cell r="A40">
            <v>45135</v>
          </cell>
          <cell r="B40" t="str">
            <v>金</v>
          </cell>
          <cell r="D40">
            <v>72</v>
          </cell>
          <cell r="E40">
            <v>35</v>
          </cell>
        </row>
        <row r="41">
          <cell r="A41">
            <v>45136</v>
          </cell>
          <cell r="B41" t="str">
            <v>土</v>
          </cell>
          <cell r="D41"/>
          <cell r="E41">
            <v>35</v>
          </cell>
        </row>
        <row r="42">
          <cell r="A42">
            <v>45137</v>
          </cell>
          <cell r="B42" t="str">
            <v>日</v>
          </cell>
          <cell r="C42">
            <v>0</v>
          </cell>
          <cell r="D42"/>
          <cell r="E42">
            <v>35</v>
          </cell>
        </row>
        <row r="43">
          <cell r="A43">
            <v>45138</v>
          </cell>
          <cell r="B43" t="str">
            <v>月</v>
          </cell>
          <cell r="D43">
            <v>78</v>
          </cell>
        </row>
        <row r="44">
          <cell r="A44">
            <v>45139</v>
          </cell>
          <cell r="B44" t="str">
            <v>火</v>
          </cell>
          <cell r="D44">
            <v>46</v>
          </cell>
        </row>
        <row r="45">
          <cell r="A45">
            <v>45140</v>
          </cell>
          <cell r="B45" t="str">
            <v>水</v>
          </cell>
          <cell r="D45">
            <v>8</v>
          </cell>
        </row>
        <row r="46">
          <cell r="A46">
            <v>45141</v>
          </cell>
          <cell r="B46" t="str">
            <v>木</v>
          </cell>
          <cell r="D46">
            <v>0</v>
          </cell>
        </row>
        <row r="47">
          <cell r="A47">
            <v>45142</v>
          </cell>
          <cell r="B47" t="str">
            <v>金</v>
          </cell>
          <cell r="C47">
            <v>66</v>
          </cell>
          <cell r="D47">
            <v>64</v>
          </cell>
        </row>
        <row r="48">
          <cell r="A48">
            <v>45143</v>
          </cell>
          <cell r="B48" t="str">
            <v>土</v>
          </cell>
          <cell r="D48">
            <v>0</v>
          </cell>
        </row>
        <row r="49">
          <cell r="A49">
            <v>45144</v>
          </cell>
          <cell r="B49" t="str">
            <v>日</v>
          </cell>
          <cell r="C49">
            <v>0</v>
          </cell>
          <cell r="D49"/>
        </row>
        <row r="50">
          <cell r="A50">
            <v>45145</v>
          </cell>
          <cell r="B50" t="str">
            <v>月</v>
          </cell>
          <cell r="C50">
            <v>66</v>
          </cell>
          <cell r="D50">
            <v>54</v>
          </cell>
        </row>
        <row r="51">
          <cell r="A51">
            <v>45146</v>
          </cell>
          <cell r="B51" t="str">
            <v>火</v>
          </cell>
          <cell r="D51">
            <v>60</v>
          </cell>
        </row>
        <row r="52">
          <cell r="A52">
            <v>45147</v>
          </cell>
          <cell r="B52" t="str">
            <v>水</v>
          </cell>
          <cell r="D52">
            <v>87</v>
          </cell>
        </row>
        <row r="53">
          <cell r="A53">
            <v>45148</v>
          </cell>
          <cell r="B53" t="str">
            <v>木</v>
          </cell>
          <cell r="D53">
            <v>81</v>
          </cell>
        </row>
        <row r="54">
          <cell r="A54">
            <v>45149</v>
          </cell>
          <cell r="B54" t="str">
            <v>金</v>
          </cell>
          <cell r="C54">
            <v>0</v>
          </cell>
          <cell r="D54"/>
        </row>
        <row r="55">
          <cell r="A55">
            <v>45150</v>
          </cell>
          <cell r="B55" t="str">
            <v>土</v>
          </cell>
          <cell r="C55">
            <v>0</v>
          </cell>
          <cell r="D55"/>
        </row>
        <row r="56">
          <cell r="A56">
            <v>45151</v>
          </cell>
          <cell r="B56" t="str">
            <v>日</v>
          </cell>
          <cell r="C56">
            <v>0</v>
          </cell>
          <cell r="D56"/>
        </row>
        <row r="57">
          <cell r="A57">
            <v>45152</v>
          </cell>
          <cell r="B57" t="str">
            <v>月</v>
          </cell>
          <cell r="C57">
            <v>0</v>
          </cell>
          <cell r="D57"/>
        </row>
        <row r="58">
          <cell r="A58">
            <v>45153</v>
          </cell>
          <cell r="B58" t="str">
            <v>火</v>
          </cell>
          <cell r="C58">
            <v>0</v>
          </cell>
          <cell r="D58"/>
        </row>
        <row r="59">
          <cell r="A59">
            <v>45154</v>
          </cell>
          <cell r="B59" t="str">
            <v>水</v>
          </cell>
          <cell r="C59">
            <v>0</v>
          </cell>
          <cell r="D59"/>
        </row>
        <row r="60">
          <cell r="A60">
            <v>45155</v>
          </cell>
          <cell r="B60" t="str">
            <v>木</v>
          </cell>
          <cell r="D60">
            <v>0</v>
          </cell>
        </row>
        <row r="61">
          <cell r="A61">
            <v>45156</v>
          </cell>
          <cell r="B61" t="str">
            <v>金</v>
          </cell>
          <cell r="C61">
            <v>66</v>
          </cell>
          <cell r="D61">
            <v>43</v>
          </cell>
        </row>
      </sheetData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D11E4B59-C351-4F09-941B-BC9F8D2F17B8}" diskRevisions="1" revisionId="48" version="9">
  <header guid="{3C483C4A-B832-4426-9BD7-C5D5F1EFD91E}" dateTime="2025-09-23T08:38:04" maxSheetId="8" userName="y-hara" r:id="rId1">
    <sheetIdMap count="7">
      <sheetId val="1"/>
      <sheetId val="2"/>
      <sheetId val="3"/>
      <sheetId val="4"/>
      <sheetId val="5"/>
      <sheetId val="6"/>
      <sheetId val="7"/>
    </sheetIdMap>
  </header>
  <header guid="{78BC68BB-361B-4206-98C6-95D2180C8B63}" dateTime="2025-09-23T11:07:46" maxSheetId="8" userName="k-terada" r:id="rId2">
    <sheetIdMap count="7">
      <sheetId val="1"/>
      <sheetId val="2"/>
      <sheetId val="3"/>
      <sheetId val="4"/>
      <sheetId val="5"/>
      <sheetId val="6"/>
      <sheetId val="7"/>
    </sheetIdMap>
  </header>
  <header guid="{3B393F38-56C5-4D1B-A1A6-8E8524ACDB48}" dateTime="2025-09-24T14:57:53" maxSheetId="8" userName="y-hara" r:id="rId3" minRId="9" maxRId="10">
    <sheetIdMap count="7">
      <sheetId val="1"/>
      <sheetId val="2"/>
      <sheetId val="3"/>
      <sheetId val="4"/>
      <sheetId val="5"/>
      <sheetId val="6"/>
      <sheetId val="7"/>
    </sheetIdMap>
  </header>
  <header guid="{DD3EA534-E199-4FE8-A0D3-4DB84D59A645}" dateTime="2025-09-25T16:16:30" maxSheetId="8" userName="y-hara" r:id="rId4" minRId="20">
    <sheetIdMap count="7">
      <sheetId val="1"/>
      <sheetId val="2"/>
      <sheetId val="3"/>
      <sheetId val="4"/>
      <sheetId val="5"/>
      <sheetId val="6"/>
      <sheetId val="7"/>
    </sheetIdMap>
  </header>
  <header guid="{E59AB717-9633-44BE-A060-C333461BB18A}" dateTime="2025-09-25T16:19:29" maxSheetId="8" userName="y-hara" r:id="rId5" minRId="21">
    <sheetIdMap count="7">
      <sheetId val="1"/>
      <sheetId val="2"/>
      <sheetId val="3"/>
      <sheetId val="4"/>
      <sheetId val="5"/>
      <sheetId val="6"/>
      <sheetId val="7"/>
    </sheetIdMap>
  </header>
  <header guid="{E78F6AAA-1737-47DD-8BC4-6D10FB7836CB}" dateTime="2025-09-25T17:59:19" maxSheetId="8" userName="y-hara" r:id="rId6" minRId="31" maxRId="35">
    <sheetIdMap count="7">
      <sheetId val="1"/>
      <sheetId val="2"/>
      <sheetId val="3"/>
      <sheetId val="4"/>
      <sheetId val="5"/>
      <sheetId val="6"/>
      <sheetId val="7"/>
    </sheetIdMap>
  </header>
  <header guid="{57AA4749-8AAA-483F-B806-C88DB4C04978}" dateTime="2025-09-25T18:02:33" maxSheetId="8" userName="y-hara" r:id="rId7">
    <sheetIdMap count="7">
      <sheetId val="1"/>
      <sheetId val="2"/>
      <sheetId val="3"/>
      <sheetId val="4"/>
      <sheetId val="5"/>
      <sheetId val="6"/>
      <sheetId val="7"/>
    </sheetIdMap>
  </header>
  <header guid="{EF897C47-A6EA-4474-8792-25A780661F04}" dateTime="2025-09-25T18:15:40" maxSheetId="8" userName="y-hara" r:id="rId8">
    <sheetIdMap count="7">
      <sheetId val="1"/>
      <sheetId val="2"/>
      <sheetId val="3"/>
      <sheetId val="4"/>
      <sheetId val="5"/>
      <sheetId val="6"/>
      <sheetId val="7"/>
    </sheetIdMap>
  </header>
  <header guid="{D11E4B59-C351-4F09-941B-BC9F8D2F17B8}" dateTime="2025-09-26T11:29:47" maxSheetId="8" userName="y-hara" r:id="rId9" minRId="45" maxRId="48">
    <sheetIdMap count="7">
      <sheetId val="1"/>
      <sheetId val="2"/>
      <sheetId val="3"/>
      <sheetId val="4"/>
      <sheetId val="5"/>
      <sheetId val="6"/>
      <sheetId val="7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11078A9-B23B-425F-A62A-22C4D8EF8733}" action="delete"/>
  <rdn rId="0" localSheetId="1" customView="1" name="Z_811078A9_B23B_425F_A62A_22C4D8EF8733_.wvu.PrintArea" hidden="1" oldHidden="1">
    <formula>'ステー(ラジエータ)'!$A$1:$W$116</formula>
    <oldFormula>'ステー(ラジエータ)'!$A$1:$W$116</oldFormula>
  </rdn>
  <rdn rId="0" localSheetId="1" customView="1" name="Z_811078A9_B23B_425F_A62A_22C4D8EF8733_.wvu.Rows" hidden="1" oldHidden="1">
    <formula>'ステー(ラジエータ)'!$3:$488</formula>
    <oldFormula>'ステー(ラジエータ)'!$3:$488</oldFormula>
  </rdn>
  <rdn rId="0" localSheetId="1" customView="1" name="Z_811078A9_B23B_425F_A62A_22C4D8EF8733_.wvu.Cols" hidden="1" oldHidden="1">
    <formula>'ステー(ラジエータ)'!$G:$M</formula>
    <oldFormula>'ステー(ラジエータ)'!$G:$M</oldFormula>
  </rdn>
  <rdn rId="0" localSheetId="2" customView="1" name="Z_811078A9_B23B_425F_A62A_22C4D8EF8733_.wvu.Rows" hidden="1" oldHidden="1">
    <formula>'欧州向けフレームコンプ(フロント) (末番変更)'!$3:$14</formula>
    <oldFormula>'欧州向けフレームコンプ(フロント) (末番変更)'!$3:$14</oldFormula>
  </rdn>
  <rdn rId="0" localSheetId="3" customView="1" name="Z_811078A9_B23B_425F_A62A_22C4D8EF8733_.wvu.Rows" hidden="1" oldHidden="1">
    <formula>'カバーコンプ(エアコン)'!$3:$32</formula>
    <oldFormula>'カバーコンプ(エアコン)'!$3:$32</oldFormula>
  </rdn>
  <rdn rId="0" localSheetId="4" customView="1" name="Z_811078A9_B23B_425F_A62A_22C4D8EF8733_.wvu.Rows" hidden="1" oldHidden="1">
    <formula>'ブラケット(ファン)'!$3:$32</formula>
    <oldFormula>'ブラケット(ファン)'!$3:$32</oldFormula>
  </rdn>
  <rdn rId="0" localSheetId="6" customView="1" name="Z_811078A9_B23B_425F_A62A_22C4D8EF8733_.wvu.Rows" hidden="1" oldHidden="1">
    <formula>'SS23 フレームコンプ(フロント) (末番3)'!$3:$24</formula>
  </rdn>
  <rdn rId="0" localSheetId="7" customView="1" name="Z_811078A9_B23B_425F_A62A_22C4D8EF8733_.wvu.Rows" hidden="1" oldHidden="1">
    <formula>'SS23 カバーコンプ(エアコン)'!$3:$295</formula>
    <oldFormula>'SS23 カバーコンプ(エアコン)'!$3:$295</oldFormula>
  </rdn>
  <rcv guid="{811078A9-B23B-425F-A62A-22C4D8EF8733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" sId="5">
    <nc r="AA250">
      <v>-1</v>
    </nc>
  </rcc>
  <rcc rId="10" sId="5">
    <nc r="AA251">
      <v>1</v>
    </nc>
  </rcc>
  <rcv guid="{7F9E5EBC-BEB4-4E3F-8F40-CA3D4F534F5B}" action="delete"/>
  <rdn rId="0" localSheetId="1" customView="1" name="Z_7F9E5EBC_BEB4_4E3F_8F40_CA3D4F534F5B_.wvu.PrintArea" hidden="1" oldHidden="1">
    <formula>'ステー(ラジエータ)'!$A$1:$W$116</formula>
    <oldFormula>'ステー(ラジエータ)'!$A$1:$W$116</oldFormula>
  </rdn>
  <rdn rId="0" localSheetId="1" customView="1" name="Z_7F9E5EBC_BEB4_4E3F_8F40_CA3D4F534F5B_.wvu.Rows" hidden="1" oldHidden="1">
    <formula>'ステー(ラジエータ)'!$3:$818</formula>
    <oldFormula>'ステー(ラジエータ)'!$3:$818</oldFormula>
  </rdn>
  <rdn rId="0" localSheetId="1" customView="1" name="Z_7F9E5EBC_BEB4_4E3F_8F40_CA3D4F534F5B_.wvu.Cols" hidden="1" oldHidden="1">
    <formula>'ステー(ラジエータ)'!$G:$Z</formula>
    <oldFormula>'ステー(ラジエータ)'!$G:$Z</oldFormula>
  </rdn>
  <rdn rId="0" localSheetId="2" customView="1" name="Z_7F9E5EBC_BEB4_4E3F_8F40_CA3D4F534F5B_.wvu.Rows" hidden="1" oldHidden="1">
    <formula>'欧州向けフレームコンプ(フロント) (末番変更)'!$3:$316</formula>
    <oldFormula>'欧州向けフレームコンプ(フロント) (末番変更)'!$3:$316</oldFormula>
  </rdn>
  <rdn rId="0" localSheetId="3" customView="1" name="Z_7F9E5EBC_BEB4_4E3F_8F40_CA3D4F534F5B_.wvu.Rows" hidden="1" oldHidden="1">
    <formula>'カバーコンプ(エアコン)'!$3:$818</formula>
    <oldFormula>'カバーコンプ(エアコン)'!$3:$818</oldFormula>
  </rdn>
  <rdn rId="0" localSheetId="4" customView="1" name="Z_7F9E5EBC_BEB4_4E3F_8F40_CA3D4F534F5B_.wvu.Rows" hidden="1" oldHidden="1">
    <formula>'ブラケット(ファン)'!$3:$818</formula>
    <oldFormula>'ブラケット(ファン)'!$3:$818</oldFormula>
  </rdn>
  <rdn rId="0" localSheetId="5" customView="1" name="Z_7F9E5EBC_BEB4_4E3F_8F40_CA3D4F534F5B_.wvu.Rows" hidden="1" oldHidden="1">
    <formula>'SS23 フレームコンプ(フロント) (末番2)'!$3:$240</formula>
    <oldFormula>'SS23 フレームコンプ(フロント) (末番2)'!$3:$240</oldFormula>
  </rdn>
  <rdn rId="0" localSheetId="6" customView="1" name="Z_7F9E5EBC_BEB4_4E3F_8F40_CA3D4F534F5B_.wvu.Rows" hidden="1" oldHidden="1">
    <formula>'SS23 フレームコンプ(フロント) (末番3)'!$3:$24</formula>
    <oldFormula>'SS23 フレームコンプ(フロント) (末番3)'!$3:$24</oldFormula>
  </rdn>
  <rdn rId="0" localSheetId="7" customView="1" name="Z_7F9E5EBC_BEB4_4E3F_8F40_CA3D4F534F5B_.wvu.Rows" hidden="1" oldHidden="1">
    <formula>'SS23 カバーコンプ(エアコン)'!$3:$625</formula>
    <oldFormula>'SS23 カバーコンプ(エアコン)'!$3:$625</oldFormula>
  </rdn>
  <rcv guid="{7F9E5EBC-BEB4-4E3F-8F40-CA3D4F534F5B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" sId="1">
    <oc r="AA835">
      <v>57</v>
    </oc>
    <nc r="AA835">
      <f>57+15</f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" sId="1">
    <oc r="AA835">
      <f>57+15</f>
    </oc>
    <nc r="AA835">
      <f>57+6</f>
    </nc>
  </rcc>
  <rfmt sheetId="1" sqref="AA835:AA836" start="0" length="2147483647">
    <dxf>
      <font>
        <color theme="4"/>
      </font>
    </dxf>
  </rfmt>
  <rfmt sheetId="2" sqref="M333:M334 Y333:Y334" start="0" length="2147483647">
    <dxf>
      <font>
        <color theme="4"/>
      </font>
    </dxf>
  </rfmt>
  <rfmt sheetId="3" sqref="G835:G836" start="0" length="2147483647">
    <dxf>
      <font>
        <color theme="4"/>
      </font>
    </dxf>
  </rfmt>
  <rfmt sheetId="4" sqref="G835:G836" start="0" length="2147483647">
    <dxf>
      <font>
        <color theme="4"/>
      </font>
    </dxf>
  </rfmt>
  <rfmt sheetId="6" sqref="M41:M42" start="0" length="2147483647">
    <dxf>
      <font>
        <color theme="4"/>
      </font>
    </dxf>
  </rfmt>
  <rfmt sheetId="6" sqref="Y41:Y42" start="0" length="2147483647">
    <dxf>
      <font>
        <color theme="4"/>
      </font>
    </dxf>
  </rfmt>
  <rfmt sheetId="7" sqref="Q642:Q643" start="0" length="2147483647">
    <dxf>
      <font>
        <color theme="4"/>
      </font>
    </dxf>
  </rfmt>
  <rcv guid="{7F9E5EBC-BEB4-4E3F-8F40-CA3D4F534F5B}" action="delete"/>
  <rdn rId="0" localSheetId="1" customView="1" name="Z_7F9E5EBC_BEB4_4E3F_8F40_CA3D4F534F5B_.wvu.PrintArea" hidden="1" oldHidden="1">
    <formula>'ステー(ラジエータ)'!$A$1:$W$116</formula>
    <oldFormula>'ステー(ラジエータ)'!$A$1:$W$116</oldFormula>
  </rdn>
  <rdn rId="0" localSheetId="1" customView="1" name="Z_7F9E5EBC_BEB4_4E3F_8F40_CA3D4F534F5B_.wvu.Rows" hidden="1" oldHidden="1">
    <formula>'ステー(ラジエータ)'!$3:$818</formula>
    <oldFormula>'ステー(ラジエータ)'!$3:$818</oldFormula>
  </rdn>
  <rdn rId="0" localSheetId="1" customView="1" name="Z_7F9E5EBC_BEB4_4E3F_8F40_CA3D4F534F5B_.wvu.Cols" hidden="1" oldHidden="1">
    <formula>'ステー(ラジエータ)'!$G:$Z</formula>
    <oldFormula>'ステー(ラジエータ)'!$G:$Z</oldFormula>
  </rdn>
  <rdn rId="0" localSheetId="2" customView="1" name="Z_7F9E5EBC_BEB4_4E3F_8F40_CA3D4F534F5B_.wvu.Rows" hidden="1" oldHidden="1">
    <formula>'欧州向けフレームコンプ(フロント) (末番変更)'!$3:$316</formula>
    <oldFormula>'欧州向けフレームコンプ(フロント) (末番変更)'!$3:$316</oldFormula>
  </rdn>
  <rdn rId="0" localSheetId="3" customView="1" name="Z_7F9E5EBC_BEB4_4E3F_8F40_CA3D4F534F5B_.wvu.Rows" hidden="1" oldHidden="1">
    <formula>'カバーコンプ(エアコン)'!$3:$818</formula>
    <oldFormula>'カバーコンプ(エアコン)'!$3:$818</oldFormula>
  </rdn>
  <rdn rId="0" localSheetId="4" customView="1" name="Z_7F9E5EBC_BEB4_4E3F_8F40_CA3D4F534F5B_.wvu.Rows" hidden="1" oldHidden="1">
    <formula>'ブラケット(ファン)'!$3:$818</formula>
    <oldFormula>'ブラケット(ファン)'!$3:$818</oldFormula>
  </rdn>
  <rdn rId="0" localSheetId="5" customView="1" name="Z_7F9E5EBC_BEB4_4E3F_8F40_CA3D4F534F5B_.wvu.Rows" hidden="1" oldHidden="1">
    <formula>'SS23 フレームコンプ(フロント) (末番2)'!$3:$240</formula>
    <oldFormula>'SS23 フレームコンプ(フロント) (末番2)'!$3:$240</oldFormula>
  </rdn>
  <rdn rId="0" localSheetId="6" customView="1" name="Z_7F9E5EBC_BEB4_4E3F_8F40_CA3D4F534F5B_.wvu.Rows" hidden="1" oldHidden="1">
    <formula>'SS23 フレームコンプ(フロント) (末番3)'!$3:$24</formula>
    <oldFormula>'SS23 フレームコンプ(フロント) (末番3)'!$3:$24</oldFormula>
  </rdn>
  <rdn rId="0" localSheetId="7" customView="1" name="Z_7F9E5EBC_BEB4_4E3F_8F40_CA3D4F534F5B_.wvu.Rows" hidden="1" oldHidden="1">
    <formula>'SS23 カバーコンプ(エアコン)'!$3:$625</formula>
    <oldFormula>'SS23 カバーコンプ(エアコン)'!$3:$625</oldFormula>
  </rdn>
  <rcv guid="{7F9E5EBC-BEB4-4E3F-8F40-CA3D4F534F5B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" sId="2">
    <nc r="AA328">
      <v>12</v>
    </nc>
  </rcc>
  <rcc rId="32" sId="2">
    <nc r="AA331">
      <f>-12+18</f>
    </nc>
  </rcc>
  <rcc rId="33" sId="2">
    <nc r="AA332">
      <f>-18+18</f>
    </nc>
  </rcc>
  <rcc rId="34" sId="2">
    <nc r="AA333">
      <f>-18+6</f>
    </nc>
  </rcc>
  <rcc rId="35" sId="2">
    <nc r="AA334">
      <v>-6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A328 AA331:AA334">
    <dxf>
      <fill>
        <patternFill patternType="solid">
          <bgColor theme="8" tint="0.79998168889431442"/>
        </patternFill>
      </fill>
    </dxf>
  </rfmt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F9E5EBC-BEB4-4E3F-8F40-CA3D4F534F5B}" action="delete"/>
  <rdn rId="0" localSheetId="1" customView="1" name="Z_7F9E5EBC_BEB4_4E3F_8F40_CA3D4F534F5B_.wvu.PrintArea" hidden="1" oldHidden="1">
    <formula>'ステー(ラジエータ)'!$A$1:$W$116</formula>
    <oldFormula>'ステー(ラジエータ)'!$A$1:$W$116</oldFormula>
  </rdn>
  <rdn rId="0" localSheetId="1" customView="1" name="Z_7F9E5EBC_BEB4_4E3F_8F40_CA3D4F534F5B_.wvu.Rows" hidden="1" oldHidden="1">
    <formula>'ステー(ラジエータ)'!$3:$818</formula>
    <oldFormula>'ステー(ラジエータ)'!$3:$818</oldFormula>
  </rdn>
  <rdn rId="0" localSheetId="1" customView="1" name="Z_7F9E5EBC_BEB4_4E3F_8F40_CA3D4F534F5B_.wvu.Cols" hidden="1" oldHidden="1">
    <formula>'ステー(ラジエータ)'!$G:$Z</formula>
    <oldFormula>'ステー(ラジエータ)'!$G:$Z</oldFormula>
  </rdn>
  <rdn rId="0" localSheetId="2" customView="1" name="Z_7F9E5EBC_BEB4_4E3F_8F40_CA3D4F534F5B_.wvu.Rows" hidden="1" oldHidden="1">
    <formula>'欧州向けフレームコンプ(フロント) (末番変更)'!$3:$316</formula>
    <oldFormula>'欧州向けフレームコンプ(フロント) (末番変更)'!$3:$316</oldFormula>
  </rdn>
  <rdn rId="0" localSheetId="3" customView="1" name="Z_7F9E5EBC_BEB4_4E3F_8F40_CA3D4F534F5B_.wvu.Rows" hidden="1" oldHidden="1">
    <formula>'カバーコンプ(エアコン)'!$3:$818</formula>
    <oldFormula>'カバーコンプ(エアコン)'!$3:$818</oldFormula>
  </rdn>
  <rdn rId="0" localSheetId="4" customView="1" name="Z_7F9E5EBC_BEB4_4E3F_8F40_CA3D4F534F5B_.wvu.Rows" hidden="1" oldHidden="1">
    <formula>'ブラケット(ファン)'!$3:$818</formula>
    <oldFormula>'ブラケット(ファン)'!$3:$818</oldFormula>
  </rdn>
  <rdn rId="0" localSheetId="5" customView="1" name="Z_7F9E5EBC_BEB4_4E3F_8F40_CA3D4F534F5B_.wvu.Rows" hidden="1" oldHidden="1">
    <formula>'SS23 フレームコンプ(フロント) (末番2)'!$3:$240</formula>
    <oldFormula>'SS23 フレームコンプ(フロント) (末番2)'!$3:$240</oldFormula>
  </rdn>
  <rdn rId="0" localSheetId="6" customView="1" name="Z_7F9E5EBC_BEB4_4E3F_8F40_CA3D4F534F5B_.wvu.Rows" hidden="1" oldHidden="1">
    <formula>'SS23 フレームコンプ(フロント) (末番3)'!$3:$24</formula>
    <oldFormula>'SS23 フレームコンプ(フロント) (末番3)'!$3:$24</oldFormula>
  </rdn>
  <rdn rId="0" localSheetId="7" customView="1" name="Z_7F9E5EBC_BEB4_4E3F_8F40_CA3D4F534F5B_.wvu.Rows" hidden="1" oldHidden="1">
    <formula>'SS23 カバーコンプ(エアコン)'!$3:$625</formula>
    <oldFormula>'SS23 カバーコンプ(エアコン)'!$3:$625</oldFormula>
  </rdn>
  <rcv guid="{7F9E5EBC-BEB4-4E3F-8F40-CA3D4F534F5B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" sId="2">
    <nc r="O335">
      <v>-3</v>
    </nc>
  </rcc>
  <rfmt sheetId="2" sqref="N333 N335" start="0" length="2147483647">
    <dxf>
      <font>
        <color rgb="FFFF0000"/>
      </font>
    </dxf>
  </rfmt>
  <rcc rId="46" sId="2">
    <oc r="C331">
      <v>66</v>
    </oc>
    <nc r="C331">
      <v>69</v>
    </nc>
  </rcc>
  <rcc rId="47" sId="2">
    <nc r="O333">
      <v>0</v>
    </nc>
  </rcc>
  <rcc rId="48" sId="2">
    <nc r="O332">
      <v>3</v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D11E4B59-C351-4F09-941B-BC9F8D2F17B8}" name="wang" id="-903511479" dateTime="2025-09-29T13:20:06"/>
</user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9.bin"/><Relationship Id="rId3" Type="http://schemas.openxmlformats.org/officeDocument/2006/relationships/printerSettings" Target="../printerSettings/printerSettings14.bin"/><Relationship Id="rId7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Relationship Id="rId6" Type="http://schemas.openxmlformats.org/officeDocument/2006/relationships/printerSettings" Target="../printerSettings/printerSettings17.bin"/><Relationship Id="rId11" Type="http://schemas.openxmlformats.org/officeDocument/2006/relationships/comments" Target="../comments2.xml"/><Relationship Id="rId5" Type="http://schemas.openxmlformats.org/officeDocument/2006/relationships/printerSettings" Target="../printerSettings/printerSettings16.bin"/><Relationship Id="rId10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5.bin"/><Relationship Id="rId9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7.bin"/><Relationship Id="rId13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2.bin"/><Relationship Id="rId7" Type="http://schemas.openxmlformats.org/officeDocument/2006/relationships/printerSettings" Target="../printerSettings/printerSettings26.bin"/><Relationship Id="rId12" Type="http://schemas.openxmlformats.org/officeDocument/2006/relationships/drawing" Target="../drawings/drawing3.xml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Relationship Id="rId6" Type="http://schemas.openxmlformats.org/officeDocument/2006/relationships/printerSettings" Target="../printerSettings/printerSettings25.bin"/><Relationship Id="rId11" Type="http://schemas.openxmlformats.org/officeDocument/2006/relationships/printerSettings" Target="../printerSettings/printerSettings30.bin"/><Relationship Id="rId5" Type="http://schemas.openxmlformats.org/officeDocument/2006/relationships/printerSettings" Target="../printerSettings/printerSettings24.bin"/><Relationship Id="rId10" Type="http://schemas.openxmlformats.org/officeDocument/2006/relationships/printerSettings" Target="../printerSettings/printerSettings29.bin"/><Relationship Id="rId4" Type="http://schemas.openxmlformats.org/officeDocument/2006/relationships/printerSettings" Target="../printerSettings/printerSettings23.bin"/><Relationship Id="rId9" Type="http://schemas.openxmlformats.org/officeDocument/2006/relationships/printerSettings" Target="../printerSettings/printerSettings28.bin"/><Relationship Id="rId1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8.bin"/><Relationship Id="rId13" Type="http://schemas.openxmlformats.org/officeDocument/2006/relationships/vmlDrawing" Target="../drawings/vmlDrawing4.vml"/><Relationship Id="rId3" Type="http://schemas.openxmlformats.org/officeDocument/2006/relationships/printerSettings" Target="../printerSettings/printerSettings33.bin"/><Relationship Id="rId7" Type="http://schemas.openxmlformats.org/officeDocument/2006/relationships/printerSettings" Target="../printerSettings/printerSettings37.bin"/><Relationship Id="rId12" Type="http://schemas.openxmlformats.org/officeDocument/2006/relationships/drawing" Target="../drawings/drawing4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Relationship Id="rId6" Type="http://schemas.openxmlformats.org/officeDocument/2006/relationships/printerSettings" Target="../printerSettings/printerSettings36.bin"/><Relationship Id="rId11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35.bin"/><Relationship Id="rId10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4.bin"/><Relationship Id="rId9" Type="http://schemas.openxmlformats.org/officeDocument/2006/relationships/printerSettings" Target="../printerSettings/printerSettings39.bin"/><Relationship Id="rId1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9.bin"/><Relationship Id="rId3" Type="http://schemas.openxmlformats.org/officeDocument/2006/relationships/printerSettings" Target="../printerSettings/printerSettings44.bin"/><Relationship Id="rId7" Type="http://schemas.openxmlformats.org/officeDocument/2006/relationships/printerSettings" Target="../printerSettings/printerSettings48.bin"/><Relationship Id="rId2" Type="http://schemas.openxmlformats.org/officeDocument/2006/relationships/printerSettings" Target="../printerSettings/printerSettings43.bin"/><Relationship Id="rId1" Type="http://schemas.openxmlformats.org/officeDocument/2006/relationships/printerSettings" Target="../printerSettings/printerSettings42.bin"/><Relationship Id="rId6" Type="http://schemas.openxmlformats.org/officeDocument/2006/relationships/printerSettings" Target="../printerSettings/printerSettings47.bin"/><Relationship Id="rId11" Type="http://schemas.openxmlformats.org/officeDocument/2006/relationships/comments" Target="../comments5.xml"/><Relationship Id="rId5" Type="http://schemas.openxmlformats.org/officeDocument/2006/relationships/printerSettings" Target="../printerSettings/printerSettings46.bin"/><Relationship Id="rId10" Type="http://schemas.openxmlformats.org/officeDocument/2006/relationships/vmlDrawing" Target="../drawings/vmlDrawing5.vml"/><Relationship Id="rId4" Type="http://schemas.openxmlformats.org/officeDocument/2006/relationships/printerSettings" Target="../printerSettings/printerSettings45.bin"/><Relationship Id="rId9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2.bin"/><Relationship Id="rId2" Type="http://schemas.openxmlformats.org/officeDocument/2006/relationships/printerSettings" Target="../printerSettings/printerSettings51.bin"/><Relationship Id="rId1" Type="http://schemas.openxmlformats.org/officeDocument/2006/relationships/printerSettings" Target="../printerSettings/printerSettings50.bin"/><Relationship Id="rId4" Type="http://schemas.openxmlformats.org/officeDocument/2006/relationships/printerSettings" Target="../printerSettings/printerSettings53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1.bin"/><Relationship Id="rId13" Type="http://schemas.openxmlformats.org/officeDocument/2006/relationships/comments" Target="../comments6.xml"/><Relationship Id="rId3" Type="http://schemas.openxmlformats.org/officeDocument/2006/relationships/printerSettings" Target="../printerSettings/printerSettings56.bin"/><Relationship Id="rId7" Type="http://schemas.openxmlformats.org/officeDocument/2006/relationships/printerSettings" Target="../printerSettings/printerSettings60.bin"/><Relationship Id="rId12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55.bin"/><Relationship Id="rId1" Type="http://schemas.openxmlformats.org/officeDocument/2006/relationships/printerSettings" Target="../printerSettings/printerSettings54.bin"/><Relationship Id="rId6" Type="http://schemas.openxmlformats.org/officeDocument/2006/relationships/printerSettings" Target="../printerSettings/printerSettings59.bin"/><Relationship Id="rId11" Type="http://schemas.openxmlformats.org/officeDocument/2006/relationships/drawing" Target="../drawings/drawing6.xml"/><Relationship Id="rId5" Type="http://schemas.openxmlformats.org/officeDocument/2006/relationships/printerSettings" Target="../printerSettings/printerSettings58.bin"/><Relationship Id="rId10" Type="http://schemas.openxmlformats.org/officeDocument/2006/relationships/printerSettings" Target="../printerSettings/printerSettings63.bin"/><Relationship Id="rId4" Type="http://schemas.openxmlformats.org/officeDocument/2006/relationships/printerSettings" Target="../printerSettings/printerSettings57.bin"/><Relationship Id="rId9" Type="http://schemas.openxmlformats.org/officeDocument/2006/relationships/printerSettings" Target="../printerSettings/printerSettings6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1BDCB-7D3F-4AB3-A2DC-62F59191ADC5}">
  <sheetPr codeName="Sheet134">
    <pageSetUpPr fitToPage="1"/>
  </sheetPr>
  <dimension ref="A1:AX914"/>
  <sheetViews>
    <sheetView zoomScale="85" zoomScaleNormal="85" zoomScaleSheetLayoutView="85" workbookViewId="0">
      <pane xSplit="2" ySplit="818" topLeftCell="C819" activePane="bottomRight" state="frozenSplit"/>
      <selection pane="topRight" activeCell="C1" sqref="C1"/>
      <selection pane="bottomLeft" activeCell="A819" sqref="A819"/>
      <selection pane="bottomRight" activeCell="AL827" sqref="AL827"/>
    </sheetView>
  </sheetViews>
  <sheetFormatPr defaultColWidth="9" defaultRowHeight="18.75" outlineLevelRow="1" outlineLevelCol="1"/>
  <cols>
    <col min="1" max="1" width="11.875" style="2" customWidth="1"/>
    <col min="2" max="2" width="3.375" style="1" bestFit="1" customWidth="1"/>
    <col min="3" max="5" width="9" style="1"/>
    <col min="6" max="6" width="2.625" style="1" customWidth="1"/>
    <col min="7" max="7" width="9.625" hidden="1" customWidth="1" outlineLevel="1"/>
    <col min="8" max="8" width="13.75" hidden="1" customWidth="1" outlineLevel="1"/>
    <col min="9" max="9" width="4.75" hidden="1" customWidth="1" outlineLevel="1"/>
    <col min="10" max="10" width="4.5" hidden="1" customWidth="1" outlineLevel="1"/>
    <col min="11" max="11" width="10.25" hidden="1" customWidth="1" outlineLevel="1"/>
    <col min="12" max="13" width="10.5" hidden="1" customWidth="1" outlineLevel="1"/>
    <col min="14" max="14" width="2.125" hidden="1" customWidth="1" outlineLevel="1"/>
    <col min="15" max="15" width="6.75" hidden="1" customWidth="1" outlineLevel="1"/>
    <col min="16" max="16" width="3.125" style="1" hidden="1" customWidth="1" outlineLevel="1"/>
    <col min="17" max="17" width="9.875" style="1" hidden="1" customWidth="1" outlineLevel="1"/>
    <col min="18" max="18" width="12.375" style="1" hidden="1" customWidth="1" outlineLevel="1"/>
    <col min="19" max="20" width="4.625" style="1" hidden="1" customWidth="1" outlineLevel="1"/>
    <col min="21" max="21" width="10.125" style="1" hidden="1" customWidth="1" outlineLevel="1"/>
    <col min="22" max="23" width="9" style="1" hidden="1" customWidth="1" outlineLevel="1"/>
    <col min="24" max="24" width="2.125" hidden="1" customWidth="1" outlineLevel="1"/>
    <col min="25" max="25" width="6.75" hidden="1" customWidth="1" outlineLevel="1"/>
    <col min="26" max="26" width="9" style="1" hidden="1" customWidth="1" outlineLevel="1"/>
    <col min="27" max="27" width="9.875" style="1" customWidth="1" collapsed="1"/>
    <col min="28" max="28" width="12.375" style="1" customWidth="1"/>
    <col min="29" max="30" width="4.625" style="1" customWidth="1"/>
    <col min="31" max="31" width="10.125" style="1" customWidth="1"/>
    <col min="32" max="33" width="9" style="1"/>
    <col min="34" max="34" width="2.125" customWidth="1"/>
    <col min="35" max="35" width="6.75" customWidth="1"/>
    <col min="36" max="36" width="1.875" customWidth="1"/>
    <col min="37" max="38" width="9" style="1"/>
    <col min="39" max="39" width="10.125" style="1" customWidth="1"/>
    <col min="40" max="16384" width="9" style="1"/>
  </cols>
  <sheetData>
    <row r="1" spans="1:37" ht="25.5">
      <c r="A1" s="3" t="s">
        <v>3</v>
      </c>
      <c r="E1" s="1">
        <v>4051</v>
      </c>
      <c r="G1" s="139" t="s">
        <v>27</v>
      </c>
      <c r="Q1" s="140" t="s">
        <v>55</v>
      </c>
      <c r="AA1" s="258" t="s">
        <v>56</v>
      </c>
      <c r="AK1" s="1" t="s">
        <v>57</v>
      </c>
    </row>
    <row r="2" spans="1:37" ht="55.5" customHeight="1">
      <c r="A2" s="13" t="s">
        <v>61</v>
      </c>
      <c r="B2" s="13"/>
      <c r="C2" s="14" t="s">
        <v>0</v>
      </c>
      <c r="D2" s="15" t="s">
        <v>1</v>
      </c>
      <c r="E2" s="15" t="s">
        <v>2</v>
      </c>
      <c r="F2" s="30"/>
      <c r="G2" s="31" t="s">
        <v>11</v>
      </c>
      <c r="H2" s="32" t="s">
        <v>13</v>
      </c>
      <c r="I2" s="315" t="s">
        <v>10</v>
      </c>
      <c r="J2" s="316"/>
      <c r="K2" s="58" t="s">
        <v>12</v>
      </c>
      <c r="L2" s="33" t="s">
        <v>9</v>
      </c>
      <c r="M2" s="38" t="s">
        <v>21</v>
      </c>
      <c r="N2" s="9"/>
      <c r="O2" s="34" t="s">
        <v>8</v>
      </c>
      <c r="Q2" s="31" t="s">
        <v>11</v>
      </c>
      <c r="R2" s="32" t="s">
        <v>13</v>
      </c>
      <c r="S2" s="315" t="s">
        <v>10</v>
      </c>
      <c r="T2" s="316"/>
      <c r="U2" s="58" t="s">
        <v>12</v>
      </c>
      <c r="V2" s="33" t="s">
        <v>9</v>
      </c>
      <c r="W2" s="38" t="s">
        <v>21</v>
      </c>
      <c r="X2" s="9"/>
      <c r="Y2" s="34" t="s">
        <v>8</v>
      </c>
      <c r="AA2" s="31" t="s">
        <v>11</v>
      </c>
      <c r="AB2" s="32" t="s">
        <v>13</v>
      </c>
      <c r="AC2" s="315" t="s">
        <v>10</v>
      </c>
      <c r="AD2" s="317"/>
      <c r="AE2" s="58" t="s">
        <v>12</v>
      </c>
      <c r="AF2" s="33" t="s">
        <v>9</v>
      </c>
      <c r="AG2" s="33" t="s">
        <v>21</v>
      </c>
      <c r="AH2" s="9"/>
      <c r="AI2" s="34" t="s">
        <v>8</v>
      </c>
      <c r="AJ2" s="275"/>
    </row>
    <row r="3" spans="1:37" hidden="1" outlineLevel="1">
      <c r="A3" s="16">
        <f>'[1]生産計画 (2)'!A4</f>
        <v>45099</v>
      </c>
      <c r="B3" s="17" t="str">
        <f>'[1]生産計画 (2)'!B4</f>
        <v>木</v>
      </c>
      <c r="C3" s="89">
        <f>'[1]生産計画 (2)'!C4</f>
        <v>66</v>
      </c>
      <c r="D3" s="18">
        <f>'[1]生産計画 (2)'!D4</f>
        <v>66</v>
      </c>
      <c r="E3" s="18">
        <f>'[1]生産計画 (2)'!E4</f>
        <v>0</v>
      </c>
      <c r="F3" s="2"/>
      <c r="G3" s="19">
        <v>60</v>
      </c>
      <c r="H3" s="62"/>
      <c r="I3" s="20"/>
      <c r="J3" s="21"/>
      <c r="K3" s="57">
        <v>66</v>
      </c>
      <c r="L3" s="23">
        <v>-336</v>
      </c>
      <c r="M3" s="23">
        <f>L3</f>
        <v>-336</v>
      </c>
      <c r="N3" s="23"/>
      <c r="O3" s="23">
        <v>5</v>
      </c>
      <c r="X3" s="23"/>
      <c r="Y3" s="23">
        <v>5</v>
      </c>
    </row>
    <row r="4" spans="1:37" hidden="1" outlineLevel="1">
      <c r="A4" s="16">
        <f>'[1]生産計画 (2)'!A5</f>
        <v>45100</v>
      </c>
      <c r="B4" s="17" t="str">
        <f>'[1]生産計画 (2)'!B5</f>
        <v>金</v>
      </c>
      <c r="C4" s="89">
        <f>'[1]生産計画 (2)'!C5</f>
        <v>66</v>
      </c>
      <c r="D4" s="18">
        <f>'[1]生産計画 (2)'!D5</f>
        <v>66</v>
      </c>
      <c r="E4" s="18">
        <f>'[1]生産計画 (2)'!E5</f>
        <v>0</v>
      </c>
      <c r="F4" s="2"/>
      <c r="G4" s="19">
        <v>78</v>
      </c>
      <c r="H4" s="62">
        <v>66</v>
      </c>
      <c r="I4" s="20"/>
      <c r="J4" s="21"/>
      <c r="K4" s="57">
        <v>66</v>
      </c>
      <c r="L4" s="23">
        <f t="shared" ref="L4:L66" si="0">L3-G4+K4</f>
        <v>-348</v>
      </c>
      <c r="M4" s="23">
        <f t="shared" ref="M4:M34" si="1">M3-G4+H4</f>
        <v>-348</v>
      </c>
      <c r="N4" s="23"/>
      <c r="O4" s="23">
        <v>20</v>
      </c>
      <c r="X4" s="23"/>
      <c r="Y4" s="23">
        <v>20</v>
      </c>
    </row>
    <row r="5" spans="1:37" s="12" customFormat="1" hidden="1" outlineLevel="1">
      <c r="A5" s="24">
        <f>'[1]生産計画 (2)'!A6</f>
        <v>45101</v>
      </c>
      <c r="B5" s="25" t="str">
        <f>'[1]生産計画 (2)'!B6</f>
        <v>土</v>
      </c>
      <c r="C5" s="91">
        <f>'[1]生産計画 (2)'!C6</f>
        <v>66</v>
      </c>
      <c r="D5" s="26">
        <f>'[1]生産計画 (2)'!D6</f>
        <v>30</v>
      </c>
      <c r="E5" s="26">
        <f>'[1]生産計画 (2)'!E6</f>
        <v>-36</v>
      </c>
      <c r="F5" s="10"/>
      <c r="G5" s="64">
        <v>0</v>
      </c>
      <c r="H5" s="63"/>
      <c r="I5" s="27"/>
      <c r="J5" s="28"/>
      <c r="K5" s="57"/>
      <c r="L5" s="29">
        <f t="shared" si="0"/>
        <v>-348</v>
      </c>
      <c r="M5" s="29">
        <f t="shared" si="1"/>
        <v>-348</v>
      </c>
      <c r="N5" s="29"/>
      <c r="O5" s="29"/>
      <c r="X5" s="29"/>
      <c r="Y5" s="29"/>
      <c r="Z5" s="1"/>
      <c r="AA5" s="1"/>
      <c r="AB5" s="1"/>
      <c r="AC5" s="1"/>
      <c r="AD5" s="1"/>
      <c r="AE5" s="1"/>
      <c r="AF5" s="1"/>
      <c r="AG5" s="1"/>
      <c r="AH5"/>
      <c r="AI5"/>
      <c r="AJ5"/>
    </row>
    <row r="6" spans="1:37" s="12" customFormat="1" hidden="1" outlineLevel="1">
      <c r="A6" s="24">
        <f>'[1]生産計画 (2)'!A7</f>
        <v>45102</v>
      </c>
      <c r="B6" s="25" t="str">
        <f>'[1]生産計画 (2)'!B7</f>
        <v>日</v>
      </c>
      <c r="C6" s="91">
        <f>'[1]生産計画 (2)'!C7</f>
        <v>0</v>
      </c>
      <c r="D6" s="26">
        <f>'[1]生産計画 (2)'!D7</f>
        <v>0</v>
      </c>
      <c r="E6" s="26">
        <f>'[1]生産計画 (2)'!E7</f>
        <v>-36</v>
      </c>
      <c r="F6" s="10"/>
      <c r="G6" s="64">
        <v>0</v>
      </c>
      <c r="H6" s="63"/>
      <c r="I6" s="27"/>
      <c r="J6" s="28"/>
      <c r="K6" s="57"/>
      <c r="L6" s="29">
        <f t="shared" si="0"/>
        <v>-348</v>
      </c>
      <c r="M6" s="29">
        <f t="shared" si="1"/>
        <v>-348</v>
      </c>
      <c r="N6" s="29"/>
      <c r="O6" s="29"/>
      <c r="X6" s="29"/>
      <c r="Y6" s="29"/>
      <c r="Z6" s="1"/>
      <c r="AA6" s="1"/>
      <c r="AB6" s="1"/>
      <c r="AC6" s="1"/>
      <c r="AD6" s="1"/>
      <c r="AE6" s="1"/>
      <c r="AF6" s="1"/>
      <c r="AG6" s="1"/>
      <c r="AH6"/>
      <c r="AI6"/>
      <c r="AJ6"/>
    </row>
    <row r="7" spans="1:37" hidden="1" outlineLevel="1">
      <c r="A7" s="16">
        <f>'[1]生産計画 (2)'!A8</f>
        <v>45103</v>
      </c>
      <c r="B7" s="17" t="str">
        <f>'[1]生産計画 (2)'!B8</f>
        <v>月</v>
      </c>
      <c r="C7" s="89">
        <f>'[1]生産計画 (2)'!C8</f>
        <v>66</v>
      </c>
      <c r="D7" s="18">
        <f>'[1]生産計画 (2)'!D8</f>
        <v>102</v>
      </c>
      <c r="E7" s="18">
        <f>'[1]生産計画 (2)'!E8</f>
        <v>0</v>
      </c>
      <c r="F7" s="2"/>
      <c r="G7" s="19">
        <v>54</v>
      </c>
      <c r="H7" s="62">
        <f>C3+I7</f>
        <v>84</v>
      </c>
      <c r="I7" s="20">
        <v>18</v>
      </c>
      <c r="J7" s="21"/>
      <c r="K7" s="57">
        <v>84</v>
      </c>
      <c r="L7" s="23">
        <f t="shared" si="0"/>
        <v>-318</v>
      </c>
      <c r="M7" s="23">
        <f t="shared" si="1"/>
        <v>-318</v>
      </c>
      <c r="N7" s="23"/>
      <c r="O7" s="23">
        <v>11</v>
      </c>
      <c r="X7" s="23"/>
      <c r="Y7" s="23">
        <v>11</v>
      </c>
    </row>
    <row r="8" spans="1:37" hidden="1" outlineLevel="1">
      <c r="A8" s="16">
        <f>'[1]生産計画 (2)'!A9</f>
        <v>45104</v>
      </c>
      <c r="B8" s="17" t="str">
        <f>'[1]生産計画 (2)'!B9</f>
        <v>火</v>
      </c>
      <c r="C8" s="89">
        <f>'[1]生産計画 (2)'!C9</f>
        <v>66</v>
      </c>
      <c r="D8" s="18">
        <f>'[1]生産計画 (2)'!D9</f>
        <v>70</v>
      </c>
      <c r="E8" s="18">
        <f>'[1]生産計画 (2)'!E9</f>
        <v>4</v>
      </c>
      <c r="F8" s="2"/>
      <c r="G8" s="19">
        <v>45</v>
      </c>
      <c r="H8" s="62">
        <f>C4+I8</f>
        <v>78</v>
      </c>
      <c r="I8" s="20">
        <v>12</v>
      </c>
      <c r="J8" s="21"/>
      <c r="K8" s="57">
        <v>78</v>
      </c>
      <c r="L8" s="23">
        <f t="shared" si="0"/>
        <v>-285</v>
      </c>
      <c r="M8" s="23">
        <f t="shared" si="1"/>
        <v>-285</v>
      </c>
      <c r="N8" s="23"/>
      <c r="O8" s="23">
        <v>0</v>
      </c>
      <c r="X8" s="23"/>
      <c r="Y8" s="23">
        <v>0</v>
      </c>
    </row>
    <row r="9" spans="1:37" hidden="1" outlineLevel="1">
      <c r="A9" s="16">
        <f>'[1]生産計画 (2)'!A10</f>
        <v>45105</v>
      </c>
      <c r="B9" s="17" t="str">
        <f>'[1]生産計画 (2)'!B10</f>
        <v>水</v>
      </c>
      <c r="C9" s="89">
        <f>'[1]生産計画 (2)'!C10</f>
        <v>66</v>
      </c>
      <c r="D9" s="18">
        <f>'[1]生産計画 (2)'!D10</f>
        <v>73</v>
      </c>
      <c r="E9" s="18">
        <f>'[1]生産計画 (2)'!E10</f>
        <v>11</v>
      </c>
      <c r="F9" s="2"/>
      <c r="G9" s="19">
        <v>54</v>
      </c>
      <c r="H9" s="62">
        <f t="shared" ref="H9:H10" si="2">C7+I9</f>
        <v>78</v>
      </c>
      <c r="I9" s="20">
        <v>12</v>
      </c>
      <c r="J9" s="21"/>
      <c r="K9" s="57">
        <v>78</v>
      </c>
      <c r="L9" s="23">
        <f t="shared" si="0"/>
        <v>-261</v>
      </c>
      <c r="M9" s="23">
        <f t="shared" si="1"/>
        <v>-261</v>
      </c>
      <c r="N9" s="23"/>
      <c r="O9" s="23">
        <v>19</v>
      </c>
      <c r="X9" s="23"/>
      <c r="Y9" s="23">
        <v>19</v>
      </c>
    </row>
    <row r="10" spans="1:37" hidden="1" outlineLevel="1">
      <c r="A10" s="16">
        <f>'[1]生産計画 (2)'!A11</f>
        <v>45106</v>
      </c>
      <c r="B10" s="17" t="str">
        <f>'[1]生産計画 (2)'!B11</f>
        <v>木</v>
      </c>
      <c r="C10" s="89">
        <f>'[1]生産計画 (2)'!C11</f>
        <v>66</v>
      </c>
      <c r="D10" s="18">
        <f>'[1]生産計画 (2)'!D11</f>
        <v>73</v>
      </c>
      <c r="E10" s="18">
        <f>'[1]生産計画 (2)'!E11</f>
        <v>18</v>
      </c>
      <c r="F10" s="2"/>
      <c r="G10" s="19">
        <v>78</v>
      </c>
      <c r="H10" s="62">
        <f t="shared" si="2"/>
        <v>78</v>
      </c>
      <c r="I10" s="20">
        <v>12</v>
      </c>
      <c r="J10" s="21"/>
      <c r="K10" s="57">
        <v>78</v>
      </c>
      <c r="L10" s="23">
        <f t="shared" si="0"/>
        <v>-261</v>
      </c>
      <c r="M10" s="23">
        <f t="shared" si="1"/>
        <v>-261</v>
      </c>
      <c r="N10" s="23"/>
      <c r="O10" s="23">
        <v>21</v>
      </c>
      <c r="X10" s="23"/>
      <c r="Y10" s="23">
        <v>21</v>
      </c>
    </row>
    <row r="11" spans="1:37" hidden="1" outlineLevel="1">
      <c r="A11" s="16">
        <f>'[1]生産計画 (2)'!A12</f>
        <v>45107</v>
      </c>
      <c r="B11" s="17" t="str">
        <f>'[1]生産計画 (2)'!B12</f>
        <v>金</v>
      </c>
      <c r="C11" s="89">
        <f>'[1]生産計画 (2)'!C12</f>
        <v>66</v>
      </c>
      <c r="D11" s="18">
        <f>'[1]生産計画 (2)'!D12</f>
        <v>54</v>
      </c>
      <c r="E11" s="18">
        <f>'[1]生産計画 (2)'!E12</f>
        <v>6</v>
      </c>
      <c r="F11" s="2"/>
      <c r="G11" s="19">
        <v>60</v>
      </c>
      <c r="H11" s="62">
        <f>C9+I11</f>
        <v>78</v>
      </c>
      <c r="I11" s="20">
        <v>12</v>
      </c>
      <c r="J11" s="21">
        <f>SUM(I7:I11)</f>
        <v>66</v>
      </c>
      <c r="K11" s="57">
        <v>78</v>
      </c>
      <c r="L11" s="23">
        <f t="shared" si="0"/>
        <v>-243</v>
      </c>
      <c r="M11" s="23">
        <f t="shared" si="1"/>
        <v>-243</v>
      </c>
      <c r="N11" s="23"/>
      <c r="O11" s="23">
        <v>13</v>
      </c>
      <c r="X11" s="23"/>
      <c r="Y11" s="23">
        <v>13</v>
      </c>
    </row>
    <row r="12" spans="1:37" s="12" customFormat="1" hidden="1" outlineLevel="1">
      <c r="A12" s="24">
        <f>'[1]生産計画 (2)'!A13</f>
        <v>45108</v>
      </c>
      <c r="B12" s="25" t="str">
        <f>'[1]生産計画 (2)'!B13</f>
        <v>土</v>
      </c>
      <c r="C12" s="91">
        <f>'[1]生産計画 (2)'!C13</f>
        <v>40</v>
      </c>
      <c r="D12" s="26">
        <f>'[1]生産計画 (2)'!D13</f>
        <v>69</v>
      </c>
      <c r="E12" s="26">
        <f>'[1]生産計画 (2)'!E13</f>
        <v>35</v>
      </c>
      <c r="F12" s="10"/>
      <c r="G12" s="64">
        <v>0</v>
      </c>
      <c r="H12" s="63"/>
      <c r="I12" s="27"/>
      <c r="J12" s="28"/>
      <c r="K12" s="57"/>
      <c r="L12" s="29">
        <f t="shared" si="0"/>
        <v>-243</v>
      </c>
      <c r="M12" s="29">
        <f t="shared" si="1"/>
        <v>-243</v>
      </c>
      <c r="N12" s="29"/>
      <c r="O12" s="29"/>
      <c r="X12" s="29"/>
      <c r="Y12" s="29"/>
      <c r="Z12" s="1"/>
      <c r="AA12" s="1"/>
      <c r="AB12" s="1"/>
      <c r="AC12" s="1"/>
      <c r="AD12" s="1"/>
      <c r="AE12" s="1"/>
      <c r="AF12" s="1"/>
      <c r="AG12" s="1"/>
      <c r="AH12"/>
      <c r="AI12"/>
      <c r="AJ12"/>
    </row>
    <row r="13" spans="1:37" s="12" customFormat="1" hidden="1" outlineLevel="1">
      <c r="A13" s="24">
        <f>'[1]生産計画 (2)'!A14</f>
        <v>45109</v>
      </c>
      <c r="B13" s="25" t="str">
        <f>'[1]生産計画 (2)'!B14</f>
        <v>日</v>
      </c>
      <c r="C13" s="91">
        <f>'[1]生産計画 (2)'!C14</f>
        <v>0</v>
      </c>
      <c r="D13" s="26">
        <f>'[1]生産計画 (2)'!D14</f>
        <v>0</v>
      </c>
      <c r="E13" s="26">
        <f>'[1]生産計画 (2)'!E14</f>
        <v>35</v>
      </c>
      <c r="F13" s="10"/>
      <c r="G13" s="64">
        <v>0</v>
      </c>
      <c r="H13" s="63"/>
      <c r="I13" s="27"/>
      <c r="J13" s="28"/>
      <c r="K13" s="57"/>
      <c r="L13" s="29">
        <f t="shared" si="0"/>
        <v>-243</v>
      </c>
      <c r="M13" s="29">
        <f t="shared" si="1"/>
        <v>-243</v>
      </c>
      <c r="N13" s="29"/>
      <c r="O13" s="29"/>
      <c r="X13" s="29"/>
      <c r="Y13" s="29"/>
      <c r="Z13" s="1"/>
      <c r="AA13" s="1"/>
      <c r="AB13" s="1"/>
      <c r="AC13" s="1"/>
      <c r="AD13" s="1"/>
      <c r="AE13" s="1"/>
      <c r="AF13" s="1"/>
      <c r="AG13" s="1"/>
      <c r="AH13"/>
      <c r="AI13"/>
      <c r="AJ13"/>
    </row>
    <row r="14" spans="1:37" s="12" customFormat="1" hidden="1" outlineLevel="1">
      <c r="A14" s="24">
        <f>'[1]生産計画 (2)'!A15</f>
        <v>45110</v>
      </c>
      <c r="B14" s="25" t="str">
        <f>'[1]生産計画 (2)'!B15</f>
        <v>月</v>
      </c>
      <c r="C14" s="91">
        <f>'[1]生産計画 (2)'!C15</f>
        <v>66</v>
      </c>
      <c r="D14" s="26">
        <f>'[1]生産計画 (2)'!D15</f>
        <v>65</v>
      </c>
      <c r="E14" s="26">
        <f>'[1]生産計画 (2)'!E15</f>
        <v>34</v>
      </c>
      <c r="F14" s="10"/>
      <c r="G14" s="64">
        <v>0</v>
      </c>
      <c r="H14" s="63">
        <f>C10+I14</f>
        <v>84</v>
      </c>
      <c r="I14" s="27">
        <v>18</v>
      </c>
      <c r="J14" s="28"/>
      <c r="K14" s="57">
        <v>84</v>
      </c>
      <c r="L14" s="29">
        <f t="shared" si="0"/>
        <v>-159</v>
      </c>
      <c r="M14" s="29">
        <f t="shared" si="1"/>
        <v>-159</v>
      </c>
      <c r="N14" s="29"/>
      <c r="O14" s="29">
        <v>10</v>
      </c>
      <c r="X14" s="29"/>
      <c r="Y14" s="29">
        <v>10</v>
      </c>
      <c r="Z14" s="1"/>
      <c r="AA14" s="1"/>
      <c r="AB14" s="1"/>
      <c r="AC14" s="1"/>
      <c r="AD14" s="1"/>
      <c r="AE14" s="1"/>
      <c r="AF14" s="1"/>
      <c r="AG14" s="1"/>
      <c r="AH14"/>
      <c r="AI14"/>
      <c r="AJ14"/>
    </row>
    <row r="15" spans="1:37" hidden="1" outlineLevel="1">
      <c r="A15" s="16">
        <f>'[1]生産計画 (2)'!A16</f>
        <v>45111</v>
      </c>
      <c r="B15" s="17" t="str">
        <f>'[1]生産計画 (2)'!B16</f>
        <v>火</v>
      </c>
      <c r="C15" s="89">
        <f>'[1]生産計画 (2)'!C16</f>
        <v>66</v>
      </c>
      <c r="D15" s="18">
        <f>'[1]生産計画 (2)'!D16</f>
        <v>62</v>
      </c>
      <c r="E15" s="18">
        <f>'[1]生産計画 (2)'!E16</f>
        <v>30</v>
      </c>
      <c r="F15" s="2"/>
      <c r="G15" s="83">
        <v>78</v>
      </c>
      <c r="H15" s="62">
        <f>C11+I15</f>
        <v>78</v>
      </c>
      <c r="I15" s="20">
        <v>12</v>
      </c>
      <c r="J15" s="21"/>
      <c r="K15" s="57">
        <v>78</v>
      </c>
      <c r="L15" s="23">
        <f t="shared" si="0"/>
        <v>-159</v>
      </c>
      <c r="M15" s="23">
        <f t="shared" si="1"/>
        <v>-159</v>
      </c>
      <c r="N15" s="23"/>
      <c r="O15" s="23">
        <v>3</v>
      </c>
      <c r="X15" s="23"/>
      <c r="Y15" s="23">
        <v>3</v>
      </c>
    </row>
    <row r="16" spans="1:37" hidden="1" outlineLevel="1">
      <c r="A16" s="16">
        <f>'[1]生産計画 (2)'!A17</f>
        <v>45112</v>
      </c>
      <c r="B16" s="17" t="str">
        <f>'[1]生産計画 (2)'!B17</f>
        <v>水</v>
      </c>
      <c r="C16" s="89">
        <f>'[1]生産計画 (2)'!C17</f>
        <v>66</v>
      </c>
      <c r="D16" s="18">
        <f>'[1]生産計画 (2)'!D17</f>
        <v>67</v>
      </c>
      <c r="E16" s="18">
        <f>'[1]生産計画 (2)'!E17</f>
        <v>31</v>
      </c>
      <c r="F16" s="2"/>
      <c r="G16" s="83">
        <v>42</v>
      </c>
      <c r="H16" s="62">
        <f>C14+I16</f>
        <v>78</v>
      </c>
      <c r="I16" s="20">
        <v>12</v>
      </c>
      <c r="J16" s="21"/>
      <c r="K16" s="57">
        <v>78</v>
      </c>
      <c r="L16" s="23">
        <f t="shared" si="0"/>
        <v>-123</v>
      </c>
      <c r="M16" s="23">
        <f t="shared" si="1"/>
        <v>-123</v>
      </c>
      <c r="N16" s="23"/>
      <c r="O16" s="23">
        <v>14</v>
      </c>
      <c r="X16" s="23"/>
      <c r="Y16" s="23">
        <v>14</v>
      </c>
    </row>
    <row r="17" spans="1:36" hidden="1" outlineLevel="1">
      <c r="A17" s="16">
        <f>'[1]生産計画 (2)'!A18</f>
        <v>45113</v>
      </c>
      <c r="B17" s="17" t="str">
        <f>'[1]生産計画 (2)'!B18</f>
        <v>木</v>
      </c>
      <c r="C17" s="89">
        <f>'[1]生産計画 (2)'!C18</f>
        <v>66</v>
      </c>
      <c r="D17" s="18">
        <f>'[1]生産計画 (2)'!D18</f>
        <v>75</v>
      </c>
      <c r="E17" s="18">
        <f>'[1]生産計画 (2)'!E18</f>
        <v>40</v>
      </c>
      <c r="F17" s="2"/>
      <c r="G17" s="83">
        <v>29</v>
      </c>
      <c r="H17" s="62">
        <f>C15+I17</f>
        <v>78</v>
      </c>
      <c r="I17" s="20">
        <v>12</v>
      </c>
      <c r="J17" s="21"/>
      <c r="K17" s="57">
        <v>80</v>
      </c>
      <c r="L17" s="23">
        <f t="shared" si="0"/>
        <v>-72</v>
      </c>
      <c r="M17" s="23">
        <f>M16-G17+H17+2</f>
        <v>-72</v>
      </c>
      <c r="N17" s="23"/>
      <c r="O17" s="23">
        <v>0</v>
      </c>
      <c r="X17" s="23"/>
      <c r="Y17" s="23">
        <v>0</v>
      </c>
    </row>
    <row r="18" spans="1:36" hidden="1" outlineLevel="1">
      <c r="A18" s="16">
        <f>'[1]生産計画 (2)'!A19</f>
        <v>45114</v>
      </c>
      <c r="B18" s="17" t="str">
        <f>'[1]生産計画 (2)'!B19</f>
        <v>金</v>
      </c>
      <c r="C18" s="89">
        <f>'[1]生産計画 (2)'!C19</f>
        <v>66</v>
      </c>
      <c r="D18" s="18">
        <f>'[1]生産計画 (2)'!D19</f>
        <v>67</v>
      </c>
      <c r="E18" s="18">
        <f>'[1]生産計画 (2)'!E19</f>
        <v>41</v>
      </c>
      <c r="F18" s="2"/>
      <c r="G18" s="83">
        <v>75</v>
      </c>
      <c r="H18" s="62">
        <f>C16+I18</f>
        <v>78</v>
      </c>
      <c r="I18" s="20">
        <v>12</v>
      </c>
      <c r="J18" s="21">
        <f>SUM(I14:I18)</f>
        <v>66</v>
      </c>
      <c r="K18" s="57">
        <v>78</v>
      </c>
      <c r="L18" s="23">
        <f t="shared" si="0"/>
        <v>-69</v>
      </c>
      <c r="M18" s="23">
        <f t="shared" si="1"/>
        <v>-69</v>
      </c>
      <c r="N18" s="23"/>
      <c r="O18" s="23">
        <v>23</v>
      </c>
      <c r="X18" s="23"/>
      <c r="Y18" s="23">
        <v>23</v>
      </c>
    </row>
    <row r="19" spans="1:36" s="12" customFormat="1" hidden="1" outlineLevel="1">
      <c r="A19" s="24">
        <f>'[1]生産計画 (2)'!A20</f>
        <v>45115</v>
      </c>
      <c r="B19" s="25" t="str">
        <f>'[1]生産計画 (2)'!B20</f>
        <v>土</v>
      </c>
      <c r="C19" s="91">
        <v>42</v>
      </c>
      <c r="D19" s="26">
        <f>'[1]生産計画 (2)'!D20</f>
        <v>44</v>
      </c>
      <c r="E19" s="26">
        <f>'[1]生産計画 (2)'!E20</f>
        <v>45</v>
      </c>
      <c r="F19" s="10"/>
      <c r="G19" s="64">
        <v>0</v>
      </c>
      <c r="H19" s="63"/>
      <c r="I19" s="27"/>
      <c r="J19" s="28"/>
      <c r="K19" s="43"/>
      <c r="L19" s="29">
        <f t="shared" si="0"/>
        <v>-69</v>
      </c>
      <c r="M19" s="29">
        <f t="shared" si="1"/>
        <v>-69</v>
      </c>
      <c r="N19" s="29"/>
      <c r="O19" s="29"/>
      <c r="X19" s="29"/>
      <c r="Y19" s="29"/>
      <c r="Z19" s="1"/>
      <c r="AA19" s="1"/>
      <c r="AB19" s="1"/>
      <c r="AC19" s="1"/>
      <c r="AD19" s="1"/>
      <c r="AE19" s="1"/>
      <c r="AF19" s="1"/>
      <c r="AG19" s="1"/>
      <c r="AH19"/>
      <c r="AI19"/>
      <c r="AJ19"/>
    </row>
    <row r="20" spans="1:36" s="12" customFormat="1" hidden="1" outlineLevel="1">
      <c r="A20" s="24">
        <f>'[1]生産計画 (2)'!A21</f>
        <v>45116</v>
      </c>
      <c r="B20" s="25" t="str">
        <f>'[1]生産計画 (2)'!B21</f>
        <v>日</v>
      </c>
      <c r="C20" s="91">
        <f>'[1]生産計画 (2)'!C21</f>
        <v>0</v>
      </c>
      <c r="D20" s="26">
        <f>'[1]生産計画 (2)'!D21</f>
        <v>0</v>
      </c>
      <c r="E20" s="26">
        <f>'[1]生産計画 (2)'!E21</f>
        <v>45</v>
      </c>
      <c r="F20" s="10"/>
      <c r="G20" s="64">
        <v>0</v>
      </c>
      <c r="H20" s="63"/>
      <c r="I20" s="27"/>
      <c r="J20" s="28"/>
      <c r="K20" s="43"/>
      <c r="L20" s="29">
        <f t="shared" si="0"/>
        <v>-69</v>
      </c>
      <c r="M20" s="29">
        <f t="shared" si="1"/>
        <v>-69</v>
      </c>
      <c r="N20" s="29"/>
      <c r="O20" s="29"/>
      <c r="X20" s="29"/>
      <c r="Y20" s="29"/>
      <c r="Z20" s="1"/>
      <c r="AA20" s="1"/>
      <c r="AB20" s="1"/>
      <c r="AC20" s="1"/>
      <c r="AD20" s="1"/>
      <c r="AE20" s="1"/>
      <c r="AF20" s="1"/>
      <c r="AG20" s="1"/>
      <c r="AH20"/>
      <c r="AI20"/>
      <c r="AJ20"/>
    </row>
    <row r="21" spans="1:36" hidden="1" outlineLevel="1">
      <c r="A21" s="16">
        <f>'[1]生産計画 (2)'!A22</f>
        <v>45117</v>
      </c>
      <c r="B21" s="17" t="str">
        <f>'[1]生産計画 (2)'!B22</f>
        <v>月</v>
      </c>
      <c r="C21" s="89">
        <f>'[1]生産計画 (2)'!C22</f>
        <v>66</v>
      </c>
      <c r="D21" s="18">
        <f>'[1]生産計画 (2)'!D22</f>
        <v>74</v>
      </c>
      <c r="E21" s="18">
        <f>'[1]生産計画 (2)'!E22</f>
        <v>53</v>
      </c>
      <c r="F21" s="2"/>
      <c r="G21" s="83">
        <v>54</v>
      </c>
      <c r="H21" s="62">
        <f>C17+I21</f>
        <v>84</v>
      </c>
      <c r="I21" s="20">
        <v>18</v>
      </c>
      <c r="J21" s="21"/>
      <c r="K21" s="57">
        <v>84</v>
      </c>
      <c r="L21" s="23">
        <f t="shared" si="0"/>
        <v>-39</v>
      </c>
      <c r="M21" s="23">
        <f t="shared" si="1"/>
        <v>-39</v>
      </c>
      <c r="N21" s="23"/>
      <c r="O21" s="23">
        <v>10</v>
      </c>
      <c r="X21" s="23"/>
      <c r="Y21" s="23">
        <v>10</v>
      </c>
    </row>
    <row r="22" spans="1:36" hidden="1" outlineLevel="1">
      <c r="A22" s="16">
        <f>'[1]生産計画 (2)'!A23</f>
        <v>45118</v>
      </c>
      <c r="B22" s="17" t="str">
        <f>'[1]生産計画 (2)'!B23</f>
        <v>火</v>
      </c>
      <c r="C22" s="89">
        <f>'[1]生産計画 (2)'!C23</f>
        <v>66</v>
      </c>
      <c r="D22" s="18">
        <f>'[1]生産計画 (2)'!D23</f>
        <v>67</v>
      </c>
      <c r="E22" s="18">
        <f>'[1]生産計画 (2)'!E23</f>
        <v>54</v>
      </c>
      <c r="F22" s="2"/>
      <c r="G22" s="83">
        <v>135</v>
      </c>
      <c r="H22" s="62">
        <f>C18+I22</f>
        <v>78</v>
      </c>
      <c r="I22" s="20">
        <v>12</v>
      </c>
      <c r="J22" s="21"/>
      <c r="K22" s="57">
        <v>78</v>
      </c>
      <c r="L22" s="23">
        <f>L21-G22+K22</f>
        <v>-96</v>
      </c>
      <c r="M22" s="23">
        <f t="shared" si="1"/>
        <v>-96</v>
      </c>
      <c r="N22" s="23"/>
      <c r="O22" s="23">
        <v>8</v>
      </c>
      <c r="X22" s="23"/>
      <c r="Y22" s="23">
        <v>8</v>
      </c>
    </row>
    <row r="23" spans="1:36" hidden="1" outlineLevel="1">
      <c r="A23" s="16">
        <f>'[1]生産計画 (2)'!A24</f>
        <v>45119</v>
      </c>
      <c r="B23" s="17" t="str">
        <f>'[1]生産計画 (2)'!B24</f>
        <v>水</v>
      </c>
      <c r="C23" s="89">
        <f>'[1]生産計画 (2)'!C24</f>
        <v>66</v>
      </c>
      <c r="D23" s="18">
        <f>'[1]生産計画 (2)'!D24</f>
        <v>54</v>
      </c>
      <c r="E23" s="18">
        <f>'[1]生産計画 (2)'!E24</f>
        <v>42</v>
      </c>
      <c r="F23" s="2"/>
      <c r="G23" s="83">
        <v>60</v>
      </c>
      <c r="H23" s="62">
        <f>C21+I23</f>
        <v>78</v>
      </c>
      <c r="I23" s="20">
        <v>12</v>
      </c>
      <c r="J23" s="21">
        <f>SUM(I21:I23)</f>
        <v>42</v>
      </c>
      <c r="K23" s="57">
        <v>78</v>
      </c>
      <c r="L23" s="23">
        <f>L22-G23+K23</f>
        <v>-78</v>
      </c>
      <c r="M23" s="23">
        <f t="shared" si="1"/>
        <v>-78</v>
      </c>
      <c r="N23" s="23"/>
      <c r="O23" s="23">
        <v>11</v>
      </c>
      <c r="X23" s="23"/>
      <c r="Y23" s="23">
        <v>11</v>
      </c>
    </row>
    <row r="24" spans="1:36" hidden="1" outlineLevel="1">
      <c r="A24" s="16">
        <f>'[1]生産計画 (2)'!A25</f>
        <v>45120</v>
      </c>
      <c r="B24" s="17" t="str">
        <f>'[1]生産計画 (2)'!B25</f>
        <v>木</v>
      </c>
      <c r="C24" s="89">
        <f>'[1]生産計画 (2)'!C25</f>
        <v>66</v>
      </c>
      <c r="D24" s="18">
        <f>'[1]生産計画 (2)'!D25</f>
        <v>95</v>
      </c>
      <c r="E24" s="18">
        <f>'[1]生産計画 (2)'!E25</f>
        <v>71</v>
      </c>
      <c r="F24" s="2"/>
      <c r="G24" s="83">
        <v>75</v>
      </c>
      <c r="H24" s="62">
        <f>C22+I24</f>
        <v>66</v>
      </c>
      <c r="I24" s="20"/>
      <c r="J24" s="21"/>
      <c r="K24" s="57">
        <v>66</v>
      </c>
      <c r="L24" s="23">
        <f>L23-G24+K24</f>
        <v>-87</v>
      </c>
      <c r="M24" s="23">
        <f>M23-G24+H24</f>
        <v>-87</v>
      </c>
      <c r="N24" s="23"/>
      <c r="O24" s="23">
        <v>10</v>
      </c>
      <c r="X24" s="23"/>
      <c r="Y24" s="23">
        <v>10</v>
      </c>
    </row>
    <row r="25" spans="1:36" hidden="1" outlineLevel="1">
      <c r="A25" s="16">
        <f>'[1]生産計画 (2)'!A26</f>
        <v>45121</v>
      </c>
      <c r="B25" s="17" t="str">
        <f>'[1]生産計画 (2)'!B26</f>
        <v>金</v>
      </c>
      <c r="C25" s="90">
        <f>'[1]生産計画 (2)'!C26</f>
        <v>66</v>
      </c>
      <c r="D25" s="18">
        <f>'[1]生産計画 (2)'!D26</f>
        <v>74</v>
      </c>
      <c r="E25" s="18">
        <f>'[1]生産計画 (2)'!E26</f>
        <v>79</v>
      </c>
      <c r="F25" s="2"/>
      <c r="G25" s="83">
        <v>60</v>
      </c>
      <c r="H25" s="62">
        <f>C23+I25</f>
        <v>66</v>
      </c>
      <c r="I25" s="20"/>
      <c r="J25" s="21"/>
      <c r="K25" s="57">
        <v>66</v>
      </c>
      <c r="L25" s="23">
        <f>L24-G25+K25</f>
        <v>-81</v>
      </c>
      <c r="M25" s="23">
        <f t="shared" si="1"/>
        <v>-81</v>
      </c>
      <c r="N25" s="23"/>
      <c r="O25" s="23">
        <v>11</v>
      </c>
      <c r="X25" s="23"/>
      <c r="Y25" s="23">
        <v>11</v>
      </c>
    </row>
    <row r="26" spans="1:36" s="12" customFormat="1" hidden="1" outlineLevel="1">
      <c r="A26" s="24">
        <f>'[1]生産計画 (2)'!A27</f>
        <v>45122</v>
      </c>
      <c r="B26" s="25" t="str">
        <f>'[1]生産計画 (2)'!B27</f>
        <v>土</v>
      </c>
      <c r="C26" s="91">
        <f>'[1]生産計画 (2)'!C27</f>
        <v>0</v>
      </c>
      <c r="D26" s="26">
        <f>'[1]生産計画 (2)'!D27</f>
        <v>0</v>
      </c>
      <c r="E26" s="26">
        <f>'[1]生産計画 (2)'!E27</f>
        <v>79</v>
      </c>
      <c r="F26" s="10"/>
      <c r="G26" s="64">
        <v>0</v>
      </c>
      <c r="H26" s="63"/>
      <c r="I26" s="27"/>
      <c r="J26" s="28"/>
      <c r="K26" s="43"/>
      <c r="L26" s="29">
        <f t="shared" si="0"/>
        <v>-81</v>
      </c>
      <c r="M26" s="29">
        <f t="shared" si="1"/>
        <v>-81</v>
      </c>
      <c r="N26" s="29"/>
      <c r="O26" s="29"/>
      <c r="X26" s="29"/>
      <c r="Y26" s="29"/>
      <c r="Z26" s="1"/>
      <c r="AA26" s="1"/>
      <c r="AB26" s="1"/>
      <c r="AC26" s="1"/>
      <c r="AD26" s="1"/>
      <c r="AE26" s="1"/>
      <c r="AF26" s="1"/>
      <c r="AG26" s="1"/>
      <c r="AH26"/>
      <c r="AI26"/>
      <c r="AJ26"/>
    </row>
    <row r="27" spans="1:36" s="12" customFormat="1" hidden="1" outlineLevel="1">
      <c r="A27" s="24">
        <f>'[1]生産計画 (2)'!A28</f>
        <v>45123</v>
      </c>
      <c r="B27" s="25" t="str">
        <f>'[1]生産計画 (2)'!B28</f>
        <v>日</v>
      </c>
      <c r="C27" s="92">
        <f>'[1]生産計画 (2)'!C28</f>
        <v>0</v>
      </c>
      <c r="D27" s="26">
        <f>'[1]生産計画 (2)'!D28</f>
        <v>0</v>
      </c>
      <c r="E27" s="26">
        <f>'[1]生産計画 (2)'!E28</f>
        <v>79</v>
      </c>
      <c r="F27" s="10"/>
      <c r="G27" s="64">
        <v>0</v>
      </c>
      <c r="H27" s="63"/>
      <c r="I27" s="27"/>
      <c r="J27" s="28"/>
      <c r="K27" s="43"/>
      <c r="L27" s="29">
        <f t="shared" si="0"/>
        <v>-81</v>
      </c>
      <c r="M27" s="29">
        <f t="shared" si="1"/>
        <v>-81</v>
      </c>
      <c r="N27" s="29"/>
      <c r="O27" s="29"/>
      <c r="X27" s="29"/>
      <c r="Y27" s="29"/>
      <c r="Z27" s="1"/>
      <c r="AA27" s="1"/>
      <c r="AB27" s="1"/>
      <c r="AC27" s="1"/>
      <c r="AD27" s="1"/>
      <c r="AE27" s="1"/>
      <c r="AF27" s="1"/>
      <c r="AG27" s="1"/>
      <c r="AH27"/>
      <c r="AI27"/>
      <c r="AJ27"/>
    </row>
    <row r="28" spans="1:36" s="12" customFormat="1" hidden="1" outlineLevel="1">
      <c r="A28" s="24">
        <f>'[1]生産計画 (2)'!A29</f>
        <v>45124</v>
      </c>
      <c r="B28" s="81" t="str">
        <f>'[1]生産計画 (2)'!B29</f>
        <v>月</v>
      </c>
      <c r="C28" s="91">
        <f>'[1]生産計画 (2)'!C29</f>
        <v>66</v>
      </c>
      <c r="D28" s="72">
        <f>'[1]生産計画 (2)'!D29</f>
        <v>0</v>
      </c>
      <c r="E28" s="26">
        <f>'[1]生産計画 (2)'!E29</f>
        <v>13</v>
      </c>
      <c r="F28" s="10"/>
      <c r="G28" s="64">
        <v>0</v>
      </c>
      <c r="H28" s="63">
        <v>0</v>
      </c>
      <c r="I28" s="27"/>
      <c r="J28" s="28"/>
      <c r="K28" s="57">
        <v>0</v>
      </c>
      <c r="L28" s="29">
        <f t="shared" si="0"/>
        <v>-81</v>
      </c>
      <c r="M28" s="29">
        <f t="shared" si="1"/>
        <v>-81</v>
      </c>
      <c r="N28" s="29"/>
      <c r="O28" s="29"/>
      <c r="X28" s="29"/>
      <c r="Y28" s="29"/>
      <c r="Z28" s="1"/>
      <c r="AA28" s="1"/>
      <c r="AB28" s="1"/>
      <c r="AC28" s="1"/>
      <c r="AD28" s="1"/>
      <c r="AE28" s="1"/>
      <c r="AF28" s="1"/>
      <c r="AG28" s="1"/>
      <c r="AH28"/>
      <c r="AI28"/>
      <c r="AJ28"/>
    </row>
    <row r="29" spans="1:36" hidden="1" outlineLevel="1">
      <c r="A29" s="16">
        <f>'[1]生産計画 (2)'!A30</f>
        <v>45125</v>
      </c>
      <c r="B29" s="82" t="str">
        <f>'[1]生産計画 (2)'!B30</f>
        <v>火</v>
      </c>
      <c r="C29" s="89">
        <f>'[1]生産計画 (2)'!C30</f>
        <v>66</v>
      </c>
      <c r="D29" s="71">
        <f>'[1]生産計画 (2)'!D30</f>
        <v>66</v>
      </c>
      <c r="E29" s="18">
        <f>'[1]生産計画 (2)'!E30</f>
        <v>13</v>
      </c>
      <c r="F29" s="2"/>
      <c r="G29" s="83">
        <v>75</v>
      </c>
      <c r="H29" s="62">
        <f>C24+I29</f>
        <v>84</v>
      </c>
      <c r="I29" s="20">
        <v>18</v>
      </c>
      <c r="J29" s="21"/>
      <c r="K29" s="57">
        <v>84</v>
      </c>
      <c r="L29" s="23">
        <f t="shared" si="0"/>
        <v>-72</v>
      </c>
      <c r="M29" s="23">
        <f t="shared" si="1"/>
        <v>-72</v>
      </c>
      <c r="N29" s="23"/>
      <c r="O29" s="23">
        <v>10</v>
      </c>
      <c r="X29" s="23"/>
      <c r="Y29" s="23">
        <v>10</v>
      </c>
    </row>
    <row r="30" spans="1:36" hidden="1" outlineLevel="1">
      <c r="A30" s="16">
        <f>'[1]生産計画 (2)'!A31</f>
        <v>45126</v>
      </c>
      <c r="B30" s="82" t="str">
        <f>'[1]生産計画 (2)'!B31</f>
        <v>水</v>
      </c>
      <c r="C30" s="89">
        <f>'[1]生産計画 (2)'!C31</f>
        <v>66</v>
      </c>
      <c r="D30" s="71">
        <f>'[1]生産計画 (2)'!D31</f>
        <v>51</v>
      </c>
      <c r="E30" s="18">
        <f>'[1]生産計画 (2)'!E31</f>
        <v>-2</v>
      </c>
      <c r="F30" s="2"/>
      <c r="G30" s="83">
        <v>54</v>
      </c>
      <c r="H30" s="62">
        <f>C28+I30</f>
        <v>84</v>
      </c>
      <c r="I30" s="20">
        <v>18</v>
      </c>
      <c r="J30" s="21"/>
      <c r="K30" s="57">
        <v>84</v>
      </c>
      <c r="L30" s="23">
        <f t="shared" si="0"/>
        <v>-42</v>
      </c>
      <c r="M30" s="23">
        <f t="shared" si="1"/>
        <v>-42</v>
      </c>
      <c r="N30" s="23"/>
      <c r="O30" s="23">
        <v>10</v>
      </c>
      <c r="X30" s="23"/>
      <c r="Y30" s="23">
        <v>10</v>
      </c>
    </row>
    <row r="31" spans="1:36" hidden="1" outlineLevel="1">
      <c r="A31" s="16">
        <f>'[1]生産計画 (2)'!A32</f>
        <v>45127</v>
      </c>
      <c r="B31" s="82" t="str">
        <f>'[1]生産計画 (2)'!B32</f>
        <v>木</v>
      </c>
      <c r="C31" s="89">
        <f>'[1]生産計画 (2)'!C32</f>
        <v>66</v>
      </c>
      <c r="D31" s="71">
        <f>'[1]生産計画 (2)'!D32</f>
        <v>76</v>
      </c>
      <c r="E31" s="18">
        <f>'[1]生産計画 (2)'!E32</f>
        <v>8</v>
      </c>
      <c r="F31" s="2"/>
      <c r="G31" s="83">
        <v>51</v>
      </c>
      <c r="H31" s="62">
        <f>C29+I31</f>
        <v>84</v>
      </c>
      <c r="I31" s="20">
        <v>18</v>
      </c>
      <c r="J31" s="21"/>
      <c r="K31" s="57">
        <v>84</v>
      </c>
      <c r="L31" s="23">
        <f t="shared" si="0"/>
        <v>-9</v>
      </c>
      <c r="M31" s="23">
        <f t="shared" si="1"/>
        <v>-9</v>
      </c>
      <c r="N31" s="23"/>
      <c r="O31" s="23">
        <v>10</v>
      </c>
      <c r="X31" s="23"/>
      <c r="Y31" s="23">
        <v>10</v>
      </c>
    </row>
    <row r="32" spans="1:36" hidden="1" outlineLevel="1">
      <c r="A32" s="16">
        <f>'[1]生産計画 (2)'!A33</f>
        <v>45128</v>
      </c>
      <c r="B32" s="82" t="str">
        <f>'[1]生産計画 (2)'!B33</f>
        <v>金</v>
      </c>
      <c r="C32" s="89">
        <f>'[1]生産計画 (2)'!C33</f>
        <v>66</v>
      </c>
      <c r="D32" s="71">
        <f>'[1]生産計画 (2)'!D33</f>
        <v>87</v>
      </c>
      <c r="E32" s="18">
        <f>'[1]生産計画 (2)'!E33</f>
        <v>29</v>
      </c>
      <c r="F32" s="2"/>
      <c r="G32" s="83">
        <v>75</v>
      </c>
      <c r="H32" s="62">
        <f>C30</f>
        <v>66</v>
      </c>
      <c r="I32" s="20">
        <v>12</v>
      </c>
      <c r="J32" s="21">
        <f>SUM(I29:I32)</f>
        <v>66</v>
      </c>
      <c r="K32" s="57">
        <v>66</v>
      </c>
      <c r="L32" s="23">
        <f t="shared" si="0"/>
        <v>-18</v>
      </c>
      <c r="M32" s="23">
        <f t="shared" si="1"/>
        <v>-18</v>
      </c>
      <c r="N32" s="23"/>
      <c r="O32" s="23">
        <v>10</v>
      </c>
      <c r="X32" s="23"/>
      <c r="Y32" s="23">
        <v>10</v>
      </c>
    </row>
    <row r="33" spans="1:36" s="12" customFormat="1" hidden="1" outlineLevel="1">
      <c r="A33" s="24">
        <f>'[1]生産計画 (2)'!A34</f>
        <v>45129</v>
      </c>
      <c r="B33" s="81" t="str">
        <f>'[1]生産計画 (2)'!B34</f>
        <v>土</v>
      </c>
      <c r="C33" s="91">
        <f>'[1]生産計画 (2)'!C34</f>
        <v>0</v>
      </c>
      <c r="D33" s="72">
        <f>'[1]生産計画 (2)'!D34</f>
        <v>0</v>
      </c>
      <c r="E33" s="26">
        <f>'[1]生産計画 (2)'!E34</f>
        <v>29</v>
      </c>
      <c r="F33" s="10"/>
      <c r="G33" s="64">
        <v>0</v>
      </c>
      <c r="H33" s="63"/>
      <c r="I33" s="27"/>
      <c r="J33" s="28"/>
      <c r="K33" s="43"/>
      <c r="L33" s="29">
        <f t="shared" si="0"/>
        <v>-18</v>
      </c>
      <c r="M33" s="29">
        <f t="shared" si="1"/>
        <v>-18</v>
      </c>
      <c r="N33" s="29"/>
      <c r="O33" s="29"/>
      <c r="X33" s="29"/>
      <c r="Y33" s="29"/>
      <c r="Z33" s="1"/>
      <c r="AA33" s="1"/>
      <c r="AB33" s="1"/>
      <c r="AC33" s="1"/>
      <c r="AD33" s="1"/>
      <c r="AE33" s="1"/>
      <c r="AF33" s="1"/>
      <c r="AG33" s="1"/>
      <c r="AH33"/>
      <c r="AI33"/>
      <c r="AJ33"/>
    </row>
    <row r="34" spans="1:36" s="12" customFormat="1" hidden="1" outlineLevel="1">
      <c r="A34" s="24">
        <f>'[1]生産計画 (2)'!A35</f>
        <v>45130</v>
      </c>
      <c r="B34" s="25" t="str">
        <f>'[1]生産計画 (2)'!B35</f>
        <v>日</v>
      </c>
      <c r="C34" s="93">
        <f>'[1]生産計画 (2)'!C35</f>
        <v>0</v>
      </c>
      <c r="D34" s="26">
        <f>'[1]生産計画 (2)'!D35</f>
        <v>0</v>
      </c>
      <c r="E34" s="26">
        <f>'[1]生産計画 (2)'!E35</f>
        <v>29</v>
      </c>
      <c r="F34" s="10"/>
      <c r="G34" s="64">
        <v>0</v>
      </c>
      <c r="H34" s="63"/>
      <c r="I34" s="27"/>
      <c r="J34" s="28"/>
      <c r="K34" s="43"/>
      <c r="L34" s="29">
        <f t="shared" si="0"/>
        <v>-18</v>
      </c>
      <c r="M34" s="29">
        <f t="shared" si="1"/>
        <v>-18</v>
      </c>
      <c r="N34" s="29"/>
      <c r="O34" s="29"/>
      <c r="X34" s="29"/>
      <c r="Y34" s="29"/>
      <c r="Z34" s="1"/>
      <c r="AA34" s="1"/>
      <c r="AB34" s="1"/>
      <c r="AC34" s="1"/>
      <c r="AD34" s="1"/>
      <c r="AE34" s="1"/>
      <c r="AF34" s="1"/>
      <c r="AG34" s="1"/>
      <c r="AH34"/>
      <c r="AI34"/>
      <c r="AJ34"/>
    </row>
    <row r="35" spans="1:36" hidden="1" outlineLevel="1">
      <c r="A35" s="16">
        <f>'[1]生産計画 (2)'!A36</f>
        <v>45131</v>
      </c>
      <c r="B35" s="17" t="str">
        <f>'[1]生産計画 (2)'!B36</f>
        <v>月</v>
      </c>
      <c r="C35" s="89">
        <v>72</v>
      </c>
      <c r="D35" s="18">
        <f>'[1]生産計画 (2)'!D36</f>
        <v>73</v>
      </c>
      <c r="E35" s="18">
        <f>'[1]生産計画 (2)'!E36</f>
        <v>30</v>
      </c>
      <c r="F35" s="2"/>
      <c r="G35" s="19"/>
      <c r="H35" s="62">
        <f>C31+I35</f>
        <v>66</v>
      </c>
      <c r="I35" s="20"/>
      <c r="J35" s="21"/>
      <c r="K35" s="57">
        <v>66</v>
      </c>
      <c r="L35" s="23">
        <f t="shared" si="0"/>
        <v>48</v>
      </c>
      <c r="M35" s="23">
        <f>M34-G35+H35</f>
        <v>48</v>
      </c>
      <c r="N35" s="23"/>
      <c r="O35" s="23">
        <v>10</v>
      </c>
      <c r="X35" s="23"/>
      <c r="Y35" s="23">
        <v>10</v>
      </c>
    </row>
    <row r="36" spans="1:36" hidden="1" outlineLevel="1">
      <c r="A36" s="16">
        <f>'[1]生産計画 (2)'!A37</f>
        <v>45132</v>
      </c>
      <c r="B36" s="17" t="str">
        <f>'[1]生産計画 (2)'!B37</f>
        <v>火</v>
      </c>
      <c r="C36" s="89">
        <f>'[1]生産計画 (2)'!C37</f>
        <v>66</v>
      </c>
      <c r="D36" s="18">
        <f>'[1]生産計画 (2)'!D37</f>
        <v>62</v>
      </c>
      <c r="E36" s="18">
        <f>'[1]生産計画 (2)'!E37</f>
        <v>26</v>
      </c>
      <c r="F36" s="2"/>
      <c r="G36" s="78">
        <v>57</v>
      </c>
      <c r="H36" s="62">
        <f>C32+I36</f>
        <v>66</v>
      </c>
      <c r="I36" s="20"/>
      <c r="J36" s="21"/>
      <c r="K36" s="57">
        <v>66</v>
      </c>
      <c r="L36" s="23">
        <f t="shared" si="0"/>
        <v>57</v>
      </c>
      <c r="M36" s="23">
        <f t="shared" ref="M36:M99" si="3">M35-G36+H36</f>
        <v>57</v>
      </c>
      <c r="N36" s="23"/>
      <c r="O36" s="23">
        <v>16</v>
      </c>
      <c r="X36" s="23"/>
      <c r="Y36" s="23">
        <v>16</v>
      </c>
    </row>
    <row r="37" spans="1:36" hidden="1" outlineLevel="1">
      <c r="A37" s="16">
        <f>'[1]生産計画 (2)'!A38</f>
        <v>45133</v>
      </c>
      <c r="B37" s="17" t="str">
        <f>'[1]生産計画 (2)'!B38</f>
        <v>水</v>
      </c>
      <c r="C37" s="89">
        <v>66</v>
      </c>
      <c r="D37" s="18">
        <f>'[1]生産計画 (2)'!D38</f>
        <v>66</v>
      </c>
      <c r="E37" s="18">
        <f>'[1]生産計画 (2)'!E38</f>
        <v>26</v>
      </c>
      <c r="F37" s="2"/>
      <c r="G37" s="78">
        <v>78</v>
      </c>
      <c r="H37" s="62">
        <f>C35+I37</f>
        <v>72</v>
      </c>
      <c r="I37" s="20"/>
      <c r="J37" s="21"/>
      <c r="K37" s="57">
        <v>72</v>
      </c>
      <c r="L37" s="23">
        <f t="shared" si="0"/>
        <v>51</v>
      </c>
      <c r="M37" s="23">
        <f t="shared" si="3"/>
        <v>51</v>
      </c>
      <c r="N37" s="23"/>
      <c r="O37" s="23">
        <v>6</v>
      </c>
      <c r="X37" s="23"/>
      <c r="Y37" s="23">
        <v>6</v>
      </c>
    </row>
    <row r="38" spans="1:36" hidden="1" outlineLevel="1">
      <c r="A38" s="16">
        <f>'[1]生産計画 (2)'!A39</f>
        <v>45134</v>
      </c>
      <c r="B38" s="17" t="str">
        <f>'[1]生産計画 (2)'!B39</f>
        <v>木</v>
      </c>
      <c r="C38" s="89">
        <f>'[1]生産計画 (2)'!C39</f>
        <v>66</v>
      </c>
      <c r="D38" s="18">
        <f>'[1]生産計画 (2)'!D39</f>
        <v>75</v>
      </c>
      <c r="E38" s="18">
        <f>'[1]生産計画 (2)'!E39</f>
        <v>35</v>
      </c>
      <c r="F38" s="2"/>
      <c r="G38" s="78">
        <v>60</v>
      </c>
      <c r="H38" s="62">
        <f>C36+I38</f>
        <v>66</v>
      </c>
      <c r="I38" s="20"/>
      <c r="J38" s="21"/>
      <c r="K38" s="57">
        <v>66</v>
      </c>
      <c r="L38" s="23">
        <f t="shared" si="0"/>
        <v>57</v>
      </c>
      <c r="M38" s="23">
        <f t="shared" si="3"/>
        <v>57</v>
      </c>
      <c r="N38" s="23"/>
      <c r="O38" s="23">
        <v>10</v>
      </c>
      <c r="X38" s="23"/>
      <c r="Y38" s="23">
        <v>10</v>
      </c>
    </row>
    <row r="39" spans="1:36" hidden="1" outlineLevel="1">
      <c r="A39" s="16">
        <f>'[1]生産計画 (2)'!A40</f>
        <v>45135</v>
      </c>
      <c r="B39" s="17" t="str">
        <f>'[1]生産計画 (2)'!B40</f>
        <v>金</v>
      </c>
      <c r="C39" s="89">
        <v>72</v>
      </c>
      <c r="D39" s="18">
        <f>'[1]生産計画 (2)'!D40</f>
        <v>72</v>
      </c>
      <c r="E39" s="18">
        <f>'[1]生産計画 (2)'!E40</f>
        <v>35</v>
      </c>
      <c r="F39" s="2"/>
      <c r="G39" s="78">
        <v>78</v>
      </c>
      <c r="H39" s="62">
        <f>C37+I39</f>
        <v>66</v>
      </c>
      <c r="I39" s="20"/>
      <c r="J39" s="21"/>
      <c r="K39" s="57">
        <v>66</v>
      </c>
      <c r="L39" s="23">
        <f t="shared" si="0"/>
        <v>45</v>
      </c>
      <c r="M39" s="23">
        <f t="shared" si="3"/>
        <v>45</v>
      </c>
      <c r="N39" s="23"/>
      <c r="O39" s="23">
        <v>10</v>
      </c>
      <c r="X39" s="23"/>
      <c r="Y39" s="23">
        <v>10</v>
      </c>
    </row>
    <row r="40" spans="1:36" s="12" customFormat="1" hidden="1" outlineLevel="1">
      <c r="A40" s="24">
        <f>'[1]生産計画 (2)'!A41</f>
        <v>45136</v>
      </c>
      <c r="B40" s="25" t="str">
        <f>'[1]生産計画 (2)'!B41</f>
        <v>土</v>
      </c>
      <c r="C40" s="91">
        <v>0</v>
      </c>
      <c r="D40" s="26">
        <f>'[1]生産計画 (2)'!D41</f>
        <v>0</v>
      </c>
      <c r="E40" s="26">
        <f>'[1]生産計画 (2)'!E41</f>
        <v>35</v>
      </c>
      <c r="F40" s="10"/>
      <c r="G40" s="64">
        <v>0</v>
      </c>
      <c r="H40" s="63"/>
      <c r="I40" s="27"/>
      <c r="J40" s="28"/>
      <c r="K40" s="43"/>
      <c r="L40" s="29">
        <f t="shared" si="0"/>
        <v>45</v>
      </c>
      <c r="M40" s="29">
        <f t="shared" si="3"/>
        <v>45</v>
      </c>
      <c r="N40" s="29"/>
      <c r="O40" s="29"/>
      <c r="X40" s="29"/>
      <c r="Y40" s="29"/>
      <c r="Z40" s="1"/>
      <c r="AA40" s="1"/>
      <c r="AB40" s="1"/>
      <c r="AC40" s="1"/>
      <c r="AD40" s="1"/>
      <c r="AE40" s="1"/>
      <c r="AF40" s="1"/>
      <c r="AG40" s="1"/>
      <c r="AH40"/>
      <c r="AI40"/>
      <c r="AJ40"/>
    </row>
    <row r="41" spans="1:36" s="12" customFormat="1" hidden="1" outlineLevel="1">
      <c r="A41" s="24">
        <f>'[1]生産計画 (2)'!A42</f>
        <v>45137</v>
      </c>
      <c r="B41" s="25" t="str">
        <f>'[1]生産計画 (2)'!B42</f>
        <v>日</v>
      </c>
      <c r="C41" s="91">
        <f>'[1]生産計画 (2)'!C42</f>
        <v>0</v>
      </c>
      <c r="D41" s="26">
        <f>'[1]生産計画 (2)'!D42</f>
        <v>0</v>
      </c>
      <c r="E41" s="26">
        <f>'[1]生産計画 (2)'!E42</f>
        <v>35</v>
      </c>
      <c r="F41" s="10"/>
      <c r="G41" s="64">
        <v>0</v>
      </c>
      <c r="H41" s="63"/>
      <c r="I41" s="27"/>
      <c r="J41" s="28"/>
      <c r="K41" s="43"/>
      <c r="L41" s="29">
        <f t="shared" si="0"/>
        <v>45</v>
      </c>
      <c r="M41" s="29">
        <f t="shared" si="3"/>
        <v>45</v>
      </c>
      <c r="N41" s="29"/>
      <c r="O41" s="29"/>
      <c r="X41" s="29"/>
      <c r="Y41" s="29"/>
      <c r="Z41" s="1"/>
      <c r="AA41" s="1"/>
      <c r="AB41" s="1"/>
      <c r="AC41" s="1"/>
      <c r="AD41" s="1"/>
      <c r="AE41" s="1"/>
      <c r="AF41" s="1"/>
      <c r="AG41" s="1"/>
      <c r="AH41"/>
      <c r="AI41"/>
      <c r="AJ41"/>
    </row>
    <row r="42" spans="1:36" hidden="1" outlineLevel="1">
      <c r="A42" s="16">
        <f>'[1]生産計画 (2)'!A43</f>
        <v>45138</v>
      </c>
      <c r="B42" s="17" t="str">
        <f>'[1]生産計画 (2)'!B43</f>
        <v>月</v>
      </c>
      <c r="C42" s="89">
        <v>60</v>
      </c>
      <c r="D42" s="18">
        <f>'[1]生産計画 (2)'!D43</f>
        <v>78</v>
      </c>
      <c r="E42" s="23">
        <f t="shared" ref="E42:E105" si="4">E41-C42+D42</f>
        <v>53</v>
      </c>
      <c r="F42" s="2"/>
      <c r="G42" s="78">
        <v>66</v>
      </c>
      <c r="H42" s="62">
        <f>C38+I42</f>
        <v>66</v>
      </c>
      <c r="I42" s="20"/>
      <c r="J42" s="21"/>
      <c r="K42" s="57">
        <v>66</v>
      </c>
      <c r="L42" s="23">
        <f t="shared" si="0"/>
        <v>45</v>
      </c>
      <c r="M42" s="23">
        <f t="shared" si="3"/>
        <v>45</v>
      </c>
      <c r="N42" s="23"/>
      <c r="O42" s="23">
        <v>17</v>
      </c>
      <c r="X42" s="23"/>
      <c r="Y42" s="23">
        <v>17</v>
      </c>
    </row>
    <row r="43" spans="1:36" hidden="1" outlineLevel="1">
      <c r="A43" s="16">
        <f>'[1]生産計画 (2)'!A44</f>
        <v>45139</v>
      </c>
      <c r="B43" s="17" t="str">
        <f>'[1]生産計画 (2)'!B44</f>
        <v>火</v>
      </c>
      <c r="C43" s="89">
        <v>60</v>
      </c>
      <c r="D43" s="18">
        <f>'[1]生産計画 (2)'!D44</f>
        <v>46</v>
      </c>
      <c r="E43" s="23">
        <f t="shared" si="4"/>
        <v>39</v>
      </c>
      <c r="F43" s="2"/>
      <c r="G43" s="78">
        <v>81</v>
      </c>
      <c r="H43" s="62">
        <f>C39+I43</f>
        <v>72</v>
      </c>
      <c r="I43" s="20"/>
      <c r="J43" s="21"/>
      <c r="K43" s="57">
        <v>72</v>
      </c>
      <c r="L43" s="23">
        <f t="shared" si="0"/>
        <v>36</v>
      </c>
      <c r="M43" s="23">
        <f t="shared" si="3"/>
        <v>36</v>
      </c>
      <c r="N43" s="23"/>
      <c r="O43" s="23">
        <v>0</v>
      </c>
      <c r="X43" s="23"/>
      <c r="Y43" s="23">
        <v>0</v>
      </c>
    </row>
    <row r="44" spans="1:36" hidden="1" outlineLevel="1">
      <c r="A44" s="16">
        <f>'[1]生産計画 (2)'!A45</f>
        <v>45140</v>
      </c>
      <c r="B44" s="17" t="str">
        <f>'[1]生産計画 (2)'!B45</f>
        <v>水</v>
      </c>
      <c r="C44" s="103">
        <v>0</v>
      </c>
      <c r="D44" s="18">
        <f>'[1]生産計画 (2)'!D45</f>
        <v>8</v>
      </c>
      <c r="E44" s="23">
        <f t="shared" si="4"/>
        <v>47</v>
      </c>
      <c r="F44" s="2"/>
      <c r="G44" s="78">
        <v>60</v>
      </c>
      <c r="H44" s="62">
        <f>C42+I44</f>
        <v>60</v>
      </c>
      <c r="I44" s="20"/>
      <c r="J44" s="21"/>
      <c r="K44" s="57">
        <v>60</v>
      </c>
      <c r="L44" s="23">
        <f t="shared" si="0"/>
        <v>36</v>
      </c>
      <c r="M44" s="23">
        <f t="shared" si="3"/>
        <v>36</v>
      </c>
      <c r="N44" s="23"/>
      <c r="O44" s="23">
        <v>13</v>
      </c>
      <c r="X44" s="23"/>
      <c r="Y44" s="23">
        <v>13</v>
      </c>
    </row>
    <row r="45" spans="1:36" hidden="1" outlineLevel="1">
      <c r="A45" s="16">
        <f>'[1]生産計画 (2)'!A46</f>
        <v>45141</v>
      </c>
      <c r="B45" s="17" t="str">
        <f>'[1]生産計画 (2)'!B46</f>
        <v>木</v>
      </c>
      <c r="C45" s="103">
        <v>0</v>
      </c>
      <c r="D45" s="18">
        <f>'[1]生産計画 (2)'!D46</f>
        <v>0</v>
      </c>
      <c r="E45" s="23">
        <f t="shared" si="4"/>
        <v>47</v>
      </c>
      <c r="F45" s="2"/>
      <c r="G45" s="78">
        <v>57</v>
      </c>
      <c r="H45" s="62">
        <f>C43+I45</f>
        <v>60</v>
      </c>
      <c r="I45" s="20"/>
      <c r="J45" s="21"/>
      <c r="K45" s="57">
        <v>60</v>
      </c>
      <c r="L45" s="23">
        <f t="shared" si="0"/>
        <v>39</v>
      </c>
      <c r="M45" s="23">
        <f t="shared" si="3"/>
        <v>39</v>
      </c>
      <c r="N45" s="23"/>
      <c r="O45" s="23">
        <v>0</v>
      </c>
      <c r="X45" s="23"/>
      <c r="Y45" s="23">
        <v>0</v>
      </c>
    </row>
    <row r="46" spans="1:36" hidden="1" outlineLevel="1">
      <c r="A46" s="16">
        <f>'[1]生産計画 (2)'!A47</f>
        <v>45142</v>
      </c>
      <c r="B46" s="17" t="str">
        <f>'[1]生産計画 (2)'!B47</f>
        <v>金</v>
      </c>
      <c r="C46" s="89">
        <f>'[1]生産計画 (2)'!C47</f>
        <v>66</v>
      </c>
      <c r="D46" s="18">
        <f>'[1]生産計画 (2)'!D47</f>
        <v>64</v>
      </c>
      <c r="E46" s="23">
        <f t="shared" si="4"/>
        <v>45</v>
      </c>
      <c r="F46" s="2"/>
      <c r="G46" s="78">
        <v>78</v>
      </c>
      <c r="H46" s="102">
        <f>C44+I46</f>
        <v>0</v>
      </c>
      <c r="I46" s="20"/>
      <c r="J46" s="21"/>
      <c r="K46" s="57">
        <v>0</v>
      </c>
      <c r="L46" s="23">
        <f t="shared" si="0"/>
        <v>-39</v>
      </c>
      <c r="M46" s="23">
        <f t="shared" si="3"/>
        <v>-39</v>
      </c>
      <c r="N46" s="23"/>
      <c r="O46" s="23">
        <v>6</v>
      </c>
      <c r="X46" s="23"/>
      <c r="Y46" s="23">
        <v>6</v>
      </c>
    </row>
    <row r="47" spans="1:36" s="12" customFormat="1" hidden="1" outlineLevel="1">
      <c r="A47" s="24">
        <f>'[1]生産計画 (2)'!A48</f>
        <v>45143</v>
      </c>
      <c r="B47" s="25" t="str">
        <f>'[1]生産計画 (2)'!B48</f>
        <v>土</v>
      </c>
      <c r="C47" s="91">
        <v>0</v>
      </c>
      <c r="D47" s="26">
        <f>'[1]生産計画 (2)'!D48</f>
        <v>0</v>
      </c>
      <c r="E47" s="29">
        <f t="shared" si="4"/>
        <v>45</v>
      </c>
      <c r="F47" s="10"/>
      <c r="G47" s="64">
        <v>0</v>
      </c>
      <c r="H47" s="63"/>
      <c r="I47" s="27"/>
      <c r="J47" s="28"/>
      <c r="K47" s="43"/>
      <c r="L47" s="29">
        <f t="shared" si="0"/>
        <v>-39</v>
      </c>
      <c r="M47" s="29">
        <f t="shared" si="3"/>
        <v>-39</v>
      </c>
      <c r="N47" s="29"/>
      <c r="O47" s="29"/>
      <c r="X47" s="29"/>
      <c r="Y47" s="29"/>
      <c r="Z47" s="1"/>
      <c r="AA47" s="1"/>
      <c r="AB47" s="1"/>
      <c r="AC47" s="1"/>
      <c r="AD47" s="1"/>
      <c r="AE47" s="1"/>
      <c r="AF47" s="1"/>
      <c r="AG47" s="1"/>
      <c r="AH47"/>
      <c r="AI47"/>
      <c r="AJ47"/>
    </row>
    <row r="48" spans="1:36" s="12" customFormat="1" hidden="1" outlineLevel="1">
      <c r="A48" s="24">
        <f>'[1]生産計画 (2)'!A49</f>
        <v>45144</v>
      </c>
      <c r="B48" s="25" t="str">
        <f>'[1]生産計画 (2)'!B49</f>
        <v>日</v>
      </c>
      <c r="C48" s="26">
        <f>'[1]生産計画 (2)'!C49</f>
        <v>0</v>
      </c>
      <c r="D48" s="26">
        <f>'[1]生産計画 (2)'!D49</f>
        <v>0</v>
      </c>
      <c r="E48" s="29">
        <f t="shared" si="4"/>
        <v>45</v>
      </c>
      <c r="F48" s="10"/>
      <c r="G48" s="64">
        <v>0</v>
      </c>
      <c r="H48" s="63"/>
      <c r="I48" s="27"/>
      <c r="J48" s="28"/>
      <c r="K48" s="43"/>
      <c r="L48" s="29">
        <f t="shared" si="0"/>
        <v>-39</v>
      </c>
      <c r="M48" s="29">
        <f t="shared" si="3"/>
        <v>-39</v>
      </c>
      <c r="N48" s="29"/>
      <c r="O48" s="29"/>
      <c r="X48" s="29"/>
      <c r="Y48" s="29"/>
      <c r="Z48" s="1"/>
      <c r="AA48" s="1"/>
      <c r="AB48" s="1"/>
      <c r="AC48" s="1"/>
      <c r="AD48" s="1"/>
      <c r="AE48" s="1"/>
      <c r="AF48" s="1"/>
      <c r="AG48" s="1"/>
      <c r="AH48"/>
      <c r="AI48"/>
      <c r="AJ48"/>
    </row>
    <row r="49" spans="1:36" hidden="1" outlineLevel="1">
      <c r="A49" s="16">
        <f>'[1]生産計画 (2)'!A50</f>
        <v>45145</v>
      </c>
      <c r="B49" s="17" t="str">
        <f>'[1]生産計画 (2)'!B50</f>
        <v>月</v>
      </c>
      <c r="C49" s="18">
        <f>'[1]生産計画 (2)'!C50</f>
        <v>66</v>
      </c>
      <c r="D49" s="18">
        <f>'[1]生産計画 (2)'!D50</f>
        <v>54</v>
      </c>
      <c r="E49" s="23">
        <f t="shared" si="4"/>
        <v>33</v>
      </c>
      <c r="F49" s="2"/>
      <c r="G49" s="78">
        <v>63</v>
      </c>
      <c r="H49" s="102">
        <f>C45+I49</f>
        <v>0</v>
      </c>
      <c r="I49" s="20"/>
      <c r="J49" s="21"/>
      <c r="K49" s="57">
        <v>0</v>
      </c>
      <c r="L49" s="23">
        <f t="shared" si="0"/>
        <v>-102</v>
      </c>
      <c r="M49" s="23">
        <f t="shared" si="3"/>
        <v>-102</v>
      </c>
      <c r="N49" s="23"/>
      <c r="O49" s="23">
        <v>0</v>
      </c>
      <c r="X49" s="23"/>
      <c r="Y49" s="23">
        <v>0</v>
      </c>
    </row>
    <row r="50" spans="1:36" hidden="1" outlineLevel="1">
      <c r="A50" s="16">
        <f>'[1]生産計画 (2)'!A51</f>
        <v>45146</v>
      </c>
      <c r="B50" s="17" t="str">
        <f>'[1]生産計画 (2)'!B51</f>
        <v>火</v>
      </c>
      <c r="C50" s="18">
        <v>72</v>
      </c>
      <c r="D50" s="18">
        <f>'[1]生産計画 (2)'!D51</f>
        <v>60</v>
      </c>
      <c r="E50" s="23">
        <f t="shared" si="4"/>
        <v>21</v>
      </c>
      <c r="F50" s="2"/>
      <c r="G50" s="78">
        <v>3</v>
      </c>
      <c r="H50" s="62">
        <f>C46+I50</f>
        <v>66</v>
      </c>
      <c r="I50" s="20"/>
      <c r="J50" s="21"/>
      <c r="K50" s="57">
        <v>66</v>
      </c>
      <c r="L50" s="23">
        <f t="shared" si="0"/>
        <v>-39</v>
      </c>
      <c r="M50" s="23">
        <f t="shared" si="3"/>
        <v>-39</v>
      </c>
      <c r="N50" s="23"/>
      <c r="O50" s="23">
        <v>0</v>
      </c>
      <c r="X50" s="23"/>
      <c r="Y50" s="23">
        <v>0</v>
      </c>
    </row>
    <row r="51" spans="1:36" hidden="1" outlineLevel="1">
      <c r="A51" s="16">
        <f>'[1]生産計画 (2)'!A52</f>
        <v>45147</v>
      </c>
      <c r="B51" s="17" t="str">
        <f>'[1]生産計画 (2)'!B52</f>
        <v>水</v>
      </c>
      <c r="C51" s="18">
        <v>72</v>
      </c>
      <c r="D51" s="18">
        <f>'[1]生産計画 (2)'!D52</f>
        <v>87</v>
      </c>
      <c r="E51" s="23">
        <f t="shared" si="4"/>
        <v>36</v>
      </c>
      <c r="F51" s="2"/>
      <c r="G51" s="78">
        <v>78</v>
      </c>
      <c r="H51" s="62">
        <f>C49</f>
        <v>66</v>
      </c>
      <c r="I51" s="20"/>
      <c r="J51" s="21"/>
      <c r="K51" s="57">
        <v>66</v>
      </c>
      <c r="L51" s="23">
        <f t="shared" si="0"/>
        <v>-51</v>
      </c>
      <c r="M51" s="23">
        <f t="shared" si="3"/>
        <v>-51</v>
      </c>
      <c r="N51" s="23"/>
      <c r="O51" s="23">
        <v>5</v>
      </c>
      <c r="X51" s="23"/>
      <c r="Y51" s="23">
        <v>5</v>
      </c>
    </row>
    <row r="52" spans="1:36" s="12" customFormat="1" hidden="1" outlineLevel="1">
      <c r="A52" s="24">
        <f>'[1]生産計画 (2)'!A53</f>
        <v>45148</v>
      </c>
      <c r="B52" s="25" t="str">
        <f>'[1]生産計画 (2)'!B53</f>
        <v>木</v>
      </c>
      <c r="C52" s="26">
        <v>66</v>
      </c>
      <c r="D52" s="26">
        <f>'[1]生産計画 (2)'!D53</f>
        <v>81</v>
      </c>
      <c r="E52" s="29">
        <f t="shared" si="4"/>
        <v>51</v>
      </c>
      <c r="F52" s="10"/>
      <c r="G52" s="64">
        <v>0</v>
      </c>
      <c r="H52" s="63"/>
      <c r="I52" s="27"/>
      <c r="J52" s="28"/>
      <c r="K52" s="43"/>
      <c r="L52" s="29">
        <f t="shared" si="0"/>
        <v>-51</v>
      </c>
      <c r="M52" s="29">
        <f t="shared" si="3"/>
        <v>-51</v>
      </c>
      <c r="N52" s="29"/>
      <c r="O52" s="29">
        <v>11</v>
      </c>
      <c r="X52" s="29"/>
      <c r="Y52" s="29">
        <v>11</v>
      </c>
      <c r="Z52" s="1"/>
      <c r="AA52" s="1"/>
      <c r="AB52" s="1"/>
      <c r="AC52" s="1"/>
      <c r="AD52" s="1"/>
      <c r="AE52" s="1"/>
      <c r="AF52" s="1"/>
      <c r="AG52" s="1"/>
      <c r="AH52"/>
      <c r="AI52"/>
      <c r="AJ52"/>
    </row>
    <row r="53" spans="1:36" s="12" customFormat="1" hidden="1" outlineLevel="1">
      <c r="A53" s="24">
        <f>'[1]生産計画 (2)'!A54</f>
        <v>45149</v>
      </c>
      <c r="B53" s="25" t="str">
        <f>'[1]生産計画 (2)'!B54</f>
        <v>金</v>
      </c>
      <c r="C53" s="26">
        <f>'[1]生産計画 (2)'!C54</f>
        <v>0</v>
      </c>
      <c r="D53" s="26">
        <f>'[1]生産計画 (2)'!D54</f>
        <v>0</v>
      </c>
      <c r="E53" s="29">
        <f t="shared" si="4"/>
        <v>51</v>
      </c>
      <c r="F53" s="10"/>
      <c r="G53" s="64">
        <v>0</v>
      </c>
      <c r="H53" s="63"/>
      <c r="I53" s="27"/>
      <c r="J53" s="28"/>
      <c r="K53" s="43"/>
      <c r="L53" s="29">
        <f t="shared" si="0"/>
        <v>-51</v>
      </c>
      <c r="M53" s="29">
        <f t="shared" si="3"/>
        <v>-51</v>
      </c>
      <c r="N53" s="29"/>
      <c r="O53" s="29"/>
      <c r="X53" s="29"/>
      <c r="Y53" s="29"/>
      <c r="Z53" s="1"/>
      <c r="AA53" s="1"/>
      <c r="AB53" s="1"/>
      <c r="AC53" s="1"/>
      <c r="AD53" s="1"/>
      <c r="AE53" s="1"/>
      <c r="AF53" s="1"/>
      <c r="AG53" s="1"/>
      <c r="AH53"/>
      <c r="AI53"/>
      <c r="AJ53"/>
    </row>
    <row r="54" spans="1:36" s="12" customFormat="1" hidden="1" outlineLevel="1">
      <c r="A54" s="24">
        <f>'[1]生産計画 (2)'!A55</f>
        <v>45150</v>
      </c>
      <c r="B54" s="25" t="str">
        <f>'[1]生産計画 (2)'!B55</f>
        <v>土</v>
      </c>
      <c r="C54" s="26">
        <f>'[1]生産計画 (2)'!C55</f>
        <v>0</v>
      </c>
      <c r="D54" s="26">
        <f>'[1]生産計画 (2)'!D55</f>
        <v>0</v>
      </c>
      <c r="E54" s="29">
        <f t="shared" si="4"/>
        <v>51</v>
      </c>
      <c r="F54" s="10"/>
      <c r="G54" s="64">
        <v>0</v>
      </c>
      <c r="H54" s="63"/>
      <c r="I54" s="27"/>
      <c r="J54" s="28"/>
      <c r="K54" s="43"/>
      <c r="L54" s="29">
        <f t="shared" si="0"/>
        <v>-51</v>
      </c>
      <c r="M54" s="29">
        <f t="shared" si="3"/>
        <v>-51</v>
      </c>
      <c r="N54" s="29"/>
      <c r="O54" s="29"/>
      <c r="X54" s="29"/>
      <c r="Y54" s="29"/>
      <c r="Z54" s="1"/>
      <c r="AA54" s="1"/>
      <c r="AB54" s="1"/>
      <c r="AC54" s="1"/>
      <c r="AD54" s="1"/>
      <c r="AE54" s="1"/>
      <c r="AF54" s="1"/>
      <c r="AG54" s="1"/>
      <c r="AH54"/>
      <c r="AI54"/>
      <c r="AJ54"/>
    </row>
    <row r="55" spans="1:36" s="12" customFormat="1" hidden="1" outlineLevel="1">
      <c r="A55" s="24">
        <f>'[1]生産計画 (2)'!A56</f>
        <v>45151</v>
      </c>
      <c r="B55" s="25" t="str">
        <f>'[1]生産計画 (2)'!B56</f>
        <v>日</v>
      </c>
      <c r="C55" s="26">
        <f>'[1]生産計画 (2)'!C56</f>
        <v>0</v>
      </c>
      <c r="D55" s="26">
        <f>'[1]生産計画 (2)'!D56</f>
        <v>0</v>
      </c>
      <c r="E55" s="29">
        <f t="shared" si="4"/>
        <v>51</v>
      </c>
      <c r="F55" s="10"/>
      <c r="G55" s="64">
        <v>0</v>
      </c>
      <c r="H55" s="63"/>
      <c r="I55" s="27"/>
      <c r="J55" s="28"/>
      <c r="K55" s="43"/>
      <c r="L55" s="29">
        <f t="shared" si="0"/>
        <v>-51</v>
      </c>
      <c r="M55" s="29">
        <f t="shared" si="3"/>
        <v>-51</v>
      </c>
      <c r="N55" s="29"/>
      <c r="O55" s="29"/>
      <c r="X55" s="29"/>
      <c r="Y55" s="29"/>
      <c r="Z55" s="1"/>
      <c r="AA55" s="1"/>
      <c r="AB55" s="1"/>
      <c r="AC55" s="1"/>
      <c r="AD55" s="1"/>
      <c r="AE55" s="1"/>
      <c r="AF55" s="1"/>
      <c r="AG55" s="1"/>
      <c r="AH55"/>
      <c r="AI55"/>
      <c r="AJ55"/>
    </row>
    <row r="56" spans="1:36" s="12" customFormat="1" hidden="1" outlineLevel="1">
      <c r="A56" s="24">
        <f>'[1]生産計画 (2)'!A57</f>
        <v>45152</v>
      </c>
      <c r="B56" s="25" t="str">
        <f>'[1]生産計画 (2)'!B57</f>
        <v>月</v>
      </c>
      <c r="C56" s="26">
        <f>'[1]生産計画 (2)'!C57</f>
        <v>0</v>
      </c>
      <c r="D56" s="26">
        <f>'[1]生産計画 (2)'!D57</f>
        <v>0</v>
      </c>
      <c r="E56" s="29">
        <f t="shared" si="4"/>
        <v>51</v>
      </c>
      <c r="F56" s="10"/>
      <c r="G56" s="64">
        <v>0</v>
      </c>
      <c r="H56" s="63"/>
      <c r="I56" s="27"/>
      <c r="J56" s="28"/>
      <c r="K56" s="43"/>
      <c r="L56" s="29">
        <f t="shared" si="0"/>
        <v>-51</v>
      </c>
      <c r="M56" s="29">
        <f t="shared" si="3"/>
        <v>-51</v>
      </c>
      <c r="N56" s="29"/>
      <c r="O56" s="29"/>
      <c r="X56" s="29"/>
      <c r="Y56" s="29"/>
      <c r="Z56" s="1"/>
      <c r="AA56" s="1"/>
      <c r="AB56" s="1"/>
      <c r="AC56" s="1"/>
      <c r="AD56" s="1"/>
      <c r="AE56" s="1"/>
      <c r="AF56" s="1"/>
      <c r="AG56" s="1"/>
      <c r="AH56"/>
      <c r="AI56"/>
      <c r="AJ56"/>
    </row>
    <row r="57" spans="1:36" s="12" customFormat="1" hidden="1" outlineLevel="1">
      <c r="A57" s="24">
        <f>'[1]生産計画 (2)'!A58</f>
        <v>45153</v>
      </c>
      <c r="B57" s="25" t="str">
        <f>'[1]生産計画 (2)'!B58</f>
        <v>火</v>
      </c>
      <c r="C57" s="26">
        <f>'[1]生産計画 (2)'!C58</f>
        <v>0</v>
      </c>
      <c r="D57" s="26">
        <f>'[1]生産計画 (2)'!D58</f>
        <v>0</v>
      </c>
      <c r="E57" s="29">
        <f t="shared" si="4"/>
        <v>51</v>
      </c>
      <c r="F57" s="10"/>
      <c r="G57" s="64">
        <v>0</v>
      </c>
      <c r="H57" s="63"/>
      <c r="I57" s="27"/>
      <c r="J57" s="28"/>
      <c r="K57" s="43"/>
      <c r="L57" s="29">
        <f t="shared" si="0"/>
        <v>-51</v>
      </c>
      <c r="M57" s="29">
        <f t="shared" si="3"/>
        <v>-51</v>
      </c>
      <c r="N57" s="29"/>
      <c r="O57" s="29"/>
      <c r="X57" s="29"/>
      <c r="Y57" s="29"/>
      <c r="Z57" s="1"/>
      <c r="AA57" s="1"/>
      <c r="AB57" s="1"/>
      <c r="AC57" s="1"/>
      <c r="AD57" s="1"/>
      <c r="AE57" s="1"/>
      <c r="AF57" s="1"/>
      <c r="AG57" s="1"/>
      <c r="AH57"/>
      <c r="AI57"/>
      <c r="AJ57"/>
    </row>
    <row r="58" spans="1:36" s="12" customFormat="1" hidden="1" outlineLevel="1">
      <c r="A58" s="24">
        <f>'[1]生産計画 (2)'!A59</f>
        <v>45154</v>
      </c>
      <c r="B58" s="25" t="str">
        <f>'[1]生産計画 (2)'!B59</f>
        <v>水</v>
      </c>
      <c r="C58" s="26">
        <f>'[1]生産計画 (2)'!C59</f>
        <v>0</v>
      </c>
      <c r="D58" s="26">
        <f>'[1]生産計画 (2)'!D59</f>
        <v>0</v>
      </c>
      <c r="E58" s="29">
        <f t="shared" si="4"/>
        <v>51</v>
      </c>
      <c r="F58" s="10"/>
      <c r="G58" s="64">
        <v>0</v>
      </c>
      <c r="H58" s="63"/>
      <c r="I58" s="27"/>
      <c r="J58" s="28"/>
      <c r="K58" s="43"/>
      <c r="L58" s="29">
        <f t="shared" si="0"/>
        <v>-51</v>
      </c>
      <c r="M58" s="29">
        <f t="shared" si="3"/>
        <v>-51</v>
      </c>
      <c r="N58" s="29"/>
      <c r="O58" s="29"/>
      <c r="X58" s="29"/>
      <c r="Y58" s="29"/>
      <c r="Z58" s="1"/>
      <c r="AA58" s="1"/>
      <c r="AB58" s="1"/>
      <c r="AC58" s="1"/>
      <c r="AD58" s="1"/>
      <c r="AE58" s="1"/>
      <c r="AF58" s="1"/>
      <c r="AG58" s="1"/>
      <c r="AH58"/>
      <c r="AI58"/>
      <c r="AJ58"/>
    </row>
    <row r="59" spans="1:36" hidden="1" outlineLevel="1">
      <c r="A59" s="16">
        <f>'[1]生産計画 (2)'!A60</f>
        <v>45155</v>
      </c>
      <c r="B59" s="17" t="str">
        <f>'[1]生産計画 (2)'!B60</f>
        <v>木</v>
      </c>
      <c r="C59" s="18">
        <v>0</v>
      </c>
      <c r="D59" s="18">
        <f>'[1]生産計画 (2)'!D60</f>
        <v>0</v>
      </c>
      <c r="E59" s="23">
        <f t="shared" si="4"/>
        <v>51</v>
      </c>
      <c r="F59" s="2"/>
      <c r="G59" s="78">
        <v>63</v>
      </c>
      <c r="H59" s="62">
        <f>C50</f>
        <v>72</v>
      </c>
      <c r="I59" s="20"/>
      <c r="J59" s="21"/>
      <c r="K59" s="57">
        <v>72</v>
      </c>
      <c r="L59" s="23">
        <f t="shared" si="0"/>
        <v>-42</v>
      </c>
      <c r="M59" s="23">
        <f t="shared" si="3"/>
        <v>-42</v>
      </c>
      <c r="N59" s="23"/>
      <c r="O59" s="23">
        <v>0</v>
      </c>
      <c r="Q59" s="141"/>
      <c r="R59" s="142"/>
      <c r="S59" s="142"/>
      <c r="T59" s="142"/>
      <c r="U59" s="142"/>
      <c r="V59" s="142"/>
      <c r="W59" s="142"/>
      <c r="X59" s="23"/>
      <c r="Y59" s="23">
        <v>0</v>
      </c>
    </row>
    <row r="60" spans="1:36" hidden="1" outlineLevel="1">
      <c r="A60" s="16">
        <f>'[1]生産計画 (2)'!A61</f>
        <v>45156</v>
      </c>
      <c r="B60" s="17" t="str">
        <f>'[1]生産計画 (2)'!B61</f>
        <v>金</v>
      </c>
      <c r="C60" s="18">
        <f>'[1]生産計画 (2)'!C61</f>
        <v>66</v>
      </c>
      <c r="D60" s="18">
        <f>'[1]生産計画 (2)'!D61</f>
        <v>43</v>
      </c>
      <c r="E60" s="23">
        <f t="shared" si="4"/>
        <v>28</v>
      </c>
      <c r="F60" s="2"/>
      <c r="G60" s="78">
        <v>78</v>
      </c>
      <c r="H60" s="62">
        <f>C51</f>
        <v>72</v>
      </c>
      <c r="I60" s="20"/>
      <c r="J60" s="21"/>
      <c r="K60" s="57">
        <v>72</v>
      </c>
      <c r="L60" s="23">
        <f t="shared" si="0"/>
        <v>-48</v>
      </c>
      <c r="M60" s="23">
        <f t="shared" si="3"/>
        <v>-48</v>
      </c>
      <c r="N60" s="23"/>
      <c r="O60" s="23">
        <v>0</v>
      </c>
      <c r="Q60" s="141"/>
      <c r="R60" s="142"/>
      <c r="S60" s="142"/>
      <c r="T60" s="142"/>
      <c r="U60" s="142"/>
      <c r="V60" s="142"/>
      <c r="W60" s="142"/>
      <c r="X60" s="23"/>
      <c r="Y60" s="23">
        <v>0</v>
      </c>
    </row>
    <row r="61" spans="1:36" s="12" customFormat="1" hidden="1" outlineLevel="1">
      <c r="A61" s="95">
        <v>45157</v>
      </c>
      <c r="B61" s="25" t="s">
        <v>25</v>
      </c>
      <c r="C61" s="29"/>
      <c r="D61" s="29"/>
      <c r="E61" s="29">
        <f t="shared" si="4"/>
        <v>28</v>
      </c>
      <c r="G61" s="64">
        <v>0</v>
      </c>
      <c r="H61" s="63"/>
      <c r="I61" s="27"/>
      <c r="J61" s="28"/>
      <c r="K61" s="43"/>
      <c r="L61" s="29">
        <f t="shared" si="0"/>
        <v>-48</v>
      </c>
      <c r="M61" s="29">
        <f t="shared" si="3"/>
        <v>-48</v>
      </c>
      <c r="N61" s="29"/>
      <c r="O61" s="29"/>
      <c r="Q61" s="143"/>
      <c r="R61" s="144"/>
      <c r="S61" s="144"/>
      <c r="T61" s="144"/>
      <c r="U61" s="144"/>
      <c r="V61" s="144"/>
      <c r="W61" s="144"/>
      <c r="X61" s="29"/>
      <c r="Y61" s="29"/>
      <c r="Z61" s="1"/>
      <c r="AA61" s="1"/>
      <c r="AB61" s="1"/>
      <c r="AC61" s="1"/>
      <c r="AD61" s="1"/>
      <c r="AE61" s="1"/>
      <c r="AF61" s="1"/>
      <c r="AG61" s="1"/>
      <c r="AH61"/>
      <c r="AI61"/>
      <c r="AJ61"/>
    </row>
    <row r="62" spans="1:36" s="12" customFormat="1" hidden="1" outlineLevel="1">
      <c r="A62" s="95">
        <v>45158</v>
      </c>
      <c r="B62" s="25" t="s">
        <v>26</v>
      </c>
      <c r="C62" s="29"/>
      <c r="D62" s="29"/>
      <c r="E62" s="29">
        <f t="shared" si="4"/>
        <v>28</v>
      </c>
      <c r="G62" s="64">
        <v>0</v>
      </c>
      <c r="H62" s="63"/>
      <c r="I62" s="27"/>
      <c r="J62" s="28"/>
      <c r="K62" s="43"/>
      <c r="L62" s="29">
        <f t="shared" si="0"/>
        <v>-48</v>
      </c>
      <c r="M62" s="29">
        <f t="shared" si="3"/>
        <v>-48</v>
      </c>
      <c r="N62" s="29"/>
      <c r="O62" s="29"/>
      <c r="Q62" s="143"/>
      <c r="R62" s="144"/>
      <c r="S62" s="144"/>
      <c r="T62" s="144"/>
      <c r="U62" s="144"/>
      <c r="V62" s="144"/>
      <c r="W62" s="144"/>
      <c r="X62" s="29"/>
      <c r="Y62" s="29"/>
      <c r="Z62" s="1"/>
      <c r="AA62" s="1"/>
      <c r="AB62" s="1"/>
      <c r="AC62" s="1"/>
      <c r="AD62" s="1"/>
      <c r="AE62" s="1"/>
      <c r="AF62" s="1"/>
      <c r="AG62" s="1"/>
      <c r="AH62"/>
      <c r="AI62"/>
      <c r="AJ62"/>
    </row>
    <row r="63" spans="1:36" hidden="1" outlineLevel="1">
      <c r="A63" s="96">
        <v>45159</v>
      </c>
      <c r="B63" s="17" t="s">
        <v>18</v>
      </c>
      <c r="C63" s="18">
        <v>66</v>
      </c>
      <c r="D63" s="23">
        <v>48</v>
      </c>
      <c r="E63" s="23">
        <f t="shared" si="4"/>
        <v>10</v>
      </c>
      <c r="G63" s="78">
        <v>63</v>
      </c>
      <c r="H63" s="62">
        <f>C52</f>
        <v>66</v>
      </c>
      <c r="I63" s="20"/>
      <c r="J63" s="21"/>
      <c r="K63" s="57">
        <v>66</v>
      </c>
      <c r="L63" s="23">
        <f t="shared" si="0"/>
        <v>-45</v>
      </c>
      <c r="M63" s="23">
        <f t="shared" si="3"/>
        <v>-45</v>
      </c>
      <c r="N63" s="23"/>
      <c r="O63" s="23">
        <v>24</v>
      </c>
      <c r="Q63" s="141"/>
      <c r="R63" s="142"/>
      <c r="S63" s="142"/>
      <c r="T63" s="142"/>
      <c r="U63" s="142"/>
      <c r="V63" s="142"/>
      <c r="W63" s="142"/>
      <c r="X63" s="23"/>
      <c r="Y63" s="23">
        <v>24</v>
      </c>
    </row>
    <row r="64" spans="1:36" hidden="1" outlineLevel="1">
      <c r="A64" s="96">
        <v>45160</v>
      </c>
      <c r="B64" s="17" t="s">
        <v>19</v>
      </c>
      <c r="C64" s="18">
        <v>72</v>
      </c>
      <c r="D64" s="23">
        <v>33</v>
      </c>
      <c r="E64" s="23">
        <f t="shared" si="4"/>
        <v>-29</v>
      </c>
      <c r="G64" s="78">
        <v>81</v>
      </c>
      <c r="H64" s="62">
        <f>C60</f>
        <v>66</v>
      </c>
      <c r="I64" s="20"/>
      <c r="J64" s="21"/>
      <c r="K64" s="57">
        <v>66</v>
      </c>
      <c r="L64" s="23">
        <f t="shared" si="0"/>
        <v>-60</v>
      </c>
      <c r="M64" s="23">
        <f t="shared" si="3"/>
        <v>-60</v>
      </c>
      <c r="N64" s="23"/>
      <c r="O64" s="23">
        <v>15</v>
      </c>
      <c r="Q64" s="141"/>
      <c r="R64" s="142"/>
      <c r="S64" s="142"/>
      <c r="T64" s="142"/>
      <c r="U64" s="142"/>
      <c r="V64" s="142"/>
      <c r="W64" s="142"/>
      <c r="X64" s="23"/>
      <c r="Y64" s="23">
        <v>15</v>
      </c>
    </row>
    <row r="65" spans="1:36" hidden="1" outlineLevel="1">
      <c r="A65" s="96">
        <v>45161</v>
      </c>
      <c r="B65" s="17" t="s">
        <v>20</v>
      </c>
      <c r="C65" s="18">
        <v>66</v>
      </c>
      <c r="D65" s="23">
        <v>85</v>
      </c>
      <c r="E65" s="23">
        <f t="shared" si="4"/>
        <v>-10</v>
      </c>
      <c r="G65" s="78">
        <v>81</v>
      </c>
      <c r="H65" s="62">
        <f>C63</f>
        <v>66</v>
      </c>
      <c r="I65" s="20"/>
      <c r="J65" s="21"/>
      <c r="K65" s="57">
        <v>66</v>
      </c>
      <c r="L65" s="23">
        <f t="shared" si="0"/>
        <v>-75</v>
      </c>
      <c r="M65" s="23">
        <f t="shared" si="3"/>
        <v>-75</v>
      </c>
      <c r="N65" s="23"/>
      <c r="O65" s="23">
        <v>0</v>
      </c>
      <c r="Q65" s="141"/>
      <c r="R65" s="142"/>
      <c r="S65" s="142"/>
      <c r="T65" s="142"/>
      <c r="U65" s="142"/>
      <c r="V65" s="142"/>
      <c r="W65" s="142"/>
      <c r="X65" s="23"/>
      <c r="Y65" s="23">
        <v>0</v>
      </c>
    </row>
    <row r="66" spans="1:36" hidden="1" outlineLevel="1">
      <c r="A66" s="96">
        <v>45162</v>
      </c>
      <c r="B66" s="17" t="s">
        <v>14</v>
      </c>
      <c r="C66" s="18">
        <v>66</v>
      </c>
      <c r="D66" s="23">
        <v>66</v>
      </c>
      <c r="E66" s="23">
        <f t="shared" si="4"/>
        <v>-10</v>
      </c>
      <c r="G66" s="78">
        <v>63</v>
      </c>
      <c r="H66" s="62">
        <f>C64</f>
        <v>72</v>
      </c>
      <c r="I66" s="20"/>
      <c r="J66" s="21"/>
      <c r="K66" s="57">
        <v>72</v>
      </c>
      <c r="L66" s="23">
        <f t="shared" si="0"/>
        <v>-66</v>
      </c>
      <c r="M66" s="23">
        <f t="shared" si="3"/>
        <v>-66</v>
      </c>
      <c r="N66" s="23"/>
      <c r="O66" s="23">
        <v>10</v>
      </c>
      <c r="Q66" s="141"/>
      <c r="R66" s="142"/>
      <c r="S66" s="142"/>
      <c r="T66" s="142"/>
      <c r="U66" s="142"/>
      <c r="V66" s="142"/>
      <c r="W66" s="142"/>
      <c r="X66" s="23"/>
      <c r="Y66" s="23">
        <v>10</v>
      </c>
    </row>
    <row r="67" spans="1:36" hidden="1" outlineLevel="1">
      <c r="A67" s="96">
        <v>45163</v>
      </c>
      <c r="B67" s="17" t="s">
        <v>15</v>
      </c>
      <c r="C67" s="18">
        <v>66</v>
      </c>
      <c r="D67" s="23">
        <v>69</v>
      </c>
      <c r="E67" s="23">
        <f t="shared" si="4"/>
        <v>-7</v>
      </c>
      <c r="G67" s="108">
        <v>15</v>
      </c>
      <c r="H67" s="62">
        <f t="shared" ref="H67" si="5">C65</f>
        <v>66</v>
      </c>
      <c r="I67" s="20"/>
      <c r="J67" s="21"/>
      <c r="K67" s="57">
        <v>66</v>
      </c>
      <c r="L67" s="23">
        <f>L66-G67+K67</f>
        <v>-15</v>
      </c>
      <c r="M67" s="23">
        <f>M66-G67+H67</f>
        <v>-15</v>
      </c>
      <c r="N67" s="23"/>
      <c r="O67" s="23">
        <v>14</v>
      </c>
      <c r="Q67" s="141"/>
      <c r="R67" s="142"/>
      <c r="S67" s="142"/>
      <c r="T67" s="142"/>
      <c r="U67" s="142"/>
      <c r="V67" s="142"/>
      <c r="W67" s="142"/>
      <c r="X67" s="23"/>
      <c r="Y67" s="23">
        <v>14</v>
      </c>
    </row>
    <row r="68" spans="1:36" s="12" customFormat="1" hidden="1" outlineLevel="1">
      <c r="A68" s="95">
        <v>45164</v>
      </c>
      <c r="B68" s="25" t="s">
        <v>16</v>
      </c>
      <c r="C68" s="29"/>
      <c r="D68" s="29"/>
      <c r="E68" s="29">
        <f t="shared" si="4"/>
        <v>-7</v>
      </c>
      <c r="G68" s="79">
        <v>0</v>
      </c>
      <c r="H68" s="63"/>
      <c r="I68" s="27"/>
      <c r="J68" s="28"/>
      <c r="K68" s="43"/>
      <c r="L68" s="29">
        <f t="shared" ref="L68:L104" si="6">L67-G68+K68</f>
        <v>-15</v>
      </c>
      <c r="M68" s="29">
        <f t="shared" si="3"/>
        <v>-15</v>
      </c>
      <c r="N68" s="29"/>
      <c r="O68" s="29"/>
      <c r="Q68" s="143"/>
      <c r="R68" s="144"/>
      <c r="S68" s="144"/>
      <c r="T68" s="144"/>
      <c r="U68" s="144"/>
      <c r="V68" s="144"/>
      <c r="W68" s="144"/>
      <c r="X68" s="29"/>
      <c r="Y68" s="29"/>
      <c r="Z68" s="1"/>
      <c r="AA68" s="1"/>
      <c r="AB68" s="1"/>
      <c r="AC68" s="1"/>
      <c r="AD68" s="1"/>
      <c r="AE68" s="1"/>
      <c r="AF68" s="1"/>
      <c r="AG68" s="1"/>
      <c r="AH68"/>
      <c r="AI68"/>
      <c r="AJ68"/>
    </row>
    <row r="69" spans="1:36" s="12" customFormat="1" hidden="1" outlineLevel="1">
      <c r="A69" s="95">
        <v>45165</v>
      </c>
      <c r="B69" s="25" t="s">
        <v>17</v>
      </c>
      <c r="C69" s="29"/>
      <c r="D69" s="29"/>
      <c r="E69" s="29">
        <f t="shared" si="4"/>
        <v>-7</v>
      </c>
      <c r="G69" s="79">
        <v>0</v>
      </c>
      <c r="H69" s="63"/>
      <c r="I69" s="27"/>
      <c r="J69" s="28"/>
      <c r="K69" s="43"/>
      <c r="L69" s="29">
        <f t="shared" si="6"/>
        <v>-15</v>
      </c>
      <c r="M69" s="29">
        <f t="shared" si="3"/>
        <v>-15</v>
      </c>
      <c r="N69" s="29"/>
      <c r="O69" s="29"/>
      <c r="Q69" s="143"/>
      <c r="R69" s="144"/>
      <c r="S69" s="144"/>
      <c r="T69" s="144"/>
      <c r="U69" s="144"/>
      <c r="V69" s="144"/>
      <c r="W69" s="144"/>
      <c r="X69" s="29"/>
      <c r="Y69" s="29"/>
      <c r="Z69" s="1"/>
      <c r="AA69" s="1"/>
      <c r="AB69" s="1"/>
      <c r="AC69" s="1"/>
      <c r="AD69" s="1"/>
      <c r="AE69" s="1"/>
      <c r="AF69" s="1"/>
      <c r="AG69" s="1"/>
      <c r="AH69"/>
      <c r="AI69"/>
      <c r="AJ69"/>
    </row>
    <row r="70" spans="1:36" hidden="1" outlineLevel="1">
      <c r="A70" s="96">
        <v>45166</v>
      </c>
      <c r="B70" s="17" t="s">
        <v>18</v>
      </c>
      <c r="C70" s="18">
        <v>66</v>
      </c>
      <c r="D70" s="23">
        <v>50</v>
      </c>
      <c r="E70" s="23">
        <f t="shared" si="4"/>
        <v>-23</v>
      </c>
      <c r="G70" s="78">
        <v>63</v>
      </c>
      <c r="H70" s="62">
        <f>C66</f>
        <v>66</v>
      </c>
      <c r="I70" s="20"/>
      <c r="J70" s="21"/>
      <c r="K70" s="57">
        <v>66</v>
      </c>
      <c r="L70" s="23">
        <f>L69-G70+K70</f>
        <v>-12</v>
      </c>
      <c r="M70" s="23">
        <f>M69-G70+H70</f>
        <v>-12</v>
      </c>
      <c r="N70" s="23"/>
      <c r="O70" s="23">
        <v>9</v>
      </c>
      <c r="Q70" s="141"/>
      <c r="R70" s="142"/>
      <c r="S70" s="142"/>
      <c r="T70" s="142"/>
      <c r="U70" s="142"/>
      <c r="V70" s="142"/>
      <c r="W70" s="142"/>
      <c r="X70" s="23"/>
      <c r="Y70" s="23">
        <v>9</v>
      </c>
    </row>
    <row r="71" spans="1:36" hidden="1" outlineLevel="1">
      <c r="A71" s="96">
        <v>45167</v>
      </c>
      <c r="B71" s="17" t="s">
        <v>19</v>
      </c>
      <c r="C71" s="18">
        <v>72</v>
      </c>
      <c r="D71" s="23">
        <v>71</v>
      </c>
      <c r="E71" s="23">
        <f t="shared" si="4"/>
        <v>-24</v>
      </c>
      <c r="G71" s="78">
        <v>81</v>
      </c>
      <c r="H71" s="62">
        <f>C67</f>
        <v>66</v>
      </c>
      <c r="I71" s="20"/>
      <c r="J71" s="21"/>
      <c r="K71" s="57">
        <v>66</v>
      </c>
      <c r="L71" s="23">
        <f t="shared" si="6"/>
        <v>-27</v>
      </c>
      <c r="M71" s="23">
        <f>M70-G71+H71</f>
        <v>-27</v>
      </c>
      <c r="N71" s="23"/>
      <c r="O71" s="23">
        <v>0</v>
      </c>
      <c r="Q71" s="141"/>
      <c r="R71" s="142"/>
      <c r="S71" s="142"/>
      <c r="T71" s="142"/>
      <c r="U71" s="142"/>
      <c r="V71" s="142"/>
      <c r="W71" s="142"/>
      <c r="X71" s="23"/>
      <c r="Y71" s="23">
        <v>0</v>
      </c>
    </row>
    <row r="72" spans="1:36" hidden="1" outlineLevel="1">
      <c r="A72" s="96">
        <v>45168</v>
      </c>
      <c r="B72" s="17" t="s">
        <v>20</v>
      </c>
      <c r="C72" s="18">
        <v>66</v>
      </c>
      <c r="D72" s="23">
        <v>67</v>
      </c>
      <c r="E72" s="23">
        <f t="shared" si="4"/>
        <v>-23</v>
      </c>
      <c r="G72" s="78">
        <v>81</v>
      </c>
      <c r="H72" s="62">
        <f>C70</f>
        <v>66</v>
      </c>
      <c r="I72" s="20"/>
      <c r="J72" s="21"/>
      <c r="K72" s="57">
        <v>66</v>
      </c>
      <c r="L72" s="23">
        <f t="shared" si="6"/>
        <v>-42</v>
      </c>
      <c r="M72" s="23">
        <f>M71-G72+H72</f>
        <v>-42</v>
      </c>
      <c r="N72" s="23"/>
      <c r="O72" s="23">
        <v>15</v>
      </c>
      <c r="Q72" s="141"/>
      <c r="R72" s="142"/>
      <c r="S72" s="142"/>
      <c r="T72" s="142"/>
      <c r="U72" s="142"/>
      <c r="V72" s="142"/>
      <c r="W72" s="142"/>
      <c r="X72" s="23"/>
      <c r="Y72" s="23">
        <v>15</v>
      </c>
    </row>
    <row r="73" spans="1:36" hidden="1" outlineLevel="1">
      <c r="A73" s="96">
        <v>45169</v>
      </c>
      <c r="B73" s="17" t="s">
        <v>14</v>
      </c>
      <c r="C73" s="18">
        <v>72</v>
      </c>
      <c r="D73" s="23">
        <v>66</v>
      </c>
      <c r="E73" s="23">
        <f t="shared" si="4"/>
        <v>-29</v>
      </c>
      <c r="G73" s="78">
        <v>60</v>
      </c>
      <c r="H73" s="62">
        <f t="shared" ref="H73:H74" si="7">C71</f>
        <v>72</v>
      </c>
      <c r="I73" s="20"/>
      <c r="J73" s="21"/>
      <c r="K73" s="57">
        <v>72</v>
      </c>
      <c r="L73" s="23">
        <f t="shared" si="6"/>
        <v>-30</v>
      </c>
      <c r="M73" s="23">
        <f t="shared" si="3"/>
        <v>-30</v>
      </c>
      <c r="N73" s="23"/>
      <c r="O73" s="23">
        <v>6</v>
      </c>
      <c r="Q73" s="141"/>
      <c r="R73" s="142"/>
      <c r="S73" s="142"/>
      <c r="T73" s="142"/>
      <c r="U73" s="142"/>
      <c r="V73" s="142"/>
      <c r="W73" s="142"/>
      <c r="X73" s="23"/>
      <c r="Y73" s="23">
        <v>6</v>
      </c>
    </row>
    <row r="74" spans="1:36" hidden="1" outlineLevel="1">
      <c r="A74" s="96">
        <v>45170</v>
      </c>
      <c r="B74" s="17" t="s">
        <v>15</v>
      </c>
      <c r="C74" s="18">
        <v>66</v>
      </c>
      <c r="D74" s="23">
        <v>84</v>
      </c>
      <c r="E74" s="23">
        <f t="shared" si="4"/>
        <v>-11</v>
      </c>
      <c r="G74" s="78">
        <v>81</v>
      </c>
      <c r="H74" s="62">
        <f t="shared" si="7"/>
        <v>66</v>
      </c>
      <c r="I74" s="20"/>
      <c r="J74" s="21"/>
      <c r="K74" s="57">
        <v>66</v>
      </c>
      <c r="L74" s="23">
        <f t="shared" si="6"/>
        <v>-45</v>
      </c>
      <c r="M74" s="23">
        <f>M73-G74+H74</f>
        <v>-45</v>
      </c>
      <c r="N74" s="23"/>
      <c r="O74" s="23">
        <v>16</v>
      </c>
      <c r="Q74" s="141"/>
      <c r="R74" s="142"/>
      <c r="S74" s="142"/>
      <c r="T74" s="142"/>
      <c r="U74" s="142"/>
      <c r="V74" s="142"/>
      <c r="W74" s="142"/>
      <c r="X74" s="23"/>
      <c r="Y74" s="23">
        <v>16</v>
      </c>
    </row>
    <row r="75" spans="1:36" s="12" customFormat="1" hidden="1" outlineLevel="1">
      <c r="A75" s="95">
        <v>45171</v>
      </c>
      <c r="B75" s="25" t="s">
        <v>16</v>
      </c>
      <c r="C75" s="29">
        <v>42</v>
      </c>
      <c r="D75" s="29">
        <v>41</v>
      </c>
      <c r="E75" s="29">
        <f t="shared" si="4"/>
        <v>-12</v>
      </c>
      <c r="G75" s="79">
        <v>0</v>
      </c>
      <c r="H75" s="63"/>
      <c r="I75" s="27"/>
      <c r="J75" s="28"/>
      <c r="K75" s="43"/>
      <c r="L75" s="29">
        <f t="shared" si="6"/>
        <v>-45</v>
      </c>
      <c r="M75" s="29">
        <f t="shared" si="3"/>
        <v>-45</v>
      </c>
      <c r="N75" s="29"/>
      <c r="O75" s="29"/>
      <c r="Q75" s="143"/>
      <c r="R75" s="144"/>
      <c r="S75" s="144"/>
      <c r="T75" s="144"/>
      <c r="U75" s="144"/>
      <c r="V75" s="144"/>
      <c r="W75" s="144"/>
      <c r="X75" s="29"/>
      <c r="Y75" s="29"/>
      <c r="Z75" s="1"/>
      <c r="AA75" s="1"/>
      <c r="AB75" s="1"/>
      <c r="AC75" s="1"/>
      <c r="AD75" s="1"/>
      <c r="AE75" s="1"/>
      <c r="AF75" s="1"/>
      <c r="AG75" s="1"/>
      <c r="AH75"/>
      <c r="AI75"/>
      <c r="AJ75"/>
    </row>
    <row r="76" spans="1:36" s="12" customFormat="1" hidden="1" outlineLevel="1">
      <c r="A76" s="95">
        <v>45172</v>
      </c>
      <c r="B76" s="25" t="s">
        <v>17</v>
      </c>
      <c r="C76" s="29"/>
      <c r="D76" s="29"/>
      <c r="E76" s="29">
        <f t="shared" si="4"/>
        <v>-12</v>
      </c>
      <c r="G76" s="79">
        <v>0</v>
      </c>
      <c r="H76" s="63"/>
      <c r="I76" s="27"/>
      <c r="J76" s="28"/>
      <c r="K76" s="43"/>
      <c r="L76" s="29">
        <f t="shared" si="6"/>
        <v>-45</v>
      </c>
      <c r="M76" s="29">
        <f t="shared" si="3"/>
        <v>-45</v>
      </c>
      <c r="N76" s="29"/>
      <c r="O76" s="29"/>
      <c r="Q76" s="143"/>
      <c r="R76" s="144"/>
      <c r="S76" s="144"/>
      <c r="T76" s="144"/>
      <c r="U76" s="144"/>
      <c r="V76" s="144"/>
      <c r="W76" s="144"/>
      <c r="X76" s="29"/>
      <c r="Y76" s="29"/>
      <c r="Z76" s="1"/>
      <c r="AA76" s="1"/>
      <c r="AB76" s="1"/>
      <c r="AC76" s="1"/>
      <c r="AD76" s="1"/>
      <c r="AE76" s="1"/>
      <c r="AF76" s="1"/>
      <c r="AG76" s="1"/>
      <c r="AH76"/>
      <c r="AI76"/>
      <c r="AJ76"/>
    </row>
    <row r="77" spans="1:36" hidden="1" outlineLevel="1">
      <c r="A77" s="96">
        <v>45173</v>
      </c>
      <c r="B77" s="17" t="s">
        <v>18</v>
      </c>
      <c r="C77" s="18">
        <v>66</v>
      </c>
      <c r="D77" s="23">
        <v>39</v>
      </c>
      <c r="E77" s="23">
        <f t="shared" si="4"/>
        <v>-39</v>
      </c>
      <c r="G77" s="78">
        <v>63</v>
      </c>
      <c r="H77" s="62">
        <f>C73+I77</f>
        <v>72</v>
      </c>
      <c r="I77" s="20"/>
      <c r="J77" s="21"/>
      <c r="K77" s="57">
        <v>72</v>
      </c>
      <c r="L77" s="23">
        <f t="shared" si="6"/>
        <v>-36</v>
      </c>
      <c r="M77" s="23">
        <f t="shared" si="3"/>
        <v>-36</v>
      </c>
      <c r="N77" s="23"/>
      <c r="O77" s="23">
        <v>10</v>
      </c>
      <c r="Q77" s="141"/>
      <c r="R77" s="142"/>
      <c r="S77" s="142"/>
      <c r="T77" s="142"/>
      <c r="U77" s="142"/>
      <c r="V77" s="142"/>
      <c r="W77" s="142"/>
      <c r="X77" s="23"/>
      <c r="Y77" s="23">
        <v>10</v>
      </c>
    </row>
    <row r="78" spans="1:36" hidden="1" outlineLevel="1">
      <c r="A78" s="96">
        <v>45174</v>
      </c>
      <c r="B78" s="17" t="s">
        <v>19</v>
      </c>
      <c r="C78" s="18">
        <v>72</v>
      </c>
      <c r="D78" s="23">
        <v>92</v>
      </c>
      <c r="E78" s="23">
        <f t="shared" si="4"/>
        <v>-19</v>
      </c>
      <c r="G78" s="78">
        <v>78</v>
      </c>
      <c r="H78" s="62">
        <f>C74+I78</f>
        <v>78</v>
      </c>
      <c r="I78" s="20">
        <v>12</v>
      </c>
      <c r="J78" s="21"/>
      <c r="K78" s="57">
        <v>78</v>
      </c>
      <c r="L78" s="23">
        <f t="shared" si="6"/>
        <v>-36</v>
      </c>
      <c r="M78" s="23">
        <f t="shared" si="3"/>
        <v>-36</v>
      </c>
      <c r="N78" s="23"/>
      <c r="O78" s="23">
        <v>8</v>
      </c>
      <c r="Q78" s="141"/>
      <c r="R78" s="142"/>
      <c r="S78" s="142"/>
      <c r="T78" s="142"/>
      <c r="U78" s="142"/>
      <c r="V78" s="142"/>
      <c r="W78" s="142"/>
      <c r="X78" s="23"/>
      <c r="Y78" s="23">
        <v>8</v>
      </c>
    </row>
    <row r="79" spans="1:36" hidden="1" outlineLevel="1">
      <c r="A79" s="96">
        <v>45175</v>
      </c>
      <c r="B79" s="17" t="s">
        <v>20</v>
      </c>
      <c r="C79" s="18">
        <v>66</v>
      </c>
      <c r="D79" s="23">
        <v>82</v>
      </c>
      <c r="E79" s="23">
        <f t="shared" si="4"/>
        <v>-3</v>
      </c>
      <c r="G79" s="78">
        <v>78</v>
      </c>
      <c r="H79" s="62">
        <f>C77+I79</f>
        <v>84</v>
      </c>
      <c r="I79" s="20">
        <v>18</v>
      </c>
      <c r="J79" s="21"/>
      <c r="K79" s="57">
        <v>84</v>
      </c>
      <c r="L79" s="23">
        <f t="shared" si="6"/>
        <v>-30</v>
      </c>
      <c r="M79" s="23">
        <f t="shared" si="3"/>
        <v>-30</v>
      </c>
      <c r="N79" s="23"/>
      <c r="O79" s="23">
        <v>17</v>
      </c>
      <c r="Q79" s="141"/>
      <c r="R79" s="142"/>
      <c r="S79" s="142"/>
      <c r="T79" s="142"/>
      <c r="U79" s="142"/>
      <c r="V79" s="142"/>
      <c r="W79" s="142"/>
      <c r="X79" s="23"/>
      <c r="Y79" s="23">
        <v>17</v>
      </c>
    </row>
    <row r="80" spans="1:36" hidden="1" outlineLevel="1">
      <c r="A80" s="96">
        <v>45176</v>
      </c>
      <c r="B80" s="17" t="s">
        <v>14</v>
      </c>
      <c r="C80" s="18">
        <v>72</v>
      </c>
      <c r="D80" s="23">
        <v>59</v>
      </c>
      <c r="E80" s="23">
        <f t="shared" si="4"/>
        <v>-16</v>
      </c>
      <c r="G80" s="78">
        <v>63</v>
      </c>
      <c r="H80" s="62">
        <f t="shared" ref="H80:H81" si="8">C78+I80</f>
        <v>84</v>
      </c>
      <c r="I80" s="20">
        <v>12</v>
      </c>
      <c r="J80" s="21">
        <v>42</v>
      </c>
      <c r="K80" s="57">
        <v>84</v>
      </c>
      <c r="L80" s="23">
        <f t="shared" si="6"/>
        <v>-9</v>
      </c>
      <c r="M80" s="23">
        <f t="shared" si="3"/>
        <v>-9</v>
      </c>
      <c r="N80" s="23"/>
      <c r="O80" s="23">
        <v>17</v>
      </c>
      <c r="Q80" s="141"/>
      <c r="R80" s="142"/>
      <c r="S80" s="142"/>
      <c r="T80" s="142"/>
      <c r="U80" s="142"/>
      <c r="V80" s="142"/>
      <c r="W80" s="142"/>
      <c r="X80" s="23"/>
      <c r="Y80" s="23">
        <v>17</v>
      </c>
    </row>
    <row r="81" spans="1:36" hidden="1" outlineLevel="1">
      <c r="A81" s="96">
        <v>45177</v>
      </c>
      <c r="B81" s="17" t="s">
        <v>15</v>
      </c>
      <c r="C81" s="18">
        <v>66</v>
      </c>
      <c r="D81" s="23">
        <v>62</v>
      </c>
      <c r="E81" s="23">
        <f t="shared" si="4"/>
        <v>-20</v>
      </c>
      <c r="G81" s="78">
        <v>39</v>
      </c>
      <c r="H81" s="62">
        <f t="shared" si="8"/>
        <v>66</v>
      </c>
      <c r="I81" s="20"/>
      <c r="J81" s="21"/>
      <c r="K81" s="57">
        <v>66</v>
      </c>
      <c r="L81" s="23">
        <f t="shared" si="6"/>
        <v>18</v>
      </c>
      <c r="M81" s="23">
        <f t="shared" si="3"/>
        <v>18</v>
      </c>
      <c r="N81" s="23"/>
      <c r="O81" s="23">
        <v>11</v>
      </c>
      <c r="Q81" s="141"/>
      <c r="R81" s="142"/>
      <c r="S81" s="142"/>
      <c r="T81" s="142"/>
      <c r="U81" s="142"/>
      <c r="V81" s="142"/>
      <c r="W81" s="142"/>
      <c r="X81" s="23"/>
      <c r="Y81" s="23">
        <v>11</v>
      </c>
    </row>
    <row r="82" spans="1:36" s="12" customFormat="1" hidden="1" outlineLevel="1">
      <c r="A82" s="95">
        <v>45178</v>
      </c>
      <c r="B82" s="25" t="s">
        <v>16</v>
      </c>
      <c r="C82" s="29"/>
      <c r="D82" s="29"/>
      <c r="E82" s="29">
        <f t="shared" si="4"/>
        <v>-20</v>
      </c>
      <c r="G82" s="79">
        <v>0</v>
      </c>
      <c r="H82" s="63"/>
      <c r="I82" s="27"/>
      <c r="J82" s="28"/>
      <c r="K82" s="43"/>
      <c r="L82" s="29">
        <f t="shared" si="6"/>
        <v>18</v>
      </c>
      <c r="M82" s="29">
        <f t="shared" si="3"/>
        <v>18</v>
      </c>
      <c r="N82" s="29"/>
      <c r="O82" s="29"/>
      <c r="Q82" s="143"/>
      <c r="R82" s="144"/>
      <c r="S82" s="144"/>
      <c r="T82" s="144"/>
      <c r="U82" s="144"/>
      <c r="V82" s="144"/>
      <c r="W82" s="144"/>
      <c r="X82" s="29"/>
      <c r="Y82" s="29"/>
      <c r="Z82" s="1"/>
      <c r="AA82" s="1"/>
      <c r="AB82" s="1"/>
      <c r="AC82" s="1"/>
      <c r="AD82" s="1"/>
      <c r="AE82" s="1"/>
      <c r="AF82" s="1"/>
      <c r="AG82" s="1"/>
      <c r="AH82"/>
      <c r="AI82"/>
      <c r="AJ82"/>
    </row>
    <row r="83" spans="1:36" s="12" customFormat="1" hidden="1" outlineLevel="1">
      <c r="A83" s="95">
        <v>45179</v>
      </c>
      <c r="B83" s="25" t="s">
        <v>17</v>
      </c>
      <c r="C83" s="29"/>
      <c r="D83" s="29"/>
      <c r="E83" s="29">
        <f t="shared" si="4"/>
        <v>-20</v>
      </c>
      <c r="G83" s="79">
        <v>0</v>
      </c>
      <c r="H83" s="63"/>
      <c r="I83" s="27"/>
      <c r="J83" s="28"/>
      <c r="K83" s="43"/>
      <c r="L83" s="29">
        <f t="shared" si="6"/>
        <v>18</v>
      </c>
      <c r="M83" s="29">
        <f t="shared" si="3"/>
        <v>18</v>
      </c>
      <c r="N83" s="29"/>
      <c r="O83" s="29"/>
      <c r="Q83" s="143"/>
      <c r="R83" s="144"/>
      <c r="S83" s="144"/>
      <c r="T83" s="144"/>
      <c r="U83" s="144"/>
      <c r="V83" s="144"/>
      <c r="W83" s="144"/>
      <c r="X83" s="29"/>
      <c r="Y83" s="29"/>
      <c r="Z83" s="1"/>
      <c r="AA83" s="1"/>
      <c r="AB83" s="1"/>
      <c r="AC83" s="1"/>
      <c r="AD83" s="1"/>
      <c r="AE83" s="1"/>
      <c r="AF83" s="1"/>
      <c r="AG83" s="1"/>
      <c r="AH83"/>
      <c r="AI83"/>
      <c r="AJ83"/>
    </row>
    <row r="84" spans="1:36" hidden="1" outlineLevel="1">
      <c r="A84" s="96">
        <v>45180</v>
      </c>
      <c r="B84" s="17" t="s">
        <v>18</v>
      </c>
      <c r="C84" s="18">
        <v>66</v>
      </c>
      <c r="D84" s="23">
        <v>78</v>
      </c>
      <c r="E84" s="23">
        <f t="shared" si="4"/>
        <v>-8</v>
      </c>
      <c r="G84" s="78">
        <v>66</v>
      </c>
      <c r="H84" s="62">
        <f>C80</f>
        <v>72</v>
      </c>
      <c r="I84" s="20"/>
      <c r="J84" s="21"/>
      <c r="K84" s="57">
        <v>72</v>
      </c>
      <c r="L84" s="23">
        <f t="shared" si="6"/>
        <v>24</v>
      </c>
      <c r="M84" s="23">
        <f t="shared" si="3"/>
        <v>24</v>
      </c>
      <c r="N84" s="23"/>
      <c r="O84" s="23">
        <v>0</v>
      </c>
      <c r="Q84" s="141"/>
      <c r="R84" s="142"/>
      <c r="S84" s="142"/>
      <c r="T84" s="142"/>
      <c r="U84" s="142"/>
      <c r="V84" s="142"/>
      <c r="W84" s="142"/>
      <c r="X84" s="23"/>
      <c r="Y84" s="23">
        <v>0</v>
      </c>
    </row>
    <row r="85" spans="1:36" hidden="1" outlineLevel="1">
      <c r="A85" s="96">
        <v>45181</v>
      </c>
      <c r="B85" s="17" t="s">
        <v>19</v>
      </c>
      <c r="C85" s="18">
        <v>72</v>
      </c>
      <c r="D85" s="23">
        <v>72</v>
      </c>
      <c r="E85" s="23">
        <f t="shared" si="4"/>
        <v>-8</v>
      </c>
      <c r="G85" s="78">
        <v>147</v>
      </c>
      <c r="H85" s="62">
        <f>C81</f>
        <v>66</v>
      </c>
      <c r="I85" s="20"/>
      <c r="J85" s="21"/>
      <c r="K85" s="57">
        <v>66</v>
      </c>
      <c r="L85" s="23">
        <f t="shared" si="6"/>
        <v>-57</v>
      </c>
      <c r="M85" s="23">
        <f t="shared" si="3"/>
        <v>-57</v>
      </c>
      <c r="N85" s="23"/>
      <c r="O85" s="23">
        <v>12</v>
      </c>
      <c r="Q85" s="145"/>
      <c r="R85" s="146"/>
      <c r="S85" s="146"/>
      <c r="T85" s="146"/>
      <c r="U85" s="146"/>
      <c r="V85" s="146"/>
      <c r="W85" s="146"/>
      <c r="X85" s="23"/>
      <c r="Y85" s="23">
        <v>12</v>
      </c>
    </row>
    <row r="86" spans="1:36" hidden="1" outlineLevel="1">
      <c r="A86" s="96">
        <v>45182</v>
      </c>
      <c r="B86" s="17" t="s">
        <v>20</v>
      </c>
      <c r="C86" s="18">
        <v>66</v>
      </c>
      <c r="D86" s="23">
        <v>72</v>
      </c>
      <c r="E86" s="23">
        <f t="shared" si="4"/>
        <v>-2</v>
      </c>
      <c r="G86" s="78">
        <v>63</v>
      </c>
      <c r="H86" s="62">
        <f>C84</f>
        <v>66</v>
      </c>
      <c r="I86" s="20"/>
      <c r="J86" s="21"/>
      <c r="K86" s="57">
        <v>66</v>
      </c>
      <c r="L86" s="23">
        <f t="shared" si="6"/>
        <v>-54</v>
      </c>
      <c r="M86" s="23">
        <f t="shared" si="3"/>
        <v>-54</v>
      </c>
      <c r="N86" s="23"/>
      <c r="O86" s="23">
        <v>21</v>
      </c>
      <c r="Q86" s="78"/>
      <c r="R86" s="62"/>
      <c r="S86" s="20"/>
      <c r="T86" s="21"/>
      <c r="U86" s="42"/>
      <c r="V86" s="23"/>
      <c r="W86" s="23"/>
      <c r="X86" s="23"/>
      <c r="Y86" s="23">
        <v>21</v>
      </c>
      <c r="AA86" s="250"/>
      <c r="AB86" s="156"/>
      <c r="AC86"/>
      <c r="AD86"/>
      <c r="AE86" s="156"/>
      <c r="AF86"/>
      <c r="AG86"/>
    </row>
    <row r="87" spans="1:36" hidden="1" outlineLevel="1">
      <c r="A87" s="96">
        <v>45183</v>
      </c>
      <c r="B87" s="17" t="s">
        <v>14</v>
      </c>
      <c r="C87" s="18">
        <v>72</v>
      </c>
      <c r="D87" s="23">
        <v>72</v>
      </c>
      <c r="E87" s="23">
        <f t="shared" si="4"/>
        <v>-2</v>
      </c>
      <c r="G87" s="78">
        <v>81</v>
      </c>
      <c r="H87" s="62">
        <f t="shared" ref="H87:H88" si="9">C85</f>
        <v>72</v>
      </c>
      <c r="I87" s="20"/>
      <c r="J87" s="21"/>
      <c r="K87" s="57">
        <v>72</v>
      </c>
      <c r="L87" s="23">
        <f t="shared" si="6"/>
        <v>-63</v>
      </c>
      <c r="M87" s="23">
        <f t="shared" si="3"/>
        <v>-63</v>
      </c>
      <c r="N87" s="23"/>
      <c r="O87" s="23">
        <v>0</v>
      </c>
      <c r="Q87" s="78"/>
      <c r="R87" s="62"/>
      <c r="S87" s="20"/>
      <c r="T87" s="21"/>
      <c r="U87" s="42"/>
      <c r="V87" s="23"/>
      <c r="W87" s="23"/>
      <c r="X87" s="23"/>
      <c r="Y87" s="23">
        <v>0</v>
      </c>
      <c r="AA87" s="250"/>
      <c r="AB87" s="156"/>
      <c r="AC87"/>
      <c r="AD87"/>
      <c r="AE87" s="156"/>
      <c r="AF87"/>
      <c r="AG87"/>
    </row>
    <row r="88" spans="1:36" hidden="1" outlineLevel="1">
      <c r="A88" s="96">
        <v>45184</v>
      </c>
      <c r="B88" s="17" t="s">
        <v>15</v>
      </c>
      <c r="C88" s="18">
        <v>66</v>
      </c>
      <c r="D88" s="23">
        <v>66</v>
      </c>
      <c r="E88" s="23">
        <f t="shared" si="4"/>
        <v>-2</v>
      </c>
      <c r="G88" s="78">
        <v>66</v>
      </c>
      <c r="H88" s="62">
        <f t="shared" si="9"/>
        <v>66</v>
      </c>
      <c r="I88" s="20"/>
      <c r="J88" s="21"/>
      <c r="K88" s="57">
        <v>66</v>
      </c>
      <c r="L88" s="23">
        <f t="shared" si="6"/>
        <v>-63</v>
      </c>
      <c r="M88" s="23">
        <f t="shared" si="3"/>
        <v>-63</v>
      </c>
      <c r="N88" s="23"/>
      <c r="O88" s="23">
        <v>0</v>
      </c>
      <c r="Q88" s="78"/>
      <c r="R88" s="62"/>
      <c r="S88" s="20"/>
      <c r="T88" s="21"/>
      <c r="U88" s="42"/>
      <c r="V88" s="23"/>
      <c r="W88" s="23"/>
      <c r="X88" s="23"/>
      <c r="Y88" s="23">
        <v>0</v>
      </c>
      <c r="AA88" s="250"/>
      <c r="AB88" s="156"/>
      <c r="AC88"/>
      <c r="AD88"/>
      <c r="AE88" s="156"/>
      <c r="AF88"/>
      <c r="AG88"/>
    </row>
    <row r="89" spans="1:36" s="12" customFormat="1" hidden="1" outlineLevel="1">
      <c r="A89" s="95">
        <v>45185</v>
      </c>
      <c r="B89" s="25" t="s">
        <v>16</v>
      </c>
      <c r="C89" s="29"/>
      <c r="D89" s="29"/>
      <c r="E89" s="29">
        <f t="shared" si="4"/>
        <v>-2</v>
      </c>
      <c r="G89" s="79">
        <v>0</v>
      </c>
      <c r="H89" s="63"/>
      <c r="I89" s="27"/>
      <c r="J89" s="28"/>
      <c r="K89" s="43"/>
      <c r="L89" s="29">
        <f t="shared" si="6"/>
        <v>-63</v>
      </c>
      <c r="M89" s="29">
        <f t="shared" si="3"/>
        <v>-63</v>
      </c>
      <c r="N89" s="29"/>
      <c r="O89" s="29"/>
      <c r="Q89" s="79"/>
      <c r="R89" s="63"/>
      <c r="S89" s="27"/>
      <c r="T89" s="28"/>
      <c r="U89" s="43"/>
      <c r="V89" s="29"/>
      <c r="W89" s="29"/>
      <c r="X89" s="29"/>
      <c r="Y89" s="29"/>
      <c r="Z89" s="1"/>
      <c r="AA89" s="250"/>
      <c r="AB89" s="156"/>
      <c r="AC89"/>
      <c r="AD89"/>
      <c r="AE89" s="156"/>
      <c r="AF89"/>
      <c r="AG89"/>
      <c r="AH89"/>
      <c r="AI89"/>
      <c r="AJ89"/>
    </row>
    <row r="90" spans="1:36" s="12" customFormat="1" hidden="1" outlineLevel="1">
      <c r="A90" s="95">
        <v>45186</v>
      </c>
      <c r="B90" s="25" t="s">
        <v>17</v>
      </c>
      <c r="C90" s="29"/>
      <c r="D90" s="29"/>
      <c r="E90" s="29">
        <f t="shared" si="4"/>
        <v>-2</v>
      </c>
      <c r="G90" s="79">
        <v>0</v>
      </c>
      <c r="H90" s="63"/>
      <c r="I90" s="27"/>
      <c r="J90" s="28"/>
      <c r="K90" s="43"/>
      <c r="L90" s="29">
        <f t="shared" si="6"/>
        <v>-63</v>
      </c>
      <c r="M90" s="29">
        <f t="shared" si="3"/>
        <v>-63</v>
      </c>
      <c r="N90" s="29"/>
      <c r="O90" s="29"/>
      <c r="Q90" s="79"/>
      <c r="R90" s="63"/>
      <c r="S90" s="27"/>
      <c r="T90" s="28"/>
      <c r="U90" s="43"/>
      <c r="V90" s="29"/>
      <c r="W90" s="29"/>
      <c r="X90" s="29"/>
      <c r="Y90" s="29"/>
      <c r="Z90" s="1"/>
      <c r="AA90" s="250"/>
      <c r="AB90" s="156"/>
      <c r="AC90"/>
      <c r="AD90"/>
      <c r="AE90" s="156"/>
      <c r="AF90"/>
      <c r="AG90"/>
      <c r="AH90"/>
      <c r="AI90"/>
      <c r="AJ90"/>
    </row>
    <row r="91" spans="1:36" s="12" customFormat="1" hidden="1" outlineLevel="1">
      <c r="A91" s="128">
        <v>45187</v>
      </c>
      <c r="B91" s="129" t="s">
        <v>18</v>
      </c>
      <c r="C91" s="130"/>
      <c r="D91" s="130">
        <v>33</v>
      </c>
      <c r="E91" s="130">
        <f t="shared" si="4"/>
        <v>31</v>
      </c>
      <c r="G91" s="79">
        <v>0</v>
      </c>
      <c r="H91" s="63"/>
      <c r="I91" s="27"/>
      <c r="J91" s="28"/>
      <c r="K91" s="43"/>
      <c r="L91" s="29">
        <f t="shared" si="6"/>
        <v>-63</v>
      </c>
      <c r="M91" s="29">
        <f t="shared" si="3"/>
        <v>-63</v>
      </c>
      <c r="N91" s="29"/>
      <c r="O91" s="29">
        <v>16</v>
      </c>
      <c r="Q91" s="79"/>
      <c r="R91" s="63"/>
      <c r="S91" s="27"/>
      <c r="T91" s="28"/>
      <c r="U91" s="43"/>
      <c r="V91" s="29"/>
      <c r="W91" s="29"/>
      <c r="X91" s="29"/>
      <c r="Y91" s="29">
        <v>16</v>
      </c>
      <c r="Z91" s="1"/>
      <c r="AA91" s="250"/>
      <c r="AB91" s="156"/>
      <c r="AC91"/>
      <c r="AD91"/>
      <c r="AE91" s="156"/>
      <c r="AF91"/>
      <c r="AG91"/>
      <c r="AH91"/>
      <c r="AI91"/>
      <c r="AJ91"/>
    </row>
    <row r="92" spans="1:36" hidden="1" outlineLevel="1">
      <c r="A92" s="131">
        <v>45188</v>
      </c>
      <c r="B92" s="132" t="s">
        <v>19</v>
      </c>
      <c r="C92" s="133">
        <v>0</v>
      </c>
      <c r="D92" s="118">
        <v>73</v>
      </c>
      <c r="E92" s="118">
        <f t="shared" si="4"/>
        <v>104</v>
      </c>
      <c r="F92" s="134"/>
      <c r="G92" s="135">
        <v>81</v>
      </c>
      <c r="H92" s="119">
        <f>C87</f>
        <v>72</v>
      </c>
      <c r="I92" s="120"/>
      <c r="J92" s="121"/>
      <c r="K92" s="127">
        <v>72</v>
      </c>
      <c r="L92" s="118">
        <f t="shared" si="6"/>
        <v>-72</v>
      </c>
      <c r="M92" s="118">
        <f t="shared" si="3"/>
        <v>-72</v>
      </c>
      <c r="N92" s="118"/>
      <c r="O92" s="118">
        <v>16</v>
      </c>
      <c r="P92" s="122"/>
      <c r="Q92" s="135"/>
      <c r="R92" s="119"/>
      <c r="S92" s="120"/>
      <c r="T92" s="121"/>
      <c r="U92" s="147"/>
      <c r="V92" s="118"/>
      <c r="W92" s="118"/>
      <c r="X92" s="118"/>
      <c r="Y92" s="118">
        <v>16</v>
      </c>
      <c r="AA92" s="250"/>
      <c r="AB92" s="156"/>
      <c r="AC92"/>
      <c r="AD92"/>
      <c r="AE92" s="156"/>
      <c r="AF92"/>
      <c r="AG92"/>
    </row>
    <row r="93" spans="1:36" hidden="1" outlineLevel="1">
      <c r="A93" s="96">
        <v>45189</v>
      </c>
      <c r="B93" s="17" t="s">
        <v>20</v>
      </c>
      <c r="C93" s="105">
        <v>54</v>
      </c>
      <c r="D93" s="23">
        <v>33</v>
      </c>
      <c r="E93" s="23">
        <f t="shared" si="4"/>
        <v>83</v>
      </c>
      <c r="F93" s="122"/>
      <c r="G93" s="78">
        <v>71</v>
      </c>
      <c r="H93" s="62">
        <f>C88</f>
        <v>66</v>
      </c>
      <c r="I93" s="20"/>
      <c r="J93" s="21"/>
      <c r="K93" s="57">
        <v>66</v>
      </c>
      <c r="L93" s="23">
        <f t="shared" si="6"/>
        <v>-77</v>
      </c>
      <c r="M93" s="23">
        <f t="shared" si="3"/>
        <v>-77</v>
      </c>
      <c r="N93" s="23"/>
      <c r="O93" s="23">
        <v>31</v>
      </c>
      <c r="Q93" s="148"/>
      <c r="R93" s="62"/>
      <c r="S93" s="20"/>
      <c r="T93" s="21"/>
      <c r="U93" s="42"/>
      <c r="V93" s="23"/>
      <c r="W93" s="23"/>
      <c r="X93" s="23"/>
      <c r="Y93" s="23">
        <v>31</v>
      </c>
      <c r="AA93" s="251"/>
      <c r="AB93" s="156"/>
      <c r="AC93"/>
      <c r="AD93"/>
      <c r="AE93" s="156"/>
      <c r="AF93"/>
      <c r="AG93"/>
    </row>
    <row r="94" spans="1:36" hidden="1" outlineLevel="1">
      <c r="A94" s="111">
        <v>45190</v>
      </c>
      <c r="B94" s="112" t="s">
        <v>14</v>
      </c>
      <c r="C94" s="125">
        <v>66</v>
      </c>
      <c r="D94" s="113">
        <v>61</v>
      </c>
      <c r="E94" s="113">
        <f t="shared" si="4"/>
        <v>78</v>
      </c>
      <c r="G94" s="126">
        <v>66</v>
      </c>
      <c r="H94" s="114">
        <v>0</v>
      </c>
      <c r="I94" s="115"/>
      <c r="J94" s="116"/>
      <c r="K94" s="149">
        <v>0</v>
      </c>
      <c r="L94" s="113">
        <f t="shared" si="6"/>
        <v>-143</v>
      </c>
      <c r="M94" s="113">
        <f t="shared" si="3"/>
        <v>-143</v>
      </c>
      <c r="N94" s="113"/>
      <c r="O94" s="113">
        <v>1</v>
      </c>
      <c r="P94" s="122"/>
      <c r="Q94" s="150"/>
      <c r="R94" s="114"/>
      <c r="S94" s="115"/>
      <c r="T94" s="116"/>
      <c r="U94" s="117"/>
      <c r="V94" s="113"/>
      <c r="W94" s="113"/>
      <c r="X94" s="113"/>
      <c r="Y94" s="113">
        <v>1</v>
      </c>
      <c r="AA94" s="251"/>
      <c r="AB94" s="156"/>
      <c r="AC94"/>
      <c r="AD94"/>
      <c r="AE94" s="156"/>
      <c r="AF94"/>
      <c r="AG94"/>
    </row>
    <row r="95" spans="1:36" hidden="1" outlineLevel="1">
      <c r="A95" s="96">
        <v>45191</v>
      </c>
      <c r="B95" s="17" t="s">
        <v>15</v>
      </c>
      <c r="C95" s="105">
        <v>66</v>
      </c>
      <c r="D95" s="23">
        <v>42</v>
      </c>
      <c r="E95" s="23">
        <f t="shared" si="4"/>
        <v>54</v>
      </c>
      <c r="G95" s="78">
        <v>142</v>
      </c>
      <c r="H95" s="62">
        <v>48</v>
      </c>
      <c r="I95" s="20"/>
      <c r="J95" s="21"/>
      <c r="K95" s="57">
        <v>48</v>
      </c>
      <c r="L95" s="23">
        <f t="shared" si="6"/>
        <v>-237</v>
      </c>
      <c r="M95" s="23">
        <f t="shared" si="3"/>
        <v>-237</v>
      </c>
      <c r="N95" s="23"/>
      <c r="O95" s="23">
        <v>0</v>
      </c>
      <c r="P95" s="122">
        <f>H95-K95</f>
        <v>0</v>
      </c>
      <c r="Q95" s="148"/>
      <c r="R95" s="62"/>
      <c r="S95" s="20"/>
      <c r="T95" s="21"/>
      <c r="U95" s="42"/>
      <c r="V95" s="23"/>
      <c r="W95" s="23"/>
      <c r="X95" s="23"/>
      <c r="Y95" s="23">
        <v>0</v>
      </c>
      <c r="AA95" s="251"/>
      <c r="AB95" s="156"/>
      <c r="AC95"/>
      <c r="AD95"/>
      <c r="AE95" s="156"/>
      <c r="AF95"/>
      <c r="AG95"/>
    </row>
    <row r="96" spans="1:36" s="12" customFormat="1" hidden="1" outlineLevel="1">
      <c r="A96" s="95">
        <v>45192</v>
      </c>
      <c r="B96" s="25" t="s">
        <v>16</v>
      </c>
      <c r="C96" s="29"/>
      <c r="D96" s="29">
        <v>10</v>
      </c>
      <c r="E96" s="29">
        <f t="shared" si="4"/>
        <v>64</v>
      </c>
      <c r="G96" s="79">
        <v>0</v>
      </c>
      <c r="H96" s="63"/>
      <c r="I96" s="27"/>
      <c r="J96" s="28"/>
      <c r="K96" s="43"/>
      <c r="L96" s="29">
        <f t="shared" si="6"/>
        <v>-237</v>
      </c>
      <c r="M96" s="29">
        <f t="shared" si="3"/>
        <v>-237</v>
      </c>
      <c r="N96" s="29"/>
      <c r="O96" s="29"/>
      <c r="Q96" s="151"/>
      <c r="R96" s="63"/>
      <c r="S96" s="27"/>
      <c r="T96" s="28"/>
      <c r="U96" s="43"/>
      <c r="V96" s="29"/>
      <c r="W96" s="29"/>
      <c r="X96" s="29"/>
      <c r="Y96" s="29"/>
      <c r="AA96" s="251"/>
      <c r="AB96" s="156"/>
      <c r="AC96"/>
      <c r="AD96"/>
      <c r="AE96" s="156"/>
      <c r="AF96"/>
      <c r="AG96"/>
      <c r="AH96"/>
      <c r="AI96"/>
      <c r="AJ96"/>
    </row>
    <row r="97" spans="1:36" s="12" customFormat="1" hidden="1" outlineLevel="1">
      <c r="A97" s="95">
        <v>45193</v>
      </c>
      <c r="B97" s="25" t="s">
        <v>17</v>
      </c>
      <c r="C97" s="29"/>
      <c r="D97" s="29"/>
      <c r="E97" s="29">
        <f t="shared" si="4"/>
        <v>64</v>
      </c>
      <c r="G97" s="79">
        <v>0</v>
      </c>
      <c r="H97" s="63"/>
      <c r="I97" s="27"/>
      <c r="J97" s="28"/>
      <c r="K97" s="43"/>
      <c r="L97" s="29">
        <f t="shared" si="6"/>
        <v>-237</v>
      </c>
      <c r="M97" s="29">
        <f t="shared" si="3"/>
        <v>-237</v>
      </c>
      <c r="N97" s="29"/>
      <c r="O97" s="29"/>
      <c r="Q97" s="151"/>
      <c r="R97" s="63"/>
      <c r="S97" s="27"/>
      <c r="T97" s="28"/>
      <c r="U97" s="43"/>
      <c r="V97" s="29"/>
      <c r="W97" s="29"/>
      <c r="X97" s="29"/>
      <c r="Y97" s="29"/>
      <c r="AA97" s="251"/>
      <c r="AB97" s="156"/>
      <c r="AC97"/>
      <c r="AD97"/>
      <c r="AE97" s="156"/>
      <c r="AF97"/>
      <c r="AG97"/>
      <c r="AH97"/>
      <c r="AI97"/>
      <c r="AJ97"/>
    </row>
    <row r="98" spans="1:36" hidden="1" outlineLevel="1">
      <c r="A98" s="96">
        <v>45194</v>
      </c>
      <c r="B98" s="17" t="s">
        <v>18</v>
      </c>
      <c r="C98" s="18">
        <v>66</v>
      </c>
      <c r="D98" s="23">
        <v>65</v>
      </c>
      <c r="E98" s="23">
        <f t="shared" si="4"/>
        <v>63</v>
      </c>
      <c r="G98" s="78">
        <v>0</v>
      </c>
      <c r="H98" s="62">
        <f>C94</f>
        <v>66</v>
      </c>
      <c r="I98" s="20"/>
      <c r="J98" s="21"/>
      <c r="K98" s="57">
        <v>66</v>
      </c>
      <c r="L98" s="23">
        <f t="shared" si="6"/>
        <v>-171</v>
      </c>
      <c r="M98" s="23">
        <f t="shared" si="3"/>
        <v>-171</v>
      </c>
      <c r="N98" s="23"/>
      <c r="O98" s="23">
        <v>8</v>
      </c>
      <c r="Q98" s="148"/>
      <c r="R98" s="62">
        <f>S98</f>
        <v>0</v>
      </c>
      <c r="S98" s="20"/>
      <c r="T98" s="21"/>
      <c r="U98" s="42"/>
      <c r="V98" s="23">
        <f t="shared" ref="V98:V161" si="10">V97-Q98+U98</f>
        <v>0</v>
      </c>
      <c r="W98" s="23">
        <f t="shared" ref="W98:W161" si="11">W97-Q98+R98</f>
        <v>0</v>
      </c>
      <c r="X98" s="23"/>
      <c r="Y98" s="23">
        <v>8</v>
      </c>
      <c r="AA98" s="251"/>
      <c r="AB98" s="156"/>
      <c r="AC98"/>
      <c r="AD98"/>
      <c r="AE98" s="156"/>
      <c r="AF98"/>
      <c r="AG98"/>
    </row>
    <row r="99" spans="1:36" hidden="1" outlineLevel="1">
      <c r="A99" s="96">
        <v>45195</v>
      </c>
      <c r="B99" s="17" t="s">
        <v>19</v>
      </c>
      <c r="C99" s="18">
        <v>42</v>
      </c>
      <c r="D99" s="23">
        <v>61</v>
      </c>
      <c r="E99" s="23">
        <f t="shared" si="4"/>
        <v>82</v>
      </c>
      <c r="G99" s="78">
        <v>78</v>
      </c>
      <c r="H99" s="62">
        <v>42</v>
      </c>
      <c r="I99" s="20"/>
      <c r="J99" s="21"/>
      <c r="K99" s="57">
        <v>42</v>
      </c>
      <c r="L99" s="23">
        <f t="shared" si="6"/>
        <v>-207</v>
      </c>
      <c r="M99" s="23">
        <f t="shared" si="3"/>
        <v>-207</v>
      </c>
      <c r="N99" s="23"/>
      <c r="O99" s="23">
        <v>15</v>
      </c>
      <c r="P99" s="1">
        <f>H99-K99</f>
        <v>0</v>
      </c>
      <c r="Q99" s="78">
        <v>144</v>
      </c>
      <c r="R99" s="62">
        <f>S99</f>
        <v>15</v>
      </c>
      <c r="S99" s="20">
        <v>15</v>
      </c>
      <c r="T99" s="21"/>
      <c r="U99" s="57">
        <v>15</v>
      </c>
      <c r="V99" s="23">
        <f t="shared" ref="V99:V106" si="12">V98-Q99+U99</f>
        <v>-129</v>
      </c>
      <c r="W99" s="23">
        <f>W98-Q99+R99</f>
        <v>-129</v>
      </c>
      <c r="X99" s="23"/>
      <c r="Y99" s="23">
        <v>15</v>
      </c>
      <c r="AA99" s="250"/>
      <c r="AB99" s="156"/>
      <c r="AC99"/>
      <c r="AD99"/>
      <c r="AE99" s="156"/>
      <c r="AF99"/>
      <c r="AG99"/>
    </row>
    <row r="100" spans="1:36" hidden="1" outlineLevel="1">
      <c r="A100" s="96">
        <v>45196</v>
      </c>
      <c r="B100" s="17" t="s">
        <v>20</v>
      </c>
      <c r="C100" s="18">
        <v>72</v>
      </c>
      <c r="D100" s="23">
        <v>89</v>
      </c>
      <c r="E100" s="23">
        <f>-C100+D100</f>
        <v>17</v>
      </c>
      <c r="G100" s="78">
        <v>54</v>
      </c>
      <c r="H100" s="62">
        <v>54</v>
      </c>
      <c r="I100" s="20"/>
      <c r="J100" s="21"/>
      <c r="K100" s="57">
        <v>54</v>
      </c>
      <c r="L100" s="23">
        <f t="shared" si="6"/>
        <v>-207</v>
      </c>
      <c r="M100" s="23">
        <f t="shared" ref="M100:M104" si="13">M99-G100+H100</f>
        <v>-207</v>
      </c>
      <c r="N100" s="23"/>
      <c r="O100" s="23">
        <v>7</v>
      </c>
      <c r="P100" s="1">
        <f t="shared" ref="P100:P101" si="14">H100-K100</f>
        <v>0</v>
      </c>
      <c r="Q100" s="148"/>
      <c r="R100" s="62">
        <f>S100</f>
        <v>30</v>
      </c>
      <c r="S100" s="20">
        <v>30</v>
      </c>
      <c r="T100" s="21"/>
      <c r="U100" s="57">
        <v>30</v>
      </c>
      <c r="V100" s="23">
        <f t="shared" si="12"/>
        <v>-99</v>
      </c>
      <c r="W100" s="23">
        <f t="shared" si="11"/>
        <v>-99</v>
      </c>
      <c r="X100" s="23"/>
      <c r="Y100" s="23">
        <v>7</v>
      </c>
      <c r="AA100" s="251"/>
      <c r="AB100" s="156"/>
      <c r="AC100"/>
      <c r="AD100"/>
      <c r="AE100" s="156"/>
      <c r="AF100"/>
      <c r="AG100"/>
    </row>
    <row r="101" spans="1:36" hidden="1" outlineLevel="1">
      <c r="A101" s="96">
        <v>45197</v>
      </c>
      <c r="B101" s="17" t="s">
        <v>14</v>
      </c>
      <c r="C101" s="18">
        <v>72</v>
      </c>
      <c r="D101" s="23">
        <v>59</v>
      </c>
      <c r="E101" s="23">
        <f t="shared" si="4"/>
        <v>4</v>
      </c>
      <c r="G101" s="19"/>
      <c r="H101" s="62">
        <v>84</v>
      </c>
      <c r="I101" s="20"/>
      <c r="J101" s="21"/>
      <c r="K101" s="57">
        <v>84</v>
      </c>
      <c r="L101" s="23">
        <f t="shared" si="6"/>
        <v>-123</v>
      </c>
      <c r="M101" s="23">
        <f t="shared" si="13"/>
        <v>-123</v>
      </c>
      <c r="N101" s="23"/>
      <c r="O101" s="23">
        <v>10</v>
      </c>
      <c r="P101" s="1">
        <f t="shared" si="14"/>
        <v>0</v>
      </c>
      <c r="Q101" s="148"/>
      <c r="R101" s="62">
        <f>S101</f>
        <v>0</v>
      </c>
      <c r="S101" s="20">
        <v>0</v>
      </c>
      <c r="T101" s="21"/>
      <c r="U101" s="57">
        <v>0</v>
      </c>
      <c r="V101" s="23">
        <f t="shared" si="12"/>
        <v>-99</v>
      </c>
      <c r="W101" s="23">
        <f t="shared" si="11"/>
        <v>-99</v>
      </c>
      <c r="X101" s="23"/>
      <c r="Y101" s="23">
        <v>10</v>
      </c>
      <c r="AA101" s="251"/>
      <c r="AB101" s="156"/>
      <c r="AC101"/>
      <c r="AD101"/>
      <c r="AE101" s="156"/>
      <c r="AF101"/>
      <c r="AG101"/>
    </row>
    <row r="102" spans="1:36" hidden="1" outlineLevel="1">
      <c r="A102" s="96">
        <v>45198</v>
      </c>
      <c r="B102" s="17" t="s">
        <v>15</v>
      </c>
      <c r="C102" s="18">
        <v>72</v>
      </c>
      <c r="D102" s="23">
        <v>74</v>
      </c>
      <c r="E102" s="23">
        <f t="shared" si="4"/>
        <v>6</v>
      </c>
      <c r="G102" s="19"/>
      <c r="H102" s="62"/>
      <c r="I102" s="20"/>
      <c r="J102" s="21"/>
      <c r="K102" s="42"/>
      <c r="L102" s="23">
        <f>L101-G102+K102</f>
        <v>-123</v>
      </c>
      <c r="M102" s="23">
        <f t="shared" si="13"/>
        <v>-123</v>
      </c>
      <c r="N102" s="23"/>
      <c r="O102" s="23">
        <v>9</v>
      </c>
      <c r="P102" s="1">
        <f>SUM(P95:P101)</f>
        <v>0</v>
      </c>
      <c r="Q102" s="78">
        <v>135</v>
      </c>
      <c r="R102" s="62">
        <f>C100+S102</f>
        <v>84</v>
      </c>
      <c r="S102" s="20">
        <v>12</v>
      </c>
      <c r="T102" s="21"/>
      <c r="U102" s="57">
        <v>84</v>
      </c>
      <c r="V102" s="23">
        <f t="shared" si="12"/>
        <v>-150</v>
      </c>
      <c r="W102" s="23">
        <f t="shared" si="11"/>
        <v>-150</v>
      </c>
      <c r="X102" s="23"/>
      <c r="Y102" s="23">
        <v>9</v>
      </c>
      <c r="Z102" s="1">
        <f>AVERAGE(Q98:Q102)</f>
        <v>139.5</v>
      </c>
      <c r="AA102" s="250"/>
      <c r="AB102" s="156"/>
      <c r="AC102"/>
      <c r="AD102"/>
      <c r="AE102" s="156"/>
      <c r="AF102"/>
      <c r="AG102"/>
    </row>
    <row r="103" spans="1:36" s="12" customFormat="1" hidden="1" outlineLevel="1">
      <c r="A103" s="95">
        <v>45199</v>
      </c>
      <c r="B103" s="25" t="s">
        <v>16</v>
      </c>
      <c r="C103" s="29"/>
      <c r="D103" s="29">
        <v>31</v>
      </c>
      <c r="E103" s="29">
        <f t="shared" si="4"/>
        <v>37</v>
      </c>
      <c r="G103" s="64"/>
      <c r="H103" s="63"/>
      <c r="I103" s="27"/>
      <c r="J103" s="28"/>
      <c r="K103" s="43"/>
      <c r="L103" s="29">
        <f t="shared" si="6"/>
        <v>-123</v>
      </c>
      <c r="M103" s="29">
        <f t="shared" si="13"/>
        <v>-123</v>
      </c>
      <c r="N103" s="29"/>
      <c r="O103" s="29"/>
      <c r="Q103" s="79">
        <v>0</v>
      </c>
      <c r="R103" s="63"/>
      <c r="S103" s="27"/>
      <c r="T103" s="28"/>
      <c r="U103" s="43"/>
      <c r="V103" s="29">
        <f>V102-Q103+U103</f>
        <v>-150</v>
      </c>
      <c r="W103" s="29">
        <f t="shared" si="11"/>
        <v>-150</v>
      </c>
      <c r="X103" s="29"/>
      <c r="Y103" s="29"/>
      <c r="AA103" s="250"/>
      <c r="AB103" s="156"/>
      <c r="AC103"/>
      <c r="AD103"/>
      <c r="AE103" s="156"/>
      <c r="AF103"/>
      <c r="AG103"/>
      <c r="AH103"/>
      <c r="AI103"/>
      <c r="AJ103"/>
    </row>
    <row r="104" spans="1:36" s="12" customFormat="1" hidden="1" outlineLevel="1">
      <c r="A104" s="95">
        <v>45200</v>
      </c>
      <c r="B104" s="25" t="s">
        <v>17</v>
      </c>
      <c r="C104" s="26"/>
      <c r="D104" s="29"/>
      <c r="E104" s="29">
        <f t="shared" si="4"/>
        <v>37</v>
      </c>
      <c r="G104" s="64"/>
      <c r="H104" s="63"/>
      <c r="I104" s="27"/>
      <c r="J104" s="28"/>
      <c r="K104" s="43"/>
      <c r="L104" s="29">
        <f t="shared" si="6"/>
        <v>-123</v>
      </c>
      <c r="M104" s="29">
        <f t="shared" si="13"/>
        <v>-123</v>
      </c>
      <c r="N104" s="29"/>
      <c r="O104" s="29"/>
      <c r="Q104" s="79">
        <v>0</v>
      </c>
      <c r="R104" s="63"/>
      <c r="S104" s="27"/>
      <c r="T104" s="28"/>
      <c r="U104" s="43"/>
      <c r="V104" s="29">
        <f t="shared" si="12"/>
        <v>-150</v>
      </c>
      <c r="W104" s="29">
        <f t="shared" si="11"/>
        <v>-150</v>
      </c>
      <c r="X104" s="29"/>
      <c r="Y104" s="29"/>
      <c r="AA104" s="250"/>
      <c r="AB104" s="156"/>
      <c r="AC104"/>
      <c r="AD104"/>
      <c r="AE104" s="156"/>
      <c r="AF104"/>
      <c r="AG104"/>
      <c r="AH104"/>
      <c r="AI104"/>
      <c r="AJ104"/>
    </row>
    <row r="105" spans="1:36" hidden="1" outlineLevel="1">
      <c r="A105" s="96">
        <v>45201</v>
      </c>
      <c r="B105" s="17" t="s">
        <v>18</v>
      </c>
      <c r="C105" s="18">
        <v>72</v>
      </c>
      <c r="D105" s="23">
        <v>57</v>
      </c>
      <c r="E105" s="23">
        <f t="shared" si="4"/>
        <v>22</v>
      </c>
      <c r="G105" s="19"/>
      <c r="H105" s="62"/>
      <c r="I105" s="20"/>
      <c r="J105" s="21"/>
      <c r="K105" s="42"/>
      <c r="L105" s="23"/>
      <c r="M105" s="23"/>
      <c r="N105" s="23"/>
      <c r="O105" s="23">
        <v>5</v>
      </c>
      <c r="Q105" s="78">
        <v>63</v>
      </c>
      <c r="R105" s="62">
        <f>C101+S105</f>
        <v>84</v>
      </c>
      <c r="S105" s="20">
        <v>12</v>
      </c>
      <c r="T105" s="21"/>
      <c r="U105" s="57">
        <v>84</v>
      </c>
      <c r="V105" s="23">
        <f t="shared" si="12"/>
        <v>-129</v>
      </c>
      <c r="W105" s="23">
        <f t="shared" si="11"/>
        <v>-129</v>
      </c>
      <c r="X105" s="23"/>
      <c r="Y105" s="23">
        <v>5</v>
      </c>
      <c r="AA105" s="250"/>
      <c r="AB105" s="156"/>
      <c r="AC105"/>
      <c r="AD105"/>
      <c r="AE105" s="156"/>
      <c r="AF105"/>
      <c r="AG105"/>
    </row>
    <row r="106" spans="1:36" hidden="1" outlineLevel="1">
      <c r="A106" s="96">
        <v>45202</v>
      </c>
      <c r="B106" s="17" t="s">
        <v>19</v>
      </c>
      <c r="C106" s="18">
        <v>72</v>
      </c>
      <c r="D106" s="23">
        <v>76</v>
      </c>
      <c r="E106" s="23">
        <f t="shared" ref="E106:E169" si="15">E105-C106+D106</f>
        <v>26</v>
      </c>
      <c r="G106" s="19"/>
      <c r="H106" s="62"/>
      <c r="I106" s="20"/>
      <c r="J106" s="21"/>
      <c r="K106" s="42"/>
      <c r="L106" s="23"/>
      <c r="M106" s="23"/>
      <c r="N106" s="23"/>
      <c r="O106" s="23">
        <v>9</v>
      </c>
      <c r="Q106" s="78">
        <v>153</v>
      </c>
      <c r="R106" s="62">
        <f>C102+S106</f>
        <v>84</v>
      </c>
      <c r="S106" s="20">
        <v>12</v>
      </c>
      <c r="T106" s="21"/>
      <c r="U106" s="57">
        <v>84</v>
      </c>
      <c r="V106" s="23">
        <f t="shared" si="12"/>
        <v>-198</v>
      </c>
      <c r="W106" s="23">
        <f t="shared" si="11"/>
        <v>-198</v>
      </c>
      <c r="X106" s="23"/>
      <c r="Y106" s="23">
        <v>9</v>
      </c>
      <c r="AA106" s="250"/>
      <c r="AB106" s="156"/>
      <c r="AC106"/>
      <c r="AD106"/>
      <c r="AE106" s="156"/>
      <c r="AF106"/>
      <c r="AG106"/>
    </row>
    <row r="107" spans="1:36" hidden="1" outlineLevel="1">
      <c r="A107" s="96">
        <v>45203</v>
      </c>
      <c r="B107" s="17" t="s">
        <v>20</v>
      </c>
      <c r="C107" s="18">
        <v>72</v>
      </c>
      <c r="D107" s="23">
        <v>66</v>
      </c>
      <c r="E107" s="23">
        <f>E106-C107+D107</f>
        <v>20</v>
      </c>
      <c r="G107" s="19"/>
      <c r="H107" s="62"/>
      <c r="I107" s="20"/>
      <c r="J107" s="21"/>
      <c r="K107" s="42"/>
      <c r="L107" s="23"/>
      <c r="M107" s="23"/>
      <c r="N107" s="23"/>
      <c r="O107" s="23">
        <v>20</v>
      </c>
      <c r="Q107" s="78">
        <v>57</v>
      </c>
      <c r="R107" s="62">
        <f>C105+S107</f>
        <v>84</v>
      </c>
      <c r="S107" s="20">
        <v>12</v>
      </c>
      <c r="T107" s="21"/>
      <c r="U107" s="57">
        <v>84</v>
      </c>
      <c r="V107" s="23">
        <f t="shared" si="10"/>
        <v>-171</v>
      </c>
      <c r="W107" s="23">
        <f t="shared" si="11"/>
        <v>-171</v>
      </c>
      <c r="X107" s="23"/>
      <c r="Y107" s="23">
        <v>20</v>
      </c>
      <c r="AA107" s="250"/>
      <c r="AB107" s="156"/>
      <c r="AC107"/>
      <c r="AD107"/>
      <c r="AE107" s="156"/>
      <c r="AF107"/>
      <c r="AG107"/>
    </row>
    <row r="108" spans="1:36" hidden="1" outlineLevel="1">
      <c r="A108" s="96">
        <v>45204</v>
      </c>
      <c r="B108" s="17" t="s">
        <v>14</v>
      </c>
      <c r="C108" s="18">
        <v>72</v>
      </c>
      <c r="D108" s="23">
        <v>83</v>
      </c>
      <c r="E108" s="23">
        <f>E107-C108+D108-31</f>
        <v>0</v>
      </c>
      <c r="G108" s="19"/>
      <c r="H108" s="62"/>
      <c r="I108" s="20"/>
      <c r="J108" s="21"/>
      <c r="K108" s="42"/>
      <c r="L108" s="23"/>
      <c r="M108" s="23"/>
      <c r="N108" s="23"/>
      <c r="O108" s="23">
        <v>10</v>
      </c>
      <c r="Q108" s="78">
        <v>48</v>
      </c>
      <c r="R108" s="62">
        <f>C106+S108</f>
        <v>84</v>
      </c>
      <c r="S108" s="20">
        <v>12</v>
      </c>
      <c r="T108" s="21"/>
      <c r="U108" s="57">
        <v>84</v>
      </c>
      <c r="V108" s="23">
        <f t="shared" si="10"/>
        <v>-135</v>
      </c>
      <c r="W108" s="23">
        <f t="shared" si="11"/>
        <v>-135</v>
      </c>
      <c r="X108" s="23"/>
      <c r="Y108" s="23">
        <v>10</v>
      </c>
      <c r="AA108" s="250"/>
      <c r="AB108" s="156"/>
      <c r="AC108"/>
      <c r="AD108"/>
      <c r="AE108" s="156"/>
      <c r="AF108"/>
      <c r="AG108"/>
    </row>
    <row r="109" spans="1:36" hidden="1" outlineLevel="1">
      <c r="A109" s="96">
        <v>45205</v>
      </c>
      <c r="B109" s="17" t="s">
        <v>15</v>
      </c>
      <c r="C109" s="18">
        <v>72</v>
      </c>
      <c r="D109" s="23">
        <v>78</v>
      </c>
      <c r="E109" s="23">
        <f t="shared" si="15"/>
        <v>6</v>
      </c>
      <c r="G109" s="19"/>
      <c r="H109" s="62"/>
      <c r="I109" s="20"/>
      <c r="J109" s="21"/>
      <c r="K109" s="42"/>
      <c r="L109" s="23"/>
      <c r="M109" s="23"/>
      <c r="N109" s="23"/>
      <c r="O109" s="23">
        <v>10</v>
      </c>
      <c r="Q109" s="78">
        <v>60</v>
      </c>
      <c r="R109" s="62">
        <f>C107+S109</f>
        <v>84</v>
      </c>
      <c r="S109" s="159">
        <v>12</v>
      </c>
      <c r="T109" s="21"/>
      <c r="U109" s="57">
        <v>78</v>
      </c>
      <c r="V109" s="23">
        <f t="shared" si="10"/>
        <v>-117</v>
      </c>
      <c r="W109" s="23">
        <f t="shared" si="11"/>
        <v>-111</v>
      </c>
      <c r="X109" s="23"/>
      <c r="Y109" s="23">
        <v>10</v>
      </c>
      <c r="Z109" s="1">
        <f>AVERAGE(Q105:Q109)</f>
        <v>76.2</v>
      </c>
      <c r="AA109" s="250"/>
      <c r="AB109" s="156"/>
      <c r="AC109"/>
      <c r="AD109"/>
      <c r="AE109" s="156"/>
      <c r="AF109"/>
      <c r="AG109"/>
    </row>
    <row r="110" spans="1:36" s="12" customFormat="1" hidden="1" outlineLevel="1">
      <c r="A110" s="95">
        <v>45206</v>
      </c>
      <c r="B110" s="25" t="s">
        <v>16</v>
      </c>
      <c r="C110" s="26"/>
      <c r="D110" s="29"/>
      <c r="E110" s="29">
        <f t="shared" si="15"/>
        <v>6</v>
      </c>
      <c r="G110" s="64"/>
      <c r="H110" s="63"/>
      <c r="I110" s="27"/>
      <c r="J110" s="28"/>
      <c r="K110" s="43"/>
      <c r="L110" s="29"/>
      <c r="M110" s="29"/>
      <c r="N110" s="29"/>
      <c r="O110" s="29"/>
      <c r="Q110" s="79">
        <v>0</v>
      </c>
      <c r="R110" s="63"/>
      <c r="S110" s="27"/>
      <c r="T110" s="28"/>
      <c r="U110" s="43"/>
      <c r="V110" s="29">
        <f t="shared" si="10"/>
        <v>-117</v>
      </c>
      <c r="W110" s="29">
        <f t="shared" si="11"/>
        <v>-111</v>
      </c>
      <c r="X110" s="29"/>
      <c r="Y110" s="29"/>
      <c r="AA110" s="250"/>
      <c r="AB110" s="156"/>
      <c r="AC110"/>
      <c r="AD110"/>
      <c r="AE110" s="156"/>
      <c r="AF110"/>
      <c r="AG110"/>
      <c r="AH110"/>
      <c r="AI110"/>
      <c r="AJ110"/>
    </row>
    <row r="111" spans="1:36" s="12" customFormat="1" hidden="1" outlineLevel="1">
      <c r="A111" s="95">
        <v>45207</v>
      </c>
      <c r="B111" s="25" t="s">
        <v>17</v>
      </c>
      <c r="C111" s="26"/>
      <c r="D111" s="29"/>
      <c r="E111" s="29">
        <f t="shared" si="15"/>
        <v>6</v>
      </c>
      <c r="G111" s="64"/>
      <c r="H111" s="63"/>
      <c r="I111" s="27"/>
      <c r="J111" s="28"/>
      <c r="K111" s="43"/>
      <c r="L111" s="29"/>
      <c r="M111" s="29"/>
      <c r="N111" s="29"/>
      <c r="O111" s="29"/>
      <c r="Q111" s="79">
        <v>0</v>
      </c>
      <c r="R111" s="63"/>
      <c r="S111" s="27"/>
      <c r="T111" s="28"/>
      <c r="U111" s="43"/>
      <c r="V111" s="29">
        <f t="shared" si="10"/>
        <v>-117</v>
      </c>
      <c r="W111" s="29">
        <f t="shared" si="11"/>
        <v>-111</v>
      </c>
      <c r="X111" s="29"/>
      <c r="Y111" s="29"/>
      <c r="AA111" s="250"/>
      <c r="AB111" s="156"/>
      <c r="AC111"/>
      <c r="AD111"/>
      <c r="AE111" s="156"/>
      <c r="AF111"/>
      <c r="AG111"/>
      <c r="AH111"/>
      <c r="AI111"/>
      <c r="AJ111"/>
    </row>
    <row r="112" spans="1:36" s="12" customFormat="1" hidden="1" outlineLevel="1">
      <c r="A112" s="95">
        <v>45208</v>
      </c>
      <c r="B112" s="25" t="s">
        <v>18</v>
      </c>
      <c r="C112" s="26"/>
      <c r="D112" s="29"/>
      <c r="E112" s="29">
        <f t="shared" si="15"/>
        <v>6</v>
      </c>
      <c r="G112" s="64"/>
      <c r="H112" s="63"/>
      <c r="I112" s="27"/>
      <c r="J112" s="28"/>
      <c r="K112" s="43"/>
      <c r="L112" s="29"/>
      <c r="M112" s="29"/>
      <c r="N112" s="29"/>
      <c r="O112" s="29">
        <v>12</v>
      </c>
      <c r="Q112" s="79">
        <v>0</v>
      </c>
      <c r="R112" s="63"/>
      <c r="S112" s="27"/>
      <c r="T112" s="28"/>
      <c r="U112" s="43"/>
      <c r="V112" s="29">
        <f t="shared" si="10"/>
        <v>-117</v>
      </c>
      <c r="W112" s="29">
        <f t="shared" si="11"/>
        <v>-111</v>
      </c>
      <c r="X112" s="29"/>
      <c r="Y112" s="29">
        <v>12</v>
      </c>
      <c r="AA112" s="250"/>
      <c r="AB112" s="156"/>
      <c r="AC112"/>
      <c r="AD112"/>
      <c r="AE112" s="156"/>
      <c r="AF112"/>
      <c r="AG112"/>
      <c r="AH112"/>
      <c r="AI112"/>
      <c r="AJ112"/>
    </row>
    <row r="113" spans="1:36" hidden="1" outlineLevel="1">
      <c r="A113" s="96">
        <v>45209</v>
      </c>
      <c r="B113" s="17" t="s">
        <v>19</v>
      </c>
      <c r="C113" s="18">
        <v>72</v>
      </c>
      <c r="D113" s="23">
        <v>57</v>
      </c>
      <c r="E113" s="23">
        <f>E112-C113+D113</f>
        <v>-9</v>
      </c>
      <c r="G113" s="19"/>
      <c r="H113" s="62"/>
      <c r="I113" s="20"/>
      <c r="J113" s="21"/>
      <c r="K113" s="42"/>
      <c r="L113" s="23"/>
      <c r="M113" s="23"/>
      <c r="N113" s="23"/>
      <c r="O113" s="23">
        <v>12</v>
      </c>
      <c r="Q113" s="78">
        <v>81</v>
      </c>
      <c r="R113" s="62">
        <f>C108+S113</f>
        <v>72</v>
      </c>
      <c r="S113" s="20">
        <v>0</v>
      </c>
      <c r="T113" s="21"/>
      <c r="U113" s="57">
        <v>78</v>
      </c>
      <c r="V113" s="23">
        <f t="shared" si="10"/>
        <v>-120</v>
      </c>
      <c r="W113" s="23">
        <f t="shared" si="11"/>
        <v>-120</v>
      </c>
      <c r="X113" s="23"/>
      <c r="Y113" s="23">
        <v>12</v>
      </c>
      <c r="AA113" s="250"/>
      <c r="AB113" s="156"/>
      <c r="AC113"/>
      <c r="AD113"/>
      <c r="AE113" s="156"/>
      <c r="AF113"/>
      <c r="AG113"/>
    </row>
    <row r="114" spans="1:36" hidden="1" outlineLevel="1">
      <c r="A114" s="96">
        <v>45210</v>
      </c>
      <c r="B114" s="17" t="s">
        <v>20</v>
      </c>
      <c r="C114" s="18">
        <v>72</v>
      </c>
      <c r="D114" s="23">
        <v>63</v>
      </c>
      <c r="E114" s="23">
        <f>E113-C114+D114+3</f>
        <v>-15</v>
      </c>
      <c r="G114" s="19"/>
      <c r="H114" s="62"/>
      <c r="I114" s="20"/>
      <c r="J114" s="21"/>
      <c r="K114" s="42"/>
      <c r="L114" s="23"/>
      <c r="M114" s="23"/>
      <c r="N114" s="23"/>
      <c r="O114" s="23">
        <v>17</v>
      </c>
      <c r="Q114" s="78">
        <v>36</v>
      </c>
      <c r="R114" s="62">
        <f>C109+S114</f>
        <v>72</v>
      </c>
      <c r="S114" s="20"/>
      <c r="T114" s="21"/>
      <c r="U114" s="57">
        <v>72</v>
      </c>
      <c r="V114" s="23">
        <f t="shared" si="10"/>
        <v>-84</v>
      </c>
      <c r="W114" s="23">
        <f t="shared" si="11"/>
        <v>-84</v>
      </c>
      <c r="X114" s="23"/>
      <c r="Y114" s="23">
        <v>17</v>
      </c>
      <c r="AA114" s="250"/>
      <c r="AB114" s="156"/>
      <c r="AC114"/>
      <c r="AD114"/>
      <c r="AE114" s="156"/>
      <c r="AF114"/>
      <c r="AG114"/>
    </row>
    <row r="115" spans="1:36" hidden="1" outlineLevel="1">
      <c r="A115" s="96">
        <v>45211</v>
      </c>
      <c r="B115" s="17" t="s">
        <v>14</v>
      </c>
      <c r="C115" s="18">
        <v>72</v>
      </c>
      <c r="D115" s="23">
        <v>61</v>
      </c>
      <c r="E115" s="23">
        <f t="shared" si="15"/>
        <v>-26</v>
      </c>
      <c r="G115" s="19"/>
      <c r="H115" s="62"/>
      <c r="I115" s="20"/>
      <c r="J115" s="21"/>
      <c r="K115" s="42"/>
      <c r="L115" s="23"/>
      <c r="M115" s="23"/>
      <c r="N115" s="23"/>
      <c r="O115" s="23">
        <v>9</v>
      </c>
      <c r="Q115" s="78">
        <v>63</v>
      </c>
      <c r="R115" s="62">
        <f>C113+S115</f>
        <v>72</v>
      </c>
      <c r="S115" s="20"/>
      <c r="T115" s="21"/>
      <c r="U115" s="57">
        <v>72</v>
      </c>
      <c r="V115" s="23">
        <f t="shared" si="10"/>
        <v>-75</v>
      </c>
      <c r="W115" s="23">
        <f t="shared" si="11"/>
        <v>-75</v>
      </c>
      <c r="X115" s="23"/>
      <c r="Y115" s="23">
        <v>9</v>
      </c>
      <c r="AA115" s="250"/>
      <c r="AB115" s="156"/>
      <c r="AC115"/>
      <c r="AD115"/>
      <c r="AE115" s="156"/>
      <c r="AF115"/>
      <c r="AG115"/>
    </row>
    <row r="116" spans="1:36" hidden="1" outlineLevel="1">
      <c r="A116" s="96">
        <v>45212</v>
      </c>
      <c r="B116" s="17" t="s">
        <v>15</v>
      </c>
      <c r="C116" s="18">
        <v>72</v>
      </c>
      <c r="D116" s="23">
        <v>78</v>
      </c>
      <c r="E116" s="23">
        <f t="shared" si="15"/>
        <v>-20</v>
      </c>
      <c r="G116" s="19"/>
      <c r="H116" s="62"/>
      <c r="I116" s="20"/>
      <c r="J116" s="21"/>
      <c r="K116" s="42"/>
      <c r="L116" s="23"/>
      <c r="M116" s="23"/>
      <c r="N116" s="23"/>
      <c r="O116" s="23">
        <v>0</v>
      </c>
      <c r="Q116" s="78">
        <v>81</v>
      </c>
      <c r="R116" s="62">
        <f>C114+S116</f>
        <v>72</v>
      </c>
      <c r="S116" s="20"/>
      <c r="T116" s="21"/>
      <c r="U116" s="57">
        <v>72</v>
      </c>
      <c r="V116" s="23">
        <f t="shared" si="10"/>
        <v>-84</v>
      </c>
      <c r="W116" s="23">
        <f t="shared" si="11"/>
        <v>-84</v>
      </c>
      <c r="X116" s="23"/>
      <c r="Y116" s="23">
        <v>0</v>
      </c>
      <c r="Z116" s="1">
        <f>AVERAGE(Q113:Q116)</f>
        <v>65.25</v>
      </c>
      <c r="AA116" s="250"/>
      <c r="AB116" s="156"/>
      <c r="AC116"/>
      <c r="AD116"/>
      <c r="AE116" s="156"/>
      <c r="AF116"/>
      <c r="AG116"/>
    </row>
    <row r="117" spans="1:36" s="12" customFormat="1" hidden="1" outlineLevel="1">
      <c r="A117" s="95">
        <v>45213</v>
      </c>
      <c r="B117" s="25" t="s">
        <v>16</v>
      </c>
      <c r="C117" s="26"/>
      <c r="D117" s="29"/>
      <c r="E117" s="29">
        <f t="shared" si="15"/>
        <v>-20</v>
      </c>
      <c r="G117" s="64"/>
      <c r="H117" s="63"/>
      <c r="I117" s="27"/>
      <c r="J117" s="28"/>
      <c r="K117" s="43"/>
      <c r="L117" s="29"/>
      <c r="M117" s="29"/>
      <c r="N117" s="29"/>
      <c r="O117" s="29"/>
      <c r="Q117" s="79">
        <v>0</v>
      </c>
      <c r="R117" s="63"/>
      <c r="S117" s="27"/>
      <c r="T117" s="28"/>
      <c r="U117" s="43"/>
      <c r="V117" s="29">
        <f t="shared" si="10"/>
        <v>-84</v>
      </c>
      <c r="W117" s="29">
        <f t="shared" si="11"/>
        <v>-84</v>
      </c>
      <c r="X117" s="29"/>
      <c r="Y117" s="29"/>
      <c r="AA117" s="250"/>
      <c r="AB117" s="156"/>
      <c r="AC117"/>
      <c r="AD117"/>
      <c r="AE117" s="156"/>
      <c r="AF117"/>
      <c r="AG117"/>
      <c r="AH117"/>
      <c r="AI117"/>
      <c r="AJ117"/>
    </row>
    <row r="118" spans="1:36" s="12" customFormat="1" hidden="1" outlineLevel="1">
      <c r="A118" s="95">
        <v>45214</v>
      </c>
      <c r="B118" s="25" t="s">
        <v>17</v>
      </c>
      <c r="C118" s="26"/>
      <c r="D118" s="29"/>
      <c r="E118" s="29">
        <f t="shared" si="15"/>
        <v>-20</v>
      </c>
      <c r="G118" s="64"/>
      <c r="H118" s="63"/>
      <c r="I118" s="27"/>
      <c r="J118" s="28"/>
      <c r="K118" s="43"/>
      <c r="L118" s="29"/>
      <c r="M118" s="29"/>
      <c r="N118" s="29"/>
      <c r="O118" s="29"/>
      <c r="Q118" s="79">
        <v>0</v>
      </c>
      <c r="R118" s="63"/>
      <c r="S118" s="27"/>
      <c r="T118" s="28"/>
      <c r="U118" s="43"/>
      <c r="V118" s="29">
        <f t="shared" si="10"/>
        <v>-84</v>
      </c>
      <c r="W118" s="29">
        <f t="shared" si="11"/>
        <v>-84</v>
      </c>
      <c r="X118" s="29"/>
      <c r="Y118" s="29"/>
      <c r="AA118" s="250"/>
      <c r="AB118" s="156"/>
      <c r="AC118"/>
      <c r="AD118"/>
      <c r="AE118" s="156"/>
      <c r="AF118"/>
      <c r="AG118"/>
      <c r="AH118"/>
      <c r="AI118"/>
      <c r="AJ118"/>
    </row>
    <row r="119" spans="1:36" hidden="1" outlineLevel="1">
      <c r="A119" s="96">
        <v>45215</v>
      </c>
      <c r="B119" s="17" t="s">
        <v>18</v>
      </c>
      <c r="C119" s="18">
        <v>42</v>
      </c>
      <c r="D119" s="23">
        <v>23</v>
      </c>
      <c r="E119" s="23">
        <f t="shared" si="15"/>
        <v>-39</v>
      </c>
      <c r="G119" s="19"/>
      <c r="H119" s="62"/>
      <c r="I119" s="20"/>
      <c r="J119" s="21"/>
      <c r="K119" s="42"/>
      <c r="L119" s="23"/>
      <c r="M119" s="23"/>
      <c r="N119" s="23"/>
      <c r="O119" s="23">
        <v>19</v>
      </c>
      <c r="Q119" s="78">
        <v>63</v>
      </c>
      <c r="R119" s="62">
        <f>C115+S119</f>
        <v>72</v>
      </c>
      <c r="S119" s="20"/>
      <c r="T119" s="21"/>
      <c r="U119" s="57">
        <v>72</v>
      </c>
      <c r="V119" s="23">
        <f t="shared" si="10"/>
        <v>-75</v>
      </c>
      <c r="W119" s="23">
        <f t="shared" si="11"/>
        <v>-75</v>
      </c>
      <c r="X119" s="23"/>
      <c r="Y119" s="23">
        <v>19</v>
      </c>
      <c r="AA119" s="250"/>
      <c r="AB119" s="156"/>
      <c r="AC119"/>
      <c r="AD119"/>
      <c r="AE119" s="156"/>
      <c r="AF119"/>
      <c r="AG119"/>
    </row>
    <row r="120" spans="1:36" hidden="1" outlineLevel="1">
      <c r="A120" s="96">
        <v>45216</v>
      </c>
      <c r="B120" s="17" t="s">
        <v>19</v>
      </c>
      <c r="C120" s="18">
        <v>72</v>
      </c>
      <c r="D120" s="23">
        <v>23</v>
      </c>
      <c r="E120" s="23">
        <f t="shared" si="15"/>
        <v>-88</v>
      </c>
      <c r="G120" s="19"/>
      <c r="H120" s="62"/>
      <c r="I120" s="20"/>
      <c r="J120" s="21"/>
      <c r="K120" s="42"/>
      <c r="L120" s="23"/>
      <c r="M120" s="23"/>
      <c r="N120" s="23"/>
      <c r="O120" s="23">
        <v>5</v>
      </c>
      <c r="Q120" s="78">
        <v>75</v>
      </c>
      <c r="R120" s="62">
        <f>C116+S120</f>
        <v>72</v>
      </c>
      <c r="S120" s="20"/>
      <c r="T120" s="21"/>
      <c r="U120" s="57">
        <v>72</v>
      </c>
      <c r="V120" s="23">
        <f t="shared" si="10"/>
        <v>-78</v>
      </c>
      <c r="W120" s="23">
        <f t="shared" si="11"/>
        <v>-78</v>
      </c>
      <c r="X120" s="23"/>
      <c r="Y120" s="23">
        <v>5</v>
      </c>
      <c r="AA120" s="250"/>
      <c r="AB120" s="156"/>
      <c r="AC120"/>
      <c r="AD120"/>
      <c r="AE120" s="156"/>
      <c r="AF120"/>
      <c r="AG120"/>
    </row>
    <row r="121" spans="1:36" hidden="1" outlineLevel="1">
      <c r="A121" s="96">
        <v>45217</v>
      </c>
      <c r="B121" s="17" t="s">
        <v>20</v>
      </c>
      <c r="C121" s="161">
        <v>0</v>
      </c>
      <c r="D121" s="23">
        <v>48</v>
      </c>
      <c r="E121" s="23">
        <f t="shared" si="15"/>
        <v>-40</v>
      </c>
      <c r="G121" s="19"/>
      <c r="H121" s="62"/>
      <c r="I121" s="20"/>
      <c r="J121" s="21"/>
      <c r="K121" s="42"/>
      <c r="L121" s="23"/>
      <c r="M121" s="23"/>
      <c r="N121" s="23"/>
      <c r="O121" s="23">
        <v>13</v>
      </c>
      <c r="Q121" s="78">
        <v>78</v>
      </c>
      <c r="R121" s="62">
        <v>24</v>
      </c>
      <c r="S121" s="20"/>
      <c r="T121" s="21"/>
      <c r="U121" s="57">
        <v>24</v>
      </c>
      <c r="V121" s="23">
        <f t="shared" si="10"/>
        <v>-132</v>
      </c>
      <c r="W121" s="23">
        <f t="shared" si="11"/>
        <v>-132</v>
      </c>
      <c r="X121" s="23"/>
      <c r="Y121" s="23">
        <v>13</v>
      </c>
      <c r="AA121" s="250"/>
      <c r="AB121" s="156"/>
      <c r="AC121"/>
      <c r="AD121"/>
      <c r="AE121" s="156"/>
      <c r="AF121"/>
      <c r="AG121"/>
    </row>
    <row r="122" spans="1:36" hidden="1" outlineLevel="1">
      <c r="A122" s="96">
        <v>45218</v>
      </c>
      <c r="B122" s="17" t="s">
        <v>14</v>
      </c>
      <c r="C122" s="161">
        <v>0</v>
      </c>
      <c r="D122" s="23">
        <v>51</v>
      </c>
      <c r="E122" s="23">
        <f t="shared" si="15"/>
        <v>11</v>
      </c>
      <c r="G122" s="19"/>
      <c r="H122" s="62"/>
      <c r="I122" s="20"/>
      <c r="J122" s="21"/>
      <c r="K122" s="42"/>
      <c r="L122" s="23"/>
      <c r="M122" s="23"/>
      <c r="N122" s="23"/>
      <c r="O122" s="23">
        <v>0</v>
      </c>
      <c r="Q122" s="78">
        <v>0</v>
      </c>
      <c r="R122" s="160">
        <v>0</v>
      </c>
      <c r="S122" s="20"/>
      <c r="T122" s="21"/>
      <c r="U122" s="164">
        <v>0</v>
      </c>
      <c r="V122" s="23">
        <f t="shared" si="10"/>
        <v>-132</v>
      </c>
      <c r="W122" s="23">
        <f t="shared" si="11"/>
        <v>-132</v>
      </c>
      <c r="X122" s="23"/>
      <c r="Y122" s="23">
        <v>0</v>
      </c>
      <c r="AA122" s="250"/>
      <c r="AB122" s="156"/>
      <c r="AC122"/>
      <c r="AD122"/>
      <c r="AE122" s="156"/>
      <c r="AF122"/>
      <c r="AG122"/>
    </row>
    <row r="123" spans="1:36" hidden="1" outlineLevel="1">
      <c r="A123" s="96">
        <v>45219</v>
      </c>
      <c r="B123" s="17" t="s">
        <v>15</v>
      </c>
      <c r="C123" s="161">
        <v>0</v>
      </c>
      <c r="D123" s="23">
        <v>36</v>
      </c>
      <c r="E123" s="23">
        <f t="shared" si="15"/>
        <v>47</v>
      </c>
      <c r="G123" s="19"/>
      <c r="H123" s="62"/>
      <c r="I123" s="20"/>
      <c r="J123" s="21"/>
      <c r="K123" s="42"/>
      <c r="L123" s="23"/>
      <c r="M123" s="23"/>
      <c r="N123" s="23"/>
      <c r="O123" s="23">
        <v>0</v>
      </c>
      <c r="Q123" s="78">
        <v>60</v>
      </c>
      <c r="R123" s="160">
        <f>C121+S123</f>
        <v>0</v>
      </c>
      <c r="S123" s="20"/>
      <c r="T123" s="21"/>
      <c r="U123" s="164">
        <v>0</v>
      </c>
      <c r="V123" s="23">
        <f t="shared" si="10"/>
        <v>-192</v>
      </c>
      <c r="W123" s="23">
        <f t="shared" si="11"/>
        <v>-192</v>
      </c>
      <c r="X123" s="23"/>
      <c r="Y123" s="23">
        <v>0</v>
      </c>
      <c r="Z123" s="1">
        <f>AVERAGE(Q119:Q123)</f>
        <v>55.2</v>
      </c>
      <c r="AA123" s="250"/>
      <c r="AB123" s="156"/>
      <c r="AC123"/>
      <c r="AD123"/>
      <c r="AE123" s="156"/>
      <c r="AF123"/>
      <c r="AG123"/>
    </row>
    <row r="124" spans="1:36" s="12" customFormat="1" hidden="1" outlineLevel="1">
      <c r="A124" s="95">
        <v>45220</v>
      </c>
      <c r="B124" s="25" t="s">
        <v>16</v>
      </c>
      <c r="C124" s="26"/>
      <c r="D124" s="29"/>
      <c r="E124" s="29">
        <f t="shared" si="15"/>
        <v>47</v>
      </c>
      <c r="G124" s="64"/>
      <c r="H124" s="63"/>
      <c r="I124" s="27"/>
      <c r="J124" s="28"/>
      <c r="K124" s="43"/>
      <c r="L124" s="29"/>
      <c r="M124" s="29"/>
      <c r="N124" s="29"/>
      <c r="O124" s="29"/>
      <c r="Q124" s="79">
        <v>0</v>
      </c>
      <c r="R124" s="63"/>
      <c r="S124" s="27"/>
      <c r="T124" s="28"/>
      <c r="U124" s="43"/>
      <c r="V124" s="29">
        <f t="shared" si="10"/>
        <v>-192</v>
      </c>
      <c r="W124" s="29">
        <f t="shared" si="11"/>
        <v>-192</v>
      </c>
      <c r="X124" s="29"/>
      <c r="Y124" s="29"/>
      <c r="AA124" s="250"/>
      <c r="AB124" s="156"/>
      <c r="AC124"/>
      <c r="AD124"/>
      <c r="AE124" s="156"/>
      <c r="AF124"/>
      <c r="AG124"/>
      <c r="AH124"/>
      <c r="AI124"/>
      <c r="AJ124"/>
    </row>
    <row r="125" spans="1:36" s="12" customFormat="1" hidden="1" outlineLevel="1">
      <c r="A125" s="95">
        <v>45221</v>
      </c>
      <c r="B125" s="25" t="s">
        <v>17</v>
      </c>
      <c r="C125" s="26"/>
      <c r="D125" s="29"/>
      <c r="E125" s="29">
        <f t="shared" si="15"/>
        <v>47</v>
      </c>
      <c r="G125" s="64"/>
      <c r="H125" s="63"/>
      <c r="I125" s="27"/>
      <c r="J125" s="28"/>
      <c r="K125" s="43"/>
      <c r="L125" s="29"/>
      <c r="M125" s="29"/>
      <c r="N125" s="29"/>
      <c r="O125" s="29"/>
      <c r="Q125" s="79">
        <v>0</v>
      </c>
      <c r="R125" s="63"/>
      <c r="S125" s="27"/>
      <c r="T125" s="28"/>
      <c r="U125" s="43"/>
      <c r="V125" s="29">
        <f t="shared" si="10"/>
        <v>-192</v>
      </c>
      <c r="W125" s="29">
        <f t="shared" si="11"/>
        <v>-192</v>
      </c>
      <c r="X125" s="29"/>
      <c r="Y125" s="29"/>
      <c r="AA125" s="250"/>
      <c r="AB125" s="156"/>
      <c r="AC125"/>
      <c r="AD125"/>
      <c r="AE125" s="156"/>
      <c r="AF125"/>
      <c r="AG125"/>
      <c r="AH125"/>
      <c r="AI125"/>
      <c r="AJ125"/>
    </row>
    <row r="126" spans="1:36" hidden="1" outlineLevel="1">
      <c r="A126" s="96">
        <v>45222</v>
      </c>
      <c r="B126" s="17" t="s">
        <v>18</v>
      </c>
      <c r="C126" s="161">
        <v>0</v>
      </c>
      <c r="D126" s="23">
        <v>10</v>
      </c>
      <c r="E126" s="23">
        <f t="shared" si="15"/>
        <v>57</v>
      </c>
      <c r="G126" s="19"/>
      <c r="H126" s="62"/>
      <c r="I126" s="20"/>
      <c r="J126" s="21"/>
      <c r="K126" s="42"/>
      <c r="L126" s="23"/>
      <c r="M126" s="23"/>
      <c r="N126" s="23"/>
      <c r="O126" s="23">
        <v>0</v>
      </c>
      <c r="Q126" s="78">
        <v>66</v>
      </c>
      <c r="R126" s="160">
        <v>0</v>
      </c>
      <c r="S126" s="20"/>
      <c r="T126" s="21"/>
      <c r="U126" s="164">
        <v>0</v>
      </c>
      <c r="V126" s="23">
        <f t="shared" si="10"/>
        <v>-258</v>
      </c>
      <c r="W126" s="23">
        <f t="shared" si="11"/>
        <v>-258</v>
      </c>
      <c r="X126" s="23"/>
      <c r="Y126" s="23">
        <v>0</v>
      </c>
      <c r="AA126" s="250"/>
      <c r="AB126" s="156"/>
      <c r="AC126"/>
      <c r="AD126"/>
      <c r="AE126" s="156"/>
      <c r="AF126"/>
      <c r="AG126"/>
    </row>
    <row r="127" spans="1:36" hidden="1" outlineLevel="1">
      <c r="A127" s="96">
        <v>45223</v>
      </c>
      <c r="B127" s="17" t="s">
        <v>19</v>
      </c>
      <c r="C127" s="161">
        <v>0</v>
      </c>
      <c r="D127" s="23">
        <v>0</v>
      </c>
      <c r="E127" s="23">
        <f t="shared" si="15"/>
        <v>57</v>
      </c>
      <c r="G127" s="19"/>
      <c r="H127" s="62"/>
      <c r="I127" s="20"/>
      <c r="J127" s="21"/>
      <c r="K127" s="42"/>
      <c r="L127" s="23"/>
      <c r="M127" s="23"/>
      <c r="N127" s="23"/>
      <c r="O127" s="23">
        <v>0</v>
      </c>
      <c r="Q127" s="78">
        <v>78</v>
      </c>
      <c r="R127" s="160">
        <v>0</v>
      </c>
      <c r="S127" s="20"/>
      <c r="T127" s="21"/>
      <c r="U127" s="164">
        <v>0</v>
      </c>
      <c r="V127" s="23">
        <f t="shared" si="10"/>
        <v>-336</v>
      </c>
      <c r="W127" s="23">
        <f t="shared" si="11"/>
        <v>-336</v>
      </c>
      <c r="X127" s="23"/>
      <c r="Y127" s="23">
        <v>0</v>
      </c>
      <c r="AA127" s="250"/>
      <c r="AB127" s="156"/>
      <c r="AC127"/>
      <c r="AD127"/>
      <c r="AE127" s="156"/>
      <c r="AF127"/>
      <c r="AG127"/>
    </row>
    <row r="128" spans="1:36" hidden="1" outlineLevel="1">
      <c r="A128" s="96">
        <v>45224</v>
      </c>
      <c r="B128" s="17" t="s">
        <v>20</v>
      </c>
      <c r="C128" s="18">
        <v>72</v>
      </c>
      <c r="D128" s="23">
        <v>1</v>
      </c>
      <c r="E128" s="23">
        <f t="shared" si="15"/>
        <v>-14</v>
      </c>
      <c r="G128" s="19"/>
      <c r="H128" s="62"/>
      <c r="I128" s="20"/>
      <c r="J128" s="21"/>
      <c r="K128" s="42"/>
      <c r="L128" s="23"/>
      <c r="M128" s="23"/>
      <c r="N128" s="23"/>
      <c r="O128" s="23">
        <v>0</v>
      </c>
      <c r="Q128" s="78">
        <v>18</v>
      </c>
      <c r="R128" s="160">
        <v>0</v>
      </c>
      <c r="S128" s="20"/>
      <c r="T128" s="21"/>
      <c r="U128" s="164">
        <v>0</v>
      </c>
      <c r="V128" s="23">
        <f t="shared" si="10"/>
        <v>-354</v>
      </c>
      <c r="W128" s="23">
        <f t="shared" si="11"/>
        <v>-354</v>
      </c>
      <c r="X128" s="23"/>
      <c r="Y128" s="23">
        <v>0</v>
      </c>
      <c r="AA128" s="250"/>
      <c r="AB128" s="156"/>
      <c r="AC128"/>
      <c r="AD128"/>
      <c r="AE128" s="156"/>
      <c r="AF128"/>
      <c r="AG128"/>
    </row>
    <row r="129" spans="1:36" hidden="1" outlineLevel="1">
      <c r="A129" s="96">
        <v>45225</v>
      </c>
      <c r="B129" s="17" t="s">
        <v>14</v>
      </c>
      <c r="C129" s="18">
        <v>72</v>
      </c>
      <c r="D129" s="23">
        <v>58</v>
      </c>
      <c r="E129" s="23">
        <f t="shared" si="15"/>
        <v>-28</v>
      </c>
      <c r="G129" s="19"/>
      <c r="H129" s="62"/>
      <c r="I129" s="20"/>
      <c r="J129" s="21"/>
      <c r="K129" s="42"/>
      <c r="L129" s="23"/>
      <c r="M129" s="23"/>
      <c r="N129" s="23"/>
      <c r="O129" s="23">
        <v>0</v>
      </c>
      <c r="Q129" s="78">
        <v>0</v>
      </c>
      <c r="R129" s="62">
        <f>C120+S129</f>
        <v>72</v>
      </c>
      <c r="S129" s="20"/>
      <c r="T129" s="21"/>
      <c r="U129" s="57">
        <v>72</v>
      </c>
      <c r="V129" s="23">
        <f t="shared" si="10"/>
        <v>-282</v>
      </c>
      <c r="W129" s="23">
        <f t="shared" si="11"/>
        <v>-282</v>
      </c>
      <c r="X129" s="23"/>
      <c r="Y129" s="23">
        <v>0</v>
      </c>
      <c r="AA129" s="250"/>
      <c r="AB129" s="156"/>
      <c r="AC129"/>
      <c r="AD129"/>
      <c r="AE129" s="156"/>
      <c r="AF129"/>
      <c r="AG129"/>
    </row>
    <row r="130" spans="1:36" hidden="1" outlineLevel="1">
      <c r="A130" s="96">
        <v>45226</v>
      </c>
      <c r="B130" s="17" t="s">
        <v>15</v>
      </c>
      <c r="C130" s="18">
        <v>60</v>
      </c>
      <c r="D130" s="23">
        <v>46</v>
      </c>
      <c r="E130" s="23">
        <f t="shared" si="15"/>
        <v>-42</v>
      </c>
      <c r="G130" s="19"/>
      <c r="H130" s="62"/>
      <c r="I130" s="20"/>
      <c r="J130" s="21"/>
      <c r="K130" s="42"/>
      <c r="L130" s="23"/>
      <c r="M130" s="23"/>
      <c r="N130" s="23"/>
      <c r="O130" s="23">
        <v>15</v>
      </c>
      <c r="Q130" s="78">
        <v>0</v>
      </c>
      <c r="R130" s="62">
        <f>C128+S130</f>
        <v>72</v>
      </c>
      <c r="S130" s="20"/>
      <c r="T130" s="21"/>
      <c r="U130" s="57">
        <v>72</v>
      </c>
      <c r="V130" s="23">
        <f t="shared" si="10"/>
        <v>-210</v>
      </c>
      <c r="W130" s="23">
        <f t="shared" si="11"/>
        <v>-210</v>
      </c>
      <c r="X130" s="23"/>
      <c r="Y130" s="23">
        <v>15</v>
      </c>
      <c r="Z130" s="1">
        <f>AVERAGE(Q126:Q130)</f>
        <v>32.4</v>
      </c>
      <c r="AA130" s="250"/>
      <c r="AB130" s="156"/>
      <c r="AC130"/>
      <c r="AD130"/>
      <c r="AE130" s="156"/>
      <c r="AF130"/>
      <c r="AG130"/>
    </row>
    <row r="131" spans="1:36" s="12" customFormat="1" hidden="1" outlineLevel="1">
      <c r="A131" s="95">
        <v>45227</v>
      </c>
      <c r="B131" s="25" t="s">
        <v>16</v>
      </c>
      <c r="C131" s="26"/>
      <c r="D131" s="29"/>
      <c r="E131" s="29">
        <f t="shared" si="15"/>
        <v>-42</v>
      </c>
      <c r="G131" s="64"/>
      <c r="H131" s="63"/>
      <c r="I131" s="27"/>
      <c r="J131" s="28"/>
      <c r="K131" s="43"/>
      <c r="L131" s="29"/>
      <c r="M131" s="29"/>
      <c r="N131" s="29"/>
      <c r="O131" s="29"/>
      <c r="Q131" s="79">
        <v>0</v>
      </c>
      <c r="R131" s="63"/>
      <c r="S131" s="27"/>
      <c r="T131" s="28"/>
      <c r="U131" s="43"/>
      <c r="V131" s="29">
        <f t="shared" si="10"/>
        <v>-210</v>
      </c>
      <c r="W131" s="29">
        <f t="shared" si="11"/>
        <v>-210</v>
      </c>
      <c r="X131" s="29"/>
      <c r="Y131" s="29"/>
      <c r="AA131" s="250"/>
      <c r="AB131" s="156"/>
      <c r="AC131"/>
      <c r="AD131"/>
      <c r="AE131" s="156"/>
      <c r="AF131"/>
      <c r="AG131"/>
      <c r="AH131"/>
      <c r="AI131"/>
      <c r="AJ131"/>
    </row>
    <row r="132" spans="1:36" s="12" customFormat="1" hidden="1" outlineLevel="1">
      <c r="A132" s="95">
        <v>45228</v>
      </c>
      <c r="B132" s="25" t="s">
        <v>17</v>
      </c>
      <c r="C132" s="26"/>
      <c r="D132" s="29"/>
      <c r="E132" s="29">
        <f t="shared" si="15"/>
        <v>-42</v>
      </c>
      <c r="G132" s="64"/>
      <c r="H132" s="63"/>
      <c r="I132" s="27"/>
      <c r="J132" s="28"/>
      <c r="K132" s="43"/>
      <c r="L132" s="29"/>
      <c r="M132" s="29"/>
      <c r="N132" s="29"/>
      <c r="O132" s="29"/>
      <c r="Q132" s="79">
        <v>0</v>
      </c>
      <c r="R132" s="63"/>
      <c r="S132" s="27"/>
      <c r="T132" s="28"/>
      <c r="U132" s="43"/>
      <c r="V132" s="29">
        <f t="shared" si="10"/>
        <v>-210</v>
      </c>
      <c r="W132" s="29">
        <f t="shared" si="11"/>
        <v>-210</v>
      </c>
      <c r="X132" s="29"/>
      <c r="Y132" s="29"/>
      <c r="AA132" s="250"/>
      <c r="AB132" s="156"/>
      <c r="AC132"/>
      <c r="AD132"/>
      <c r="AE132" s="156"/>
      <c r="AF132"/>
      <c r="AG132"/>
      <c r="AH132"/>
      <c r="AI132"/>
      <c r="AJ132"/>
    </row>
    <row r="133" spans="1:36" hidden="1" outlineLevel="1">
      <c r="A133" s="96">
        <v>45229</v>
      </c>
      <c r="B133" s="17" t="s">
        <v>18</v>
      </c>
      <c r="C133" s="161">
        <v>0</v>
      </c>
      <c r="D133" s="23">
        <v>48</v>
      </c>
      <c r="E133" s="23">
        <f t="shared" si="15"/>
        <v>6</v>
      </c>
      <c r="G133" s="19"/>
      <c r="H133" s="62"/>
      <c r="I133" s="20"/>
      <c r="J133" s="21"/>
      <c r="K133" s="42"/>
      <c r="L133" s="23"/>
      <c r="M133" s="23"/>
      <c r="N133" s="23"/>
      <c r="O133" s="23">
        <v>0</v>
      </c>
      <c r="Q133" s="78">
        <v>0</v>
      </c>
      <c r="R133" s="62">
        <f>C129+S133</f>
        <v>72</v>
      </c>
      <c r="S133" s="20"/>
      <c r="T133" s="21"/>
      <c r="U133" s="57">
        <v>72</v>
      </c>
      <c r="V133" s="23">
        <f t="shared" si="10"/>
        <v>-138</v>
      </c>
      <c r="W133" s="23">
        <f t="shared" si="11"/>
        <v>-138</v>
      </c>
      <c r="X133" s="23"/>
      <c r="Y133" s="23">
        <v>0</v>
      </c>
      <c r="AA133" s="250"/>
      <c r="AB133" s="156"/>
      <c r="AC133"/>
      <c r="AD133"/>
      <c r="AE133" s="156"/>
      <c r="AF133"/>
      <c r="AG133"/>
    </row>
    <row r="134" spans="1:36" hidden="1" outlineLevel="1">
      <c r="A134" s="96">
        <v>45230</v>
      </c>
      <c r="B134" s="17" t="s">
        <v>19</v>
      </c>
      <c r="C134" s="161">
        <v>0</v>
      </c>
      <c r="D134" s="23">
        <v>16</v>
      </c>
      <c r="E134" s="23">
        <f t="shared" si="15"/>
        <v>22</v>
      </c>
      <c r="G134" s="19"/>
      <c r="H134" s="62"/>
      <c r="I134" s="20"/>
      <c r="J134" s="21"/>
      <c r="K134" s="42"/>
      <c r="L134" s="23"/>
      <c r="M134" s="23"/>
      <c r="N134" s="23"/>
      <c r="O134" s="23">
        <v>0</v>
      </c>
      <c r="Q134" s="78">
        <v>54</v>
      </c>
      <c r="R134" s="62">
        <f>C130+S134</f>
        <v>60</v>
      </c>
      <c r="S134" s="20"/>
      <c r="T134" s="21"/>
      <c r="U134" s="57">
        <v>60</v>
      </c>
      <c r="V134" s="23">
        <f t="shared" si="10"/>
        <v>-132</v>
      </c>
      <c r="W134" s="23">
        <f t="shared" si="11"/>
        <v>-132</v>
      </c>
      <c r="X134" s="23"/>
      <c r="Y134" s="23">
        <v>0</v>
      </c>
      <c r="AA134" s="250"/>
      <c r="AB134" s="156"/>
      <c r="AC134"/>
      <c r="AD134"/>
      <c r="AE134" s="156"/>
      <c r="AF134"/>
      <c r="AG134"/>
    </row>
    <row r="135" spans="1:36" hidden="1" outlineLevel="1">
      <c r="A135" s="96">
        <v>45231</v>
      </c>
      <c r="B135" s="17" t="s">
        <v>20</v>
      </c>
      <c r="C135" s="18">
        <v>60</v>
      </c>
      <c r="D135" s="23">
        <v>50</v>
      </c>
      <c r="E135" s="23">
        <f t="shared" si="15"/>
        <v>12</v>
      </c>
      <c r="G135" s="19"/>
      <c r="H135" s="62"/>
      <c r="I135" s="20"/>
      <c r="J135" s="21"/>
      <c r="K135" s="42"/>
      <c r="L135" s="23"/>
      <c r="M135" s="23"/>
      <c r="N135" s="23"/>
      <c r="O135" s="23">
        <v>0</v>
      </c>
      <c r="Q135" s="78">
        <v>0</v>
      </c>
      <c r="R135" s="160">
        <f>C133+S135</f>
        <v>0</v>
      </c>
      <c r="S135" s="20"/>
      <c r="T135" s="21"/>
      <c r="U135" s="164">
        <v>0</v>
      </c>
      <c r="V135" s="23">
        <f t="shared" si="10"/>
        <v>-132</v>
      </c>
      <c r="W135" s="23">
        <f t="shared" si="11"/>
        <v>-132</v>
      </c>
      <c r="X135" s="23"/>
      <c r="Y135" s="23">
        <v>0</v>
      </c>
      <c r="AA135" s="250"/>
      <c r="AB135" s="156"/>
      <c r="AC135"/>
      <c r="AD135"/>
      <c r="AE135" s="156"/>
      <c r="AF135"/>
      <c r="AG135"/>
    </row>
    <row r="136" spans="1:36" hidden="1" outlineLevel="1">
      <c r="A136" s="96">
        <v>45232</v>
      </c>
      <c r="B136" s="17" t="s">
        <v>14</v>
      </c>
      <c r="C136" s="18">
        <v>60</v>
      </c>
      <c r="D136" s="23">
        <v>56</v>
      </c>
      <c r="E136" s="23">
        <f t="shared" si="15"/>
        <v>8</v>
      </c>
      <c r="G136" s="19"/>
      <c r="H136" s="62"/>
      <c r="I136" s="20"/>
      <c r="J136" s="21"/>
      <c r="K136" s="42"/>
      <c r="L136" s="23"/>
      <c r="M136" s="23"/>
      <c r="N136" s="23"/>
      <c r="O136" s="23">
        <v>5</v>
      </c>
      <c r="Q136" s="78">
        <v>0</v>
      </c>
      <c r="R136" s="160">
        <f>C134+S136</f>
        <v>0</v>
      </c>
      <c r="S136" s="20"/>
      <c r="T136" s="21"/>
      <c r="U136" s="164">
        <v>0</v>
      </c>
      <c r="V136" s="23">
        <f t="shared" si="10"/>
        <v>-132</v>
      </c>
      <c r="W136" s="23">
        <f t="shared" si="11"/>
        <v>-132</v>
      </c>
      <c r="X136" s="23"/>
      <c r="Y136" s="23">
        <v>5</v>
      </c>
      <c r="Z136" s="1">
        <f>AVERAGE(Q133:Q136)</f>
        <v>13.5</v>
      </c>
      <c r="AA136" s="250"/>
      <c r="AB136" s="156"/>
      <c r="AC136"/>
      <c r="AD136"/>
      <c r="AE136" s="156"/>
      <c r="AF136"/>
      <c r="AG136"/>
    </row>
    <row r="137" spans="1:36" s="12" customFormat="1" hidden="1" outlineLevel="1">
      <c r="A137" s="95">
        <v>45233</v>
      </c>
      <c r="B137" s="25" t="s">
        <v>15</v>
      </c>
      <c r="C137" s="26">
        <v>60</v>
      </c>
      <c r="D137" s="29">
        <v>60</v>
      </c>
      <c r="E137" s="29">
        <f t="shared" si="15"/>
        <v>8</v>
      </c>
      <c r="G137" s="64"/>
      <c r="H137" s="63"/>
      <c r="I137" s="27"/>
      <c r="J137" s="28"/>
      <c r="K137" s="43"/>
      <c r="L137" s="29"/>
      <c r="M137" s="29"/>
      <c r="N137" s="29"/>
      <c r="O137" s="29"/>
      <c r="Q137" s="79">
        <v>0</v>
      </c>
      <c r="R137" s="63"/>
      <c r="S137" s="27"/>
      <c r="T137" s="28"/>
      <c r="U137" s="43"/>
      <c r="V137" s="29">
        <f t="shared" si="10"/>
        <v>-132</v>
      </c>
      <c r="W137" s="29">
        <f t="shared" si="11"/>
        <v>-132</v>
      </c>
      <c r="X137" s="29"/>
      <c r="Y137" s="29"/>
      <c r="AA137" s="250"/>
      <c r="AB137" s="156"/>
      <c r="AC137"/>
      <c r="AD137"/>
      <c r="AE137" s="156"/>
      <c r="AF137"/>
      <c r="AG137"/>
      <c r="AH137"/>
      <c r="AI137"/>
      <c r="AJ137"/>
    </row>
    <row r="138" spans="1:36" s="12" customFormat="1" hidden="1" outlineLevel="1">
      <c r="A138" s="95">
        <v>45234</v>
      </c>
      <c r="B138" s="25" t="s">
        <v>16</v>
      </c>
      <c r="C138" s="26"/>
      <c r="D138" s="29"/>
      <c r="E138" s="29">
        <f t="shared" si="15"/>
        <v>8</v>
      </c>
      <c r="G138" s="64"/>
      <c r="H138" s="63"/>
      <c r="I138" s="27"/>
      <c r="J138" s="28"/>
      <c r="K138" s="43"/>
      <c r="L138" s="29"/>
      <c r="M138" s="29"/>
      <c r="N138" s="29"/>
      <c r="O138" s="29"/>
      <c r="Q138" s="79">
        <v>0</v>
      </c>
      <c r="R138" s="63"/>
      <c r="S138" s="27"/>
      <c r="T138" s="28"/>
      <c r="U138" s="43"/>
      <c r="V138" s="29">
        <f t="shared" si="10"/>
        <v>-132</v>
      </c>
      <c r="W138" s="29">
        <f t="shared" si="11"/>
        <v>-132</v>
      </c>
      <c r="X138" s="29"/>
      <c r="Y138" s="29"/>
      <c r="AA138" s="250"/>
      <c r="AB138" s="156"/>
      <c r="AC138"/>
      <c r="AD138"/>
      <c r="AE138" s="156"/>
      <c r="AF138"/>
      <c r="AG138"/>
      <c r="AH138"/>
      <c r="AI138"/>
      <c r="AJ138"/>
    </row>
    <row r="139" spans="1:36" s="12" customFormat="1" hidden="1" outlineLevel="1">
      <c r="A139" s="95">
        <v>45235</v>
      </c>
      <c r="B139" s="25" t="s">
        <v>17</v>
      </c>
      <c r="C139" s="26"/>
      <c r="D139" s="29"/>
      <c r="E139" s="29">
        <f t="shared" si="15"/>
        <v>8</v>
      </c>
      <c r="G139" s="64"/>
      <c r="H139" s="63"/>
      <c r="I139" s="27"/>
      <c r="J139" s="28"/>
      <c r="K139" s="43"/>
      <c r="L139" s="29"/>
      <c r="M139" s="29"/>
      <c r="N139" s="29"/>
      <c r="O139" s="29"/>
      <c r="Q139" s="79">
        <v>0</v>
      </c>
      <c r="R139" s="63"/>
      <c r="S139" s="27"/>
      <c r="T139" s="28"/>
      <c r="U139" s="43"/>
      <c r="V139" s="29">
        <f t="shared" si="10"/>
        <v>-132</v>
      </c>
      <c r="W139" s="29">
        <f t="shared" si="11"/>
        <v>-132</v>
      </c>
      <c r="X139" s="29"/>
      <c r="Y139" s="29"/>
      <c r="AA139" s="250"/>
      <c r="AB139" s="156"/>
      <c r="AC139"/>
      <c r="AD139"/>
      <c r="AE139" s="156"/>
      <c r="AF139"/>
      <c r="AG139"/>
      <c r="AH139"/>
      <c r="AI139"/>
      <c r="AJ139"/>
    </row>
    <row r="140" spans="1:36" hidden="1" outlineLevel="1">
      <c r="A140" s="96">
        <v>45236</v>
      </c>
      <c r="B140" s="17" t="s">
        <v>18</v>
      </c>
      <c r="C140" s="18">
        <v>60</v>
      </c>
      <c r="D140" s="23">
        <v>55</v>
      </c>
      <c r="E140" s="23">
        <f t="shared" si="15"/>
        <v>3</v>
      </c>
      <c r="G140" s="19"/>
      <c r="H140" s="62"/>
      <c r="I140" s="20"/>
      <c r="J140" s="21"/>
      <c r="K140" s="42"/>
      <c r="L140" s="23"/>
      <c r="M140" s="23"/>
      <c r="N140" s="23"/>
      <c r="O140" s="23">
        <v>0</v>
      </c>
      <c r="Q140" s="78">
        <v>60</v>
      </c>
      <c r="R140" s="62">
        <f>C135+S140</f>
        <v>60</v>
      </c>
      <c r="S140" s="20"/>
      <c r="T140" s="21"/>
      <c r="U140" s="57">
        <v>60</v>
      </c>
      <c r="V140" s="23">
        <f t="shared" si="10"/>
        <v>-132</v>
      </c>
      <c r="W140" s="23">
        <f t="shared" si="11"/>
        <v>-132</v>
      </c>
      <c r="X140" s="23"/>
      <c r="Y140" s="23">
        <v>0</v>
      </c>
      <c r="AA140" s="250"/>
      <c r="AB140" s="156"/>
      <c r="AC140"/>
      <c r="AD140"/>
      <c r="AE140" s="156"/>
      <c r="AF140"/>
      <c r="AG140"/>
    </row>
    <row r="141" spans="1:36" hidden="1" outlineLevel="1">
      <c r="A141" s="96">
        <v>45237</v>
      </c>
      <c r="B141" s="17" t="s">
        <v>19</v>
      </c>
      <c r="C141" s="18">
        <v>60</v>
      </c>
      <c r="D141" s="23">
        <v>57</v>
      </c>
      <c r="E141" s="23">
        <f t="shared" si="15"/>
        <v>0</v>
      </c>
      <c r="G141" s="19"/>
      <c r="H141" s="62"/>
      <c r="I141" s="20"/>
      <c r="J141" s="21"/>
      <c r="K141" s="42"/>
      <c r="L141" s="23"/>
      <c r="M141" s="23"/>
      <c r="N141" s="23"/>
      <c r="O141" s="23">
        <v>0</v>
      </c>
      <c r="Q141" s="78">
        <v>15</v>
      </c>
      <c r="R141" s="62">
        <f>C136+S141</f>
        <v>72</v>
      </c>
      <c r="S141" s="20">
        <v>12</v>
      </c>
      <c r="T141" s="21"/>
      <c r="U141" s="57">
        <v>72</v>
      </c>
      <c r="V141" s="23">
        <f t="shared" si="10"/>
        <v>-75</v>
      </c>
      <c r="W141" s="23">
        <f t="shared" si="11"/>
        <v>-75</v>
      </c>
      <c r="X141" s="23"/>
      <c r="Y141" s="23">
        <v>0</v>
      </c>
      <c r="AA141" s="250"/>
      <c r="AB141" s="156"/>
      <c r="AC141"/>
      <c r="AD141"/>
      <c r="AE141" s="156"/>
      <c r="AF141"/>
      <c r="AG141"/>
    </row>
    <row r="142" spans="1:36" hidden="1" outlineLevel="1">
      <c r="A142" s="96">
        <v>45238</v>
      </c>
      <c r="B142" s="17" t="s">
        <v>20</v>
      </c>
      <c r="C142" s="18">
        <v>69</v>
      </c>
      <c r="D142" s="23">
        <v>74</v>
      </c>
      <c r="E142" s="23">
        <f t="shared" si="15"/>
        <v>5</v>
      </c>
      <c r="G142" s="19"/>
      <c r="H142" s="62"/>
      <c r="I142" s="20"/>
      <c r="J142" s="21"/>
      <c r="K142" s="42"/>
      <c r="L142" s="23"/>
      <c r="M142" s="23"/>
      <c r="N142" s="23"/>
      <c r="O142" s="23">
        <v>0</v>
      </c>
      <c r="Q142" s="78">
        <v>81</v>
      </c>
      <c r="R142" s="62">
        <f>C140+S142</f>
        <v>72</v>
      </c>
      <c r="S142" s="20">
        <v>12</v>
      </c>
      <c r="T142" s="21"/>
      <c r="U142" s="57">
        <v>72</v>
      </c>
      <c r="V142" s="23">
        <f t="shared" si="10"/>
        <v>-84</v>
      </c>
      <c r="W142" s="23">
        <f t="shared" si="11"/>
        <v>-84</v>
      </c>
      <c r="X142" s="23"/>
      <c r="Y142" s="23">
        <v>0</v>
      </c>
      <c r="AA142" s="250"/>
      <c r="AB142" s="156"/>
      <c r="AC142"/>
      <c r="AD142"/>
      <c r="AE142" s="156"/>
      <c r="AF142"/>
      <c r="AG142"/>
    </row>
    <row r="143" spans="1:36" hidden="1" outlineLevel="1">
      <c r="A143" s="96">
        <v>45239</v>
      </c>
      <c r="B143" s="17" t="s">
        <v>14</v>
      </c>
      <c r="C143" s="18">
        <v>60</v>
      </c>
      <c r="D143" s="23">
        <v>71</v>
      </c>
      <c r="E143" s="23">
        <f t="shared" si="15"/>
        <v>16</v>
      </c>
      <c r="G143" s="19"/>
      <c r="H143" s="62"/>
      <c r="I143" s="20"/>
      <c r="J143" s="21"/>
      <c r="K143" s="42"/>
      <c r="L143" s="23"/>
      <c r="M143" s="23"/>
      <c r="N143" s="23"/>
      <c r="O143" s="23">
        <v>15</v>
      </c>
      <c r="Q143" s="78">
        <v>63</v>
      </c>
      <c r="R143" s="62">
        <f>C141+S143</f>
        <v>72</v>
      </c>
      <c r="S143" s="20">
        <v>12</v>
      </c>
      <c r="T143" s="21"/>
      <c r="U143" s="57">
        <v>72</v>
      </c>
      <c r="V143" s="23">
        <f t="shared" si="10"/>
        <v>-75</v>
      </c>
      <c r="W143" s="23">
        <f t="shared" si="11"/>
        <v>-75</v>
      </c>
      <c r="X143" s="23"/>
      <c r="Y143" s="23">
        <v>15</v>
      </c>
      <c r="AA143" s="250"/>
      <c r="AB143" s="156"/>
      <c r="AC143"/>
      <c r="AD143"/>
      <c r="AE143" s="156"/>
      <c r="AF143"/>
      <c r="AG143"/>
    </row>
    <row r="144" spans="1:36" hidden="1" outlineLevel="1">
      <c r="A144" s="96">
        <v>45240</v>
      </c>
      <c r="B144" s="17" t="s">
        <v>15</v>
      </c>
      <c r="C144" s="18">
        <v>66</v>
      </c>
      <c r="D144" s="23">
        <v>60</v>
      </c>
      <c r="E144" s="23">
        <f t="shared" si="15"/>
        <v>10</v>
      </c>
      <c r="G144" s="19"/>
      <c r="H144" s="62"/>
      <c r="I144" s="20"/>
      <c r="J144" s="21"/>
      <c r="K144" s="42"/>
      <c r="L144" s="23"/>
      <c r="M144" s="23"/>
      <c r="N144" s="23"/>
      <c r="O144" s="23">
        <v>10</v>
      </c>
      <c r="Q144" s="78">
        <v>15</v>
      </c>
      <c r="R144" s="62">
        <f>C142+S144</f>
        <v>81</v>
      </c>
      <c r="S144" s="20">
        <v>12</v>
      </c>
      <c r="T144" s="21"/>
      <c r="U144" s="57">
        <v>81</v>
      </c>
      <c r="V144" s="23">
        <f t="shared" si="10"/>
        <v>-9</v>
      </c>
      <c r="W144" s="23">
        <f t="shared" si="11"/>
        <v>-9</v>
      </c>
      <c r="X144" s="23"/>
      <c r="Y144" s="23">
        <v>10</v>
      </c>
      <c r="Z144" s="1">
        <f>AVERAGE(Q140:Q144)</f>
        <v>46.8</v>
      </c>
      <c r="AA144" s="250"/>
      <c r="AB144" s="156"/>
      <c r="AC144"/>
      <c r="AD144"/>
      <c r="AE144" s="156"/>
      <c r="AF144"/>
      <c r="AG144"/>
    </row>
    <row r="145" spans="1:36" s="12" customFormat="1" hidden="1" outlineLevel="1">
      <c r="A145" s="95">
        <v>45241</v>
      </c>
      <c r="B145" s="25" t="s">
        <v>16</v>
      </c>
      <c r="C145" s="26"/>
      <c r="D145" s="29"/>
      <c r="E145" s="29">
        <f t="shared" si="15"/>
        <v>10</v>
      </c>
      <c r="G145" s="64"/>
      <c r="H145" s="63"/>
      <c r="I145" s="27"/>
      <c r="J145" s="28"/>
      <c r="K145" s="43"/>
      <c r="L145" s="29"/>
      <c r="M145" s="29"/>
      <c r="N145" s="29"/>
      <c r="O145" s="29"/>
      <c r="Q145" s="79">
        <v>0</v>
      </c>
      <c r="R145" s="63"/>
      <c r="S145" s="27"/>
      <c r="T145" s="28"/>
      <c r="U145" s="43"/>
      <c r="V145" s="29">
        <f t="shared" si="10"/>
        <v>-9</v>
      </c>
      <c r="W145" s="29">
        <f t="shared" si="11"/>
        <v>-9</v>
      </c>
      <c r="X145" s="29"/>
      <c r="Y145" s="29"/>
      <c r="AA145" s="250"/>
      <c r="AB145" s="156"/>
      <c r="AC145"/>
      <c r="AD145"/>
      <c r="AE145" s="156"/>
      <c r="AF145"/>
      <c r="AG145"/>
      <c r="AH145"/>
      <c r="AI145"/>
      <c r="AJ145"/>
    </row>
    <row r="146" spans="1:36" s="12" customFormat="1" hidden="1" outlineLevel="1">
      <c r="A146" s="95">
        <v>45242</v>
      </c>
      <c r="B146" s="25" t="s">
        <v>17</v>
      </c>
      <c r="C146" s="26"/>
      <c r="D146" s="29"/>
      <c r="E146" s="29">
        <f t="shared" si="15"/>
        <v>10</v>
      </c>
      <c r="G146" s="64"/>
      <c r="H146" s="63"/>
      <c r="I146" s="27"/>
      <c r="J146" s="28"/>
      <c r="K146" s="43"/>
      <c r="L146" s="29"/>
      <c r="M146" s="29"/>
      <c r="N146" s="29"/>
      <c r="O146" s="29"/>
      <c r="Q146" s="79">
        <v>0</v>
      </c>
      <c r="R146" s="63"/>
      <c r="S146" s="27"/>
      <c r="T146" s="28"/>
      <c r="U146" s="43"/>
      <c r="V146" s="29">
        <f t="shared" si="10"/>
        <v>-9</v>
      </c>
      <c r="W146" s="29">
        <f t="shared" si="11"/>
        <v>-9</v>
      </c>
      <c r="X146" s="29"/>
      <c r="Y146" s="29"/>
      <c r="AA146" s="250"/>
      <c r="AB146" s="156"/>
      <c r="AC146"/>
      <c r="AD146"/>
      <c r="AE146" s="156"/>
      <c r="AF146"/>
      <c r="AG146"/>
      <c r="AH146"/>
      <c r="AI146"/>
      <c r="AJ146"/>
    </row>
    <row r="147" spans="1:36" hidden="1" outlineLevel="1">
      <c r="A147" s="96">
        <v>45243</v>
      </c>
      <c r="B147" s="17" t="s">
        <v>18</v>
      </c>
      <c r="C147" s="18">
        <v>54</v>
      </c>
      <c r="D147" s="23">
        <v>62</v>
      </c>
      <c r="E147" s="23">
        <f t="shared" si="15"/>
        <v>18</v>
      </c>
      <c r="G147" s="19"/>
      <c r="H147" s="62"/>
      <c r="I147" s="20"/>
      <c r="J147" s="21"/>
      <c r="K147" s="42"/>
      <c r="L147" s="23"/>
      <c r="M147" s="23"/>
      <c r="N147" s="23"/>
      <c r="O147" s="23">
        <v>0</v>
      </c>
      <c r="Q147" s="78">
        <v>45</v>
      </c>
      <c r="R147" s="62">
        <f>C143+S147</f>
        <v>72</v>
      </c>
      <c r="S147" s="20">
        <v>12</v>
      </c>
      <c r="T147" s="21">
        <f>SUM(S141:S147)</f>
        <v>60</v>
      </c>
      <c r="U147" s="57">
        <v>72</v>
      </c>
      <c r="V147" s="23">
        <f t="shared" si="10"/>
        <v>18</v>
      </c>
      <c r="W147" s="23">
        <f t="shared" si="11"/>
        <v>18</v>
      </c>
      <c r="X147" s="23"/>
      <c r="Y147" s="23">
        <v>0</v>
      </c>
      <c r="AA147" s="250"/>
      <c r="AB147" s="156"/>
      <c r="AC147"/>
      <c r="AD147"/>
      <c r="AE147" s="156"/>
      <c r="AF147"/>
      <c r="AG147"/>
    </row>
    <row r="148" spans="1:36" hidden="1" outlineLevel="1">
      <c r="A148" s="96">
        <v>45244</v>
      </c>
      <c r="B148" s="17" t="s">
        <v>19</v>
      </c>
      <c r="C148" s="18">
        <v>54</v>
      </c>
      <c r="D148" s="23">
        <v>52</v>
      </c>
      <c r="E148" s="23">
        <f t="shared" si="15"/>
        <v>16</v>
      </c>
      <c r="G148" s="19"/>
      <c r="H148" s="62"/>
      <c r="I148" s="20"/>
      <c r="J148" s="21"/>
      <c r="K148" s="42"/>
      <c r="L148" s="23"/>
      <c r="M148" s="23"/>
      <c r="N148" s="23"/>
      <c r="O148" s="23">
        <v>16</v>
      </c>
      <c r="Q148" s="78">
        <v>48</v>
      </c>
      <c r="R148" s="62">
        <f>C144+S148</f>
        <v>66</v>
      </c>
      <c r="S148" s="20"/>
      <c r="T148" s="21"/>
      <c r="U148" s="57">
        <v>66</v>
      </c>
      <c r="V148" s="23">
        <f t="shared" si="10"/>
        <v>36</v>
      </c>
      <c r="W148" s="23">
        <f t="shared" si="11"/>
        <v>36</v>
      </c>
      <c r="X148" s="23"/>
      <c r="Y148" s="23">
        <v>16</v>
      </c>
      <c r="AA148" s="250"/>
      <c r="AB148" s="156"/>
      <c r="AC148"/>
      <c r="AD148"/>
      <c r="AE148" s="156"/>
      <c r="AF148"/>
      <c r="AG148"/>
    </row>
    <row r="149" spans="1:36" hidden="1" outlineLevel="1">
      <c r="A149" s="96">
        <v>45245</v>
      </c>
      <c r="B149" s="17" t="s">
        <v>20</v>
      </c>
      <c r="C149" s="18">
        <v>60</v>
      </c>
      <c r="D149" s="23">
        <v>71</v>
      </c>
      <c r="E149" s="23">
        <f t="shared" si="15"/>
        <v>27</v>
      </c>
      <c r="G149" s="19"/>
      <c r="H149" s="62"/>
      <c r="I149" s="20"/>
      <c r="J149" s="21"/>
      <c r="K149" s="42"/>
      <c r="L149" s="23"/>
      <c r="M149" s="23"/>
      <c r="N149" s="23"/>
      <c r="O149" s="23">
        <v>21</v>
      </c>
      <c r="Q149" s="78">
        <v>75</v>
      </c>
      <c r="R149" s="62">
        <f>C147+S149</f>
        <v>54</v>
      </c>
      <c r="S149" s="20"/>
      <c r="T149" s="21"/>
      <c r="U149" s="57">
        <v>54</v>
      </c>
      <c r="V149" s="23">
        <f t="shared" si="10"/>
        <v>15</v>
      </c>
      <c r="W149" s="23">
        <f t="shared" si="11"/>
        <v>15</v>
      </c>
      <c r="X149" s="23"/>
      <c r="Y149" s="23">
        <v>21</v>
      </c>
      <c r="AA149" s="250"/>
      <c r="AB149" s="156"/>
      <c r="AC149"/>
      <c r="AD149"/>
      <c r="AE149" s="156"/>
      <c r="AF149"/>
      <c r="AG149"/>
    </row>
    <row r="150" spans="1:36" hidden="1" outlineLevel="1">
      <c r="A150" s="96">
        <v>45246</v>
      </c>
      <c r="B150" s="17" t="s">
        <v>14</v>
      </c>
      <c r="C150" s="18">
        <v>66</v>
      </c>
      <c r="D150" s="23">
        <v>60</v>
      </c>
      <c r="E150" s="23">
        <f t="shared" si="15"/>
        <v>21</v>
      </c>
      <c r="G150" s="19"/>
      <c r="H150" s="62"/>
      <c r="I150" s="20"/>
      <c r="J150" s="21"/>
      <c r="K150" s="42"/>
      <c r="L150" s="23"/>
      <c r="M150" s="23"/>
      <c r="N150" s="23"/>
      <c r="O150" s="23">
        <v>11</v>
      </c>
      <c r="Q150" s="78">
        <v>63</v>
      </c>
      <c r="R150" s="62">
        <f>C148+S150</f>
        <v>54</v>
      </c>
      <c r="S150" s="20"/>
      <c r="T150" s="21"/>
      <c r="U150" s="57">
        <v>54</v>
      </c>
      <c r="V150" s="23">
        <f t="shared" si="10"/>
        <v>6</v>
      </c>
      <c r="W150" s="23">
        <f t="shared" si="11"/>
        <v>6</v>
      </c>
      <c r="X150" s="23"/>
      <c r="Y150" s="23">
        <v>11</v>
      </c>
      <c r="AA150" s="250"/>
      <c r="AB150" s="156"/>
      <c r="AC150"/>
      <c r="AD150"/>
      <c r="AE150" s="156"/>
      <c r="AF150"/>
      <c r="AG150"/>
    </row>
    <row r="151" spans="1:36" hidden="1" outlineLevel="1">
      <c r="A151" s="96">
        <v>45247</v>
      </c>
      <c r="B151" s="17" t="s">
        <v>15</v>
      </c>
      <c r="C151" s="18">
        <v>66</v>
      </c>
      <c r="D151" s="23">
        <v>60</v>
      </c>
      <c r="E151" s="23">
        <f t="shared" si="15"/>
        <v>15</v>
      </c>
      <c r="G151" s="19"/>
      <c r="H151" s="62"/>
      <c r="I151" s="20"/>
      <c r="J151" s="21"/>
      <c r="K151" s="42"/>
      <c r="L151" s="23"/>
      <c r="M151" s="23"/>
      <c r="N151" s="23"/>
      <c r="O151" s="23">
        <v>7</v>
      </c>
      <c r="Q151" s="78">
        <v>87</v>
      </c>
      <c r="R151" s="62">
        <f>C149+S151</f>
        <v>60</v>
      </c>
      <c r="S151" s="20"/>
      <c r="T151" s="21"/>
      <c r="U151" s="57">
        <v>60</v>
      </c>
      <c r="V151" s="23">
        <f t="shared" si="10"/>
        <v>-21</v>
      </c>
      <c r="W151" s="23">
        <f t="shared" si="11"/>
        <v>-21</v>
      </c>
      <c r="X151" s="23"/>
      <c r="Y151" s="23">
        <v>7</v>
      </c>
      <c r="Z151" s="1">
        <f>AVERAGE(Q147:Q151)</f>
        <v>63.6</v>
      </c>
      <c r="AA151" s="250"/>
      <c r="AB151" s="156"/>
      <c r="AC151"/>
      <c r="AD151"/>
      <c r="AE151" s="156"/>
      <c r="AF151"/>
      <c r="AG151"/>
    </row>
    <row r="152" spans="1:36" s="12" customFormat="1" hidden="1" outlineLevel="1">
      <c r="A152" s="95">
        <v>45248</v>
      </c>
      <c r="B152" s="25" t="s">
        <v>16</v>
      </c>
      <c r="C152" s="26"/>
      <c r="D152" s="29"/>
      <c r="E152" s="29">
        <f t="shared" si="15"/>
        <v>15</v>
      </c>
      <c r="G152" s="64"/>
      <c r="H152" s="63"/>
      <c r="I152" s="27"/>
      <c r="J152" s="28"/>
      <c r="K152" s="43"/>
      <c r="L152" s="29"/>
      <c r="M152" s="29"/>
      <c r="N152" s="29"/>
      <c r="O152" s="29"/>
      <c r="Q152" s="79">
        <v>0</v>
      </c>
      <c r="R152" s="63"/>
      <c r="S152" s="27"/>
      <c r="T152" s="28"/>
      <c r="U152" s="43"/>
      <c r="V152" s="29">
        <f t="shared" si="10"/>
        <v>-21</v>
      </c>
      <c r="W152" s="29">
        <f t="shared" si="11"/>
        <v>-21</v>
      </c>
      <c r="X152" s="29"/>
      <c r="Y152" s="29"/>
      <c r="AA152" s="250"/>
      <c r="AB152" s="156"/>
      <c r="AC152"/>
      <c r="AD152"/>
      <c r="AE152" s="156"/>
      <c r="AF152"/>
      <c r="AG152"/>
      <c r="AH152"/>
      <c r="AI152"/>
      <c r="AJ152"/>
    </row>
    <row r="153" spans="1:36" s="12" customFormat="1" hidden="1" outlineLevel="1">
      <c r="A153" s="95">
        <v>45249</v>
      </c>
      <c r="B153" s="25" t="s">
        <v>17</v>
      </c>
      <c r="C153" s="26"/>
      <c r="D153" s="29"/>
      <c r="E153" s="29">
        <f t="shared" si="15"/>
        <v>15</v>
      </c>
      <c r="G153" s="64"/>
      <c r="H153" s="63"/>
      <c r="I153" s="27"/>
      <c r="J153" s="28"/>
      <c r="K153" s="43"/>
      <c r="L153" s="29"/>
      <c r="M153" s="29"/>
      <c r="N153" s="29"/>
      <c r="O153" s="29"/>
      <c r="Q153" s="79">
        <v>0</v>
      </c>
      <c r="R153" s="63"/>
      <c r="S153" s="27"/>
      <c r="T153" s="28"/>
      <c r="U153" s="43"/>
      <c r="V153" s="29">
        <f t="shared" si="10"/>
        <v>-21</v>
      </c>
      <c r="W153" s="29">
        <f t="shared" si="11"/>
        <v>-21</v>
      </c>
      <c r="X153" s="29"/>
      <c r="Y153" s="29"/>
      <c r="AA153" s="250"/>
      <c r="AB153" s="156"/>
      <c r="AC153"/>
      <c r="AD153"/>
      <c r="AE153" s="156"/>
      <c r="AF153"/>
      <c r="AG153"/>
      <c r="AH153"/>
      <c r="AI153"/>
      <c r="AJ153"/>
    </row>
    <row r="154" spans="1:36" hidden="1" outlineLevel="1">
      <c r="A154" s="96">
        <v>45250</v>
      </c>
      <c r="B154" s="17" t="s">
        <v>18</v>
      </c>
      <c r="C154" s="18">
        <v>60</v>
      </c>
      <c r="D154" s="23">
        <v>52</v>
      </c>
      <c r="E154" s="23">
        <f t="shared" si="15"/>
        <v>7</v>
      </c>
      <c r="G154" s="19"/>
      <c r="H154" s="62"/>
      <c r="I154" s="20"/>
      <c r="J154" s="21"/>
      <c r="K154" s="42"/>
      <c r="L154" s="23"/>
      <c r="M154" s="23"/>
      <c r="N154" s="23"/>
      <c r="O154" s="23">
        <v>9</v>
      </c>
      <c r="Q154" s="78">
        <v>63</v>
      </c>
      <c r="R154" s="62">
        <f>C150+S154</f>
        <v>66</v>
      </c>
      <c r="S154" s="20"/>
      <c r="T154" s="21"/>
      <c r="U154" s="57">
        <v>66</v>
      </c>
      <c r="V154" s="23">
        <f t="shared" si="10"/>
        <v>-18</v>
      </c>
      <c r="W154" s="23">
        <f t="shared" si="11"/>
        <v>-18</v>
      </c>
      <c r="X154" s="23"/>
      <c r="Y154" s="23">
        <v>9</v>
      </c>
      <c r="AA154" s="250"/>
      <c r="AB154" s="156"/>
      <c r="AC154"/>
      <c r="AD154"/>
      <c r="AE154" s="156"/>
      <c r="AF154"/>
      <c r="AG154"/>
    </row>
    <row r="155" spans="1:36" hidden="1" outlineLevel="1">
      <c r="A155" s="96">
        <v>45251</v>
      </c>
      <c r="B155" s="17" t="s">
        <v>19</v>
      </c>
      <c r="C155" s="18">
        <v>60</v>
      </c>
      <c r="D155" s="23">
        <v>60</v>
      </c>
      <c r="E155" s="23">
        <f t="shared" si="15"/>
        <v>7</v>
      </c>
      <c r="G155" s="19"/>
      <c r="H155" s="62"/>
      <c r="I155" s="20"/>
      <c r="J155" s="21"/>
      <c r="K155" s="42"/>
      <c r="L155" s="23"/>
      <c r="M155" s="23"/>
      <c r="N155" s="23"/>
      <c r="O155" s="23">
        <v>8</v>
      </c>
      <c r="Q155" s="78">
        <v>78</v>
      </c>
      <c r="R155" s="62">
        <f>C151+S155</f>
        <v>66</v>
      </c>
      <c r="S155" s="20"/>
      <c r="T155" s="21"/>
      <c r="U155" s="57">
        <v>66</v>
      </c>
      <c r="V155" s="23">
        <f t="shared" si="10"/>
        <v>-30</v>
      </c>
      <c r="W155" s="23">
        <f t="shared" si="11"/>
        <v>-30</v>
      </c>
      <c r="X155" s="23"/>
      <c r="Y155" s="23">
        <v>8</v>
      </c>
      <c r="AA155" s="250"/>
      <c r="AB155" s="156"/>
      <c r="AC155"/>
      <c r="AD155"/>
      <c r="AE155" s="156"/>
      <c r="AF155"/>
      <c r="AG155"/>
    </row>
    <row r="156" spans="1:36" hidden="1" outlineLevel="1">
      <c r="A156" s="96">
        <v>45252</v>
      </c>
      <c r="B156" s="17" t="s">
        <v>20</v>
      </c>
      <c r="C156" s="18">
        <v>60</v>
      </c>
      <c r="D156" s="23">
        <v>60</v>
      </c>
      <c r="E156" s="23">
        <f t="shared" si="15"/>
        <v>7</v>
      </c>
      <c r="G156" s="19"/>
      <c r="H156" s="62"/>
      <c r="I156" s="20"/>
      <c r="J156" s="21"/>
      <c r="K156" s="42"/>
      <c r="L156" s="23"/>
      <c r="M156" s="23"/>
      <c r="N156" s="23"/>
      <c r="O156" s="23">
        <v>0</v>
      </c>
      <c r="Q156" s="78">
        <v>63</v>
      </c>
      <c r="R156" s="62">
        <f>C154+S156</f>
        <v>60</v>
      </c>
      <c r="S156" s="20"/>
      <c r="T156" s="21"/>
      <c r="U156" s="57">
        <v>60</v>
      </c>
      <c r="V156" s="23">
        <f t="shared" si="10"/>
        <v>-33</v>
      </c>
      <c r="W156" s="23">
        <f t="shared" si="11"/>
        <v>-33</v>
      </c>
      <c r="X156" s="23"/>
      <c r="Y156" s="23">
        <v>0</v>
      </c>
      <c r="AA156" s="250"/>
      <c r="AB156" s="156"/>
      <c r="AC156"/>
      <c r="AD156"/>
      <c r="AE156" s="156"/>
      <c r="AF156"/>
      <c r="AG156"/>
    </row>
    <row r="157" spans="1:36" hidden="1" outlineLevel="1">
      <c r="A157" s="96">
        <v>45253</v>
      </c>
      <c r="B157" s="17" t="s">
        <v>14</v>
      </c>
      <c r="C157" s="18">
        <v>60</v>
      </c>
      <c r="D157" s="23">
        <v>71</v>
      </c>
      <c r="E157" s="23">
        <f t="shared" si="15"/>
        <v>18</v>
      </c>
      <c r="G157" s="19"/>
      <c r="H157" s="62"/>
      <c r="I157" s="20"/>
      <c r="J157" s="21"/>
      <c r="K157" s="42"/>
      <c r="L157" s="23"/>
      <c r="M157" s="23"/>
      <c r="N157" s="23"/>
      <c r="O157" s="23">
        <v>0</v>
      </c>
      <c r="Q157" s="78">
        <v>0</v>
      </c>
      <c r="R157" s="62">
        <f>C155+S157</f>
        <v>60</v>
      </c>
      <c r="S157" s="20"/>
      <c r="T157" s="21"/>
      <c r="U157" s="57">
        <v>60</v>
      </c>
      <c r="V157" s="23">
        <f t="shared" si="10"/>
        <v>27</v>
      </c>
      <c r="W157" s="23">
        <f t="shared" si="11"/>
        <v>27</v>
      </c>
      <c r="X157" s="23"/>
      <c r="Y157" s="23">
        <v>0</v>
      </c>
      <c r="AA157" s="250"/>
      <c r="AB157" s="156"/>
      <c r="AC157"/>
      <c r="AD157"/>
      <c r="AE157" s="156"/>
      <c r="AF157"/>
      <c r="AG157"/>
    </row>
    <row r="158" spans="1:36" hidden="1" outlineLevel="1">
      <c r="A158" s="96">
        <v>45254</v>
      </c>
      <c r="B158" s="17" t="s">
        <v>15</v>
      </c>
      <c r="C158" s="174">
        <v>42</v>
      </c>
      <c r="D158" s="23">
        <v>38</v>
      </c>
      <c r="E158" s="23">
        <f t="shared" si="15"/>
        <v>14</v>
      </c>
      <c r="G158" s="19"/>
      <c r="H158" s="62"/>
      <c r="I158" s="20"/>
      <c r="J158" s="21"/>
      <c r="K158" s="42"/>
      <c r="L158" s="23"/>
      <c r="M158" s="23"/>
      <c r="N158" s="23"/>
      <c r="O158" s="23">
        <v>6</v>
      </c>
      <c r="Q158" s="78">
        <v>81</v>
      </c>
      <c r="R158" s="62">
        <f>C156+S158</f>
        <v>60</v>
      </c>
      <c r="S158" s="20"/>
      <c r="T158" s="21"/>
      <c r="U158" s="57">
        <v>60</v>
      </c>
      <c r="V158" s="23">
        <f t="shared" si="10"/>
        <v>6</v>
      </c>
      <c r="W158" s="23">
        <f t="shared" si="11"/>
        <v>6</v>
      </c>
      <c r="X158" s="23"/>
      <c r="Y158" s="23">
        <v>6</v>
      </c>
      <c r="Z158" s="1">
        <f>AVERAGE(Q154:Q158)</f>
        <v>57</v>
      </c>
      <c r="AA158" s="250"/>
      <c r="AB158" s="156"/>
      <c r="AC158"/>
      <c r="AD158"/>
      <c r="AE158" s="156"/>
      <c r="AF158"/>
      <c r="AG158"/>
    </row>
    <row r="159" spans="1:36" s="12" customFormat="1" hidden="1" outlineLevel="1">
      <c r="A159" s="95">
        <v>45255</v>
      </c>
      <c r="B159" s="25" t="s">
        <v>16</v>
      </c>
      <c r="C159" s="26"/>
      <c r="D159" s="29"/>
      <c r="E159" s="29">
        <f t="shared" si="15"/>
        <v>14</v>
      </c>
      <c r="G159" s="64"/>
      <c r="H159" s="63"/>
      <c r="I159" s="27"/>
      <c r="J159" s="28"/>
      <c r="K159" s="43"/>
      <c r="L159" s="29"/>
      <c r="M159" s="29"/>
      <c r="N159" s="29"/>
      <c r="O159" s="29"/>
      <c r="Q159" s="64">
        <v>0</v>
      </c>
      <c r="R159" s="63"/>
      <c r="S159" s="27"/>
      <c r="T159" s="28"/>
      <c r="U159" s="43"/>
      <c r="V159" s="29">
        <f t="shared" si="10"/>
        <v>6</v>
      </c>
      <c r="W159" s="29">
        <f t="shared" si="11"/>
        <v>6</v>
      </c>
      <c r="X159" s="29"/>
      <c r="Y159" s="29"/>
      <c r="AA159"/>
      <c r="AB159" s="156"/>
      <c r="AC159"/>
      <c r="AD159"/>
      <c r="AE159" s="156"/>
      <c r="AF159"/>
      <c r="AG159"/>
      <c r="AH159"/>
      <c r="AI159"/>
      <c r="AJ159"/>
    </row>
    <row r="160" spans="1:36" s="12" customFormat="1" hidden="1" outlineLevel="1">
      <c r="A160" s="95">
        <v>45256</v>
      </c>
      <c r="B160" s="25" t="s">
        <v>17</v>
      </c>
      <c r="C160" s="26"/>
      <c r="D160" s="29"/>
      <c r="E160" s="29">
        <f t="shared" si="15"/>
        <v>14</v>
      </c>
      <c r="G160" s="64"/>
      <c r="H160" s="63"/>
      <c r="I160" s="27"/>
      <c r="J160" s="28"/>
      <c r="K160" s="43"/>
      <c r="L160" s="29"/>
      <c r="M160" s="29"/>
      <c r="N160" s="29"/>
      <c r="O160" s="29"/>
      <c r="Q160" s="64">
        <v>0</v>
      </c>
      <c r="R160" s="63"/>
      <c r="S160" s="27"/>
      <c r="T160" s="28"/>
      <c r="U160" s="43"/>
      <c r="V160" s="29">
        <f t="shared" si="10"/>
        <v>6</v>
      </c>
      <c r="W160" s="29">
        <f t="shared" si="11"/>
        <v>6</v>
      </c>
      <c r="X160" s="29"/>
      <c r="Y160" s="29"/>
      <c r="AA160"/>
      <c r="AB160" s="156"/>
      <c r="AC160"/>
      <c r="AD160"/>
      <c r="AE160" s="156"/>
      <c r="AF160"/>
      <c r="AG160"/>
      <c r="AH160"/>
      <c r="AI160"/>
      <c r="AJ160"/>
    </row>
    <row r="161" spans="1:36" hidden="1" outlineLevel="1">
      <c r="A161" s="96">
        <v>45257</v>
      </c>
      <c r="B161" s="17" t="s">
        <v>18</v>
      </c>
      <c r="C161" s="18">
        <v>54</v>
      </c>
      <c r="D161" s="23">
        <v>60</v>
      </c>
      <c r="E161" s="23">
        <f t="shared" si="15"/>
        <v>20</v>
      </c>
      <c r="G161" s="19"/>
      <c r="H161" s="62"/>
      <c r="I161" s="20"/>
      <c r="J161" s="21"/>
      <c r="K161" s="42"/>
      <c r="L161" s="23"/>
      <c r="M161" s="23"/>
      <c r="N161" s="23"/>
      <c r="O161" s="23">
        <v>0</v>
      </c>
      <c r="Q161" s="78">
        <v>63</v>
      </c>
      <c r="R161" s="62">
        <f>C157+S161</f>
        <v>60</v>
      </c>
      <c r="S161" s="20"/>
      <c r="T161" s="21"/>
      <c r="U161" s="57">
        <v>60</v>
      </c>
      <c r="V161" s="23">
        <f t="shared" si="10"/>
        <v>3</v>
      </c>
      <c r="W161" s="23">
        <f t="shared" si="11"/>
        <v>3</v>
      </c>
      <c r="X161" s="23"/>
      <c r="Y161" s="23">
        <v>0</v>
      </c>
      <c r="AA161" s="250"/>
      <c r="AB161" s="156"/>
      <c r="AC161"/>
      <c r="AD161"/>
      <c r="AE161" s="156"/>
      <c r="AF161"/>
      <c r="AG161"/>
    </row>
    <row r="162" spans="1:36" hidden="1" outlineLevel="1">
      <c r="A162" s="96">
        <v>45258</v>
      </c>
      <c r="B162" s="17" t="s">
        <v>19</v>
      </c>
      <c r="C162" s="18">
        <v>54</v>
      </c>
      <c r="D162" s="23">
        <v>60</v>
      </c>
      <c r="E162" s="23">
        <f t="shared" si="15"/>
        <v>26</v>
      </c>
      <c r="G162" s="19"/>
      <c r="H162" s="62"/>
      <c r="I162" s="20"/>
      <c r="J162" s="21"/>
      <c r="K162" s="42"/>
      <c r="L162" s="23"/>
      <c r="M162" s="23"/>
      <c r="N162" s="23"/>
      <c r="O162" s="23">
        <v>6</v>
      </c>
      <c r="Q162" s="78">
        <v>84</v>
      </c>
      <c r="R162" s="175">
        <f>C158+S162</f>
        <v>42</v>
      </c>
      <c r="S162" s="20"/>
      <c r="T162" s="21"/>
      <c r="U162" s="57">
        <v>42</v>
      </c>
      <c r="V162" s="23">
        <f t="shared" ref="V162:V190" si="16">V161-Q162+U162</f>
        <v>-39</v>
      </c>
      <c r="W162" s="23">
        <f t="shared" ref="W162:W190" si="17">W161-Q162+R162</f>
        <v>-39</v>
      </c>
      <c r="X162" s="23"/>
      <c r="Y162" s="23">
        <v>6</v>
      </c>
      <c r="AA162" s="250" t="s">
        <v>40</v>
      </c>
      <c r="AB162" s="252"/>
      <c r="AC162"/>
      <c r="AD162"/>
      <c r="AE162" s="156"/>
      <c r="AF162"/>
      <c r="AG162"/>
    </row>
    <row r="163" spans="1:36" hidden="1" outlineLevel="1">
      <c r="A163" s="96">
        <v>45259</v>
      </c>
      <c r="B163" s="17" t="s">
        <v>20</v>
      </c>
      <c r="C163" s="18">
        <v>0</v>
      </c>
      <c r="D163" s="23">
        <v>0</v>
      </c>
      <c r="E163" s="23">
        <f t="shared" si="15"/>
        <v>26</v>
      </c>
      <c r="G163" s="19"/>
      <c r="H163" s="62"/>
      <c r="I163" s="20"/>
      <c r="J163" s="21"/>
      <c r="K163" s="42"/>
      <c r="L163" s="23"/>
      <c r="M163" s="23"/>
      <c r="N163" s="23"/>
      <c r="O163" s="23">
        <v>7</v>
      </c>
      <c r="Q163" s="171">
        <v>0</v>
      </c>
      <c r="R163" s="62" t="s">
        <v>28</v>
      </c>
      <c r="S163" s="20"/>
      <c r="T163" s="21"/>
      <c r="U163" s="42">
        <v>0</v>
      </c>
      <c r="V163" s="23">
        <f t="shared" si="16"/>
        <v>-39</v>
      </c>
      <c r="W163" s="23">
        <f>IF(ISTEXT(R163),W162-Q163+0,W162-Q163+R163)</f>
        <v>-39</v>
      </c>
      <c r="X163" s="23"/>
      <c r="Y163" s="23">
        <v>7</v>
      </c>
      <c r="AA163" s="253"/>
      <c r="AB163" s="156"/>
      <c r="AC163"/>
      <c r="AD163"/>
      <c r="AE163" s="156"/>
      <c r="AF163"/>
      <c r="AG163"/>
    </row>
    <row r="164" spans="1:36" hidden="1" outlineLevel="1">
      <c r="A164" s="96">
        <v>45260</v>
      </c>
      <c r="B164" s="17" t="s">
        <v>14</v>
      </c>
      <c r="C164" s="18">
        <v>54</v>
      </c>
      <c r="D164" s="23">
        <v>46</v>
      </c>
      <c r="E164" s="23">
        <f t="shared" si="15"/>
        <v>18</v>
      </c>
      <c r="G164" s="19"/>
      <c r="H164" s="62"/>
      <c r="I164" s="20"/>
      <c r="J164" s="21"/>
      <c r="K164" s="42"/>
      <c r="L164" s="23"/>
      <c r="M164" s="23"/>
      <c r="N164" s="23"/>
      <c r="O164" s="23">
        <v>0</v>
      </c>
      <c r="Q164" s="172">
        <v>0</v>
      </c>
      <c r="R164" s="62" t="s">
        <v>28</v>
      </c>
      <c r="S164" s="20"/>
      <c r="T164" s="21"/>
      <c r="U164" s="42">
        <v>0</v>
      </c>
      <c r="V164" s="23">
        <f t="shared" si="16"/>
        <v>-39</v>
      </c>
      <c r="W164" s="23">
        <f>IF(ISTEXT(R164),W163-Q164+0,W163-Q164+R164)</f>
        <v>-39</v>
      </c>
      <c r="X164" s="23"/>
      <c r="Y164" s="23">
        <v>0</v>
      </c>
      <c r="AA164" s="250"/>
      <c r="AB164" s="156"/>
      <c r="AC164"/>
      <c r="AD164"/>
      <c r="AE164" s="156"/>
      <c r="AF164"/>
      <c r="AG164"/>
    </row>
    <row r="165" spans="1:36" hidden="1" outlineLevel="1">
      <c r="A165" s="96">
        <v>45261</v>
      </c>
      <c r="B165" s="17" t="s">
        <v>15</v>
      </c>
      <c r="C165" s="18">
        <v>60</v>
      </c>
      <c r="D165" s="23">
        <v>68</v>
      </c>
      <c r="E165" s="23">
        <f t="shared" si="15"/>
        <v>26</v>
      </c>
      <c r="G165" s="19"/>
      <c r="H165" s="62"/>
      <c r="I165" s="20"/>
      <c r="J165" s="21"/>
      <c r="K165" s="42"/>
      <c r="L165" s="23"/>
      <c r="M165" s="23"/>
      <c r="N165" s="23"/>
      <c r="O165" s="23">
        <v>0</v>
      </c>
      <c r="Q165" s="78">
        <v>78</v>
      </c>
      <c r="R165" s="62">
        <f>C161+S165</f>
        <v>54</v>
      </c>
      <c r="S165" s="20">
        <v>0</v>
      </c>
      <c r="T165" s="21"/>
      <c r="U165" s="57">
        <v>54</v>
      </c>
      <c r="V165" s="23">
        <f t="shared" si="16"/>
        <v>-63</v>
      </c>
      <c r="W165" s="23">
        <f t="shared" si="17"/>
        <v>-63</v>
      </c>
      <c r="X165" s="23"/>
      <c r="Y165" s="23">
        <v>0</v>
      </c>
      <c r="Z165" s="97">
        <f>AVERAGE(Q161:Q165)</f>
        <v>45</v>
      </c>
      <c r="AA165" s="250"/>
      <c r="AB165" s="156"/>
      <c r="AC165"/>
      <c r="AD165"/>
      <c r="AE165" s="156"/>
      <c r="AF165"/>
      <c r="AG165"/>
    </row>
    <row r="166" spans="1:36" s="12" customFormat="1" hidden="1" outlineLevel="1">
      <c r="A166" s="95">
        <v>45262</v>
      </c>
      <c r="B166" s="25" t="s">
        <v>16</v>
      </c>
      <c r="C166" s="26"/>
      <c r="D166" s="29"/>
      <c r="E166" s="29">
        <f t="shared" si="15"/>
        <v>26</v>
      </c>
      <c r="G166" s="64"/>
      <c r="H166" s="63"/>
      <c r="I166" s="27"/>
      <c r="J166" s="28"/>
      <c r="K166" s="43"/>
      <c r="L166" s="29"/>
      <c r="M166" s="29"/>
      <c r="N166" s="29"/>
      <c r="O166" s="29"/>
      <c r="Q166" s="64">
        <v>0</v>
      </c>
      <c r="R166" s="63"/>
      <c r="S166" s="27"/>
      <c r="T166" s="28"/>
      <c r="U166" s="43"/>
      <c r="V166" s="29">
        <f t="shared" si="16"/>
        <v>-63</v>
      </c>
      <c r="W166" s="29">
        <f t="shared" si="17"/>
        <v>-63</v>
      </c>
      <c r="X166" s="29"/>
      <c r="Y166" s="29"/>
      <c r="AA166"/>
      <c r="AB166" s="156"/>
      <c r="AC166"/>
      <c r="AD166"/>
      <c r="AE166" s="156"/>
      <c r="AF166"/>
      <c r="AG166"/>
      <c r="AH166"/>
      <c r="AI166"/>
      <c r="AJ166"/>
    </row>
    <row r="167" spans="1:36" s="12" customFormat="1" hidden="1" outlineLevel="1">
      <c r="A167" s="95">
        <v>45263</v>
      </c>
      <c r="B167" s="25" t="s">
        <v>17</v>
      </c>
      <c r="C167" s="26"/>
      <c r="D167" s="29"/>
      <c r="E167" s="29">
        <f t="shared" si="15"/>
        <v>26</v>
      </c>
      <c r="G167" s="64"/>
      <c r="H167" s="63"/>
      <c r="I167" s="27"/>
      <c r="J167" s="28"/>
      <c r="K167" s="43"/>
      <c r="L167" s="29"/>
      <c r="M167" s="29"/>
      <c r="N167" s="29"/>
      <c r="O167" s="29"/>
      <c r="Q167" s="64">
        <v>0</v>
      </c>
      <c r="R167" s="63"/>
      <c r="S167" s="27"/>
      <c r="T167" s="28"/>
      <c r="U167" s="43"/>
      <c r="V167" s="29">
        <f t="shared" si="16"/>
        <v>-63</v>
      </c>
      <c r="W167" s="29">
        <f t="shared" si="17"/>
        <v>-63</v>
      </c>
      <c r="X167" s="29"/>
      <c r="Y167" s="29"/>
      <c r="AA167"/>
      <c r="AB167" s="156"/>
      <c r="AC167"/>
      <c r="AD167"/>
      <c r="AE167" s="156"/>
      <c r="AF167"/>
      <c r="AG167"/>
      <c r="AH167"/>
      <c r="AI167"/>
      <c r="AJ167"/>
    </row>
    <row r="168" spans="1:36" hidden="1" outlineLevel="1">
      <c r="A168" s="96">
        <v>45264</v>
      </c>
      <c r="B168" s="17" t="s">
        <v>18</v>
      </c>
      <c r="C168" s="18">
        <v>54</v>
      </c>
      <c r="D168" s="23">
        <v>16</v>
      </c>
      <c r="E168" s="23">
        <f t="shared" si="15"/>
        <v>-12</v>
      </c>
      <c r="G168" s="19"/>
      <c r="H168" s="62"/>
      <c r="I168" s="20"/>
      <c r="J168" s="21"/>
      <c r="K168" s="42"/>
      <c r="L168" s="23"/>
      <c r="M168" s="23"/>
      <c r="N168" s="23"/>
      <c r="O168" s="23">
        <v>9</v>
      </c>
      <c r="Q168" s="78">
        <v>60</v>
      </c>
      <c r="R168" s="62">
        <f>C162+S168</f>
        <v>72</v>
      </c>
      <c r="S168" s="158">
        <v>18</v>
      </c>
      <c r="T168" s="21"/>
      <c r="U168" s="57">
        <v>72</v>
      </c>
      <c r="V168" s="23">
        <f t="shared" si="16"/>
        <v>-51</v>
      </c>
      <c r="W168" s="23">
        <f t="shared" si="17"/>
        <v>-51</v>
      </c>
      <c r="X168" s="23"/>
      <c r="Y168" s="23">
        <v>9</v>
      </c>
      <c r="AA168" s="250"/>
      <c r="AB168" s="156"/>
      <c r="AC168"/>
      <c r="AD168"/>
      <c r="AE168" s="156"/>
      <c r="AF168"/>
      <c r="AG168"/>
    </row>
    <row r="169" spans="1:36" hidden="1" outlineLevel="1">
      <c r="A169" s="96">
        <v>45265</v>
      </c>
      <c r="B169" s="17" t="s">
        <v>19</v>
      </c>
      <c r="C169" s="18">
        <v>60</v>
      </c>
      <c r="D169" s="23">
        <v>74</v>
      </c>
      <c r="E169" s="23">
        <f t="shared" si="15"/>
        <v>2</v>
      </c>
      <c r="G169" s="19"/>
      <c r="H169" s="62"/>
      <c r="I169" s="20"/>
      <c r="J169" s="21"/>
      <c r="K169" s="42"/>
      <c r="L169" s="23"/>
      <c r="M169" s="23"/>
      <c r="N169" s="23"/>
      <c r="O169" s="23">
        <v>12</v>
      </c>
      <c r="Q169" s="78">
        <v>78</v>
      </c>
      <c r="R169" s="62">
        <f>C165+S169</f>
        <v>78</v>
      </c>
      <c r="S169" s="158">
        <v>18</v>
      </c>
      <c r="T169" s="21"/>
      <c r="U169" s="57">
        <v>78</v>
      </c>
      <c r="V169" s="23">
        <f t="shared" si="16"/>
        <v>-51</v>
      </c>
      <c r="W169" s="23">
        <f t="shared" si="17"/>
        <v>-51</v>
      </c>
      <c r="X169" s="23"/>
      <c r="Y169" s="23">
        <v>12</v>
      </c>
      <c r="AA169" s="250"/>
      <c r="AB169" s="156"/>
      <c r="AC169"/>
      <c r="AD169"/>
      <c r="AE169" s="156"/>
      <c r="AF169"/>
      <c r="AG169"/>
    </row>
    <row r="170" spans="1:36" hidden="1" outlineLevel="1">
      <c r="A170" s="96">
        <v>45266</v>
      </c>
      <c r="B170" s="17" t="s">
        <v>20</v>
      </c>
      <c r="C170" s="18">
        <v>66</v>
      </c>
      <c r="D170" s="23">
        <v>72</v>
      </c>
      <c r="E170" s="23">
        <f t="shared" ref="E170:E226" si="18">E169-C170+D170</f>
        <v>8</v>
      </c>
      <c r="G170" s="19"/>
      <c r="H170" s="62"/>
      <c r="I170" s="20"/>
      <c r="J170" s="21"/>
      <c r="K170" s="42"/>
      <c r="L170" s="23"/>
      <c r="M170" s="23"/>
      <c r="N170" s="23"/>
      <c r="O170" s="23">
        <v>8</v>
      </c>
      <c r="Q170" s="78">
        <v>12</v>
      </c>
      <c r="R170" s="62">
        <v>0</v>
      </c>
      <c r="S170" s="158">
        <v>0</v>
      </c>
      <c r="T170" s="21"/>
      <c r="U170" s="57">
        <v>0</v>
      </c>
      <c r="V170" s="23">
        <f t="shared" si="16"/>
        <v>-63</v>
      </c>
      <c r="W170" s="23">
        <f t="shared" si="17"/>
        <v>-63</v>
      </c>
      <c r="X170" s="23"/>
      <c r="Y170" s="23">
        <v>8</v>
      </c>
      <c r="AA170" s="250"/>
      <c r="AB170" s="156"/>
      <c r="AC170"/>
      <c r="AD170"/>
      <c r="AE170" s="156"/>
      <c r="AF170"/>
      <c r="AG170"/>
    </row>
    <row r="171" spans="1:36" hidden="1" outlineLevel="1">
      <c r="A171" s="96">
        <v>45267</v>
      </c>
      <c r="B171" s="17" t="s">
        <v>14</v>
      </c>
      <c r="C171" s="18">
        <v>66</v>
      </c>
      <c r="D171" s="23">
        <v>66</v>
      </c>
      <c r="E171" s="23">
        <f t="shared" si="18"/>
        <v>8</v>
      </c>
      <c r="G171" s="19"/>
      <c r="H171" s="62"/>
      <c r="I171" s="20"/>
      <c r="J171" s="21"/>
      <c r="K171" s="42"/>
      <c r="L171" s="23"/>
      <c r="M171" s="23"/>
      <c r="N171" s="23"/>
      <c r="O171" s="23">
        <v>8</v>
      </c>
      <c r="Q171" s="78">
        <v>84</v>
      </c>
      <c r="R171" s="62">
        <f>C169+S171</f>
        <v>60</v>
      </c>
      <c r="S171" s="158">
        <v>0</v>
      </c>
      <c r="T171" s="21"/>
      <c r="U171" s="57">
        <v>60</v>
      </c>
      <c r="V171" s="23">
        <f t="shared" si="16"/>
        <v>-87</v>
      </c>
      <c r="W171" s="23">
        <f t="shared" si="17"/>
        <v>-87</v>
      </c>
      <c r="X171" s="23"/>
      <c r="Y171" s="23">
        <v>8</v>
      </c>
      <c r="AA171" s="250"/>
      <c r="AB171" s="156"/>
      <c r="AC171"/>
      <c r="AD171"/>
      <c r="AE171" s="156"/>
      <c r="AF171"/>
      <c r="AG171"/>
    </row>
    <row r="172" spans="1:36" hidden="1" outlineLevel="1">
      <c r="A172" s="96">
        <v>45268</v>
      </c>
      <c r="B172" s="17" t="s">
        <v>15</v>
      </c>
      <c r="C172" s="18">
        <v>72</v>
      </c>
      <c r="D172" s="23">
        <v>71</v>
      </c>
      <c r="E172" s="23">
        <f t="shared" si="18"/>
        <v>7</v>
      </c>
      <c r="G172" s="19"/>
      <c r="H172" s="62"/>
      <c r="I172" s="20"/>
      <c r="J172" s="21"/>
      <c r="K172" s="42"/>
      <c r="L172" s="23"/>
      <c r="M172" s="23"/>
      <c r="N172" s="23"/>
      <c r="O172" s="23">
        <v>9</v>
      </c>
      <c r="Q172" s="78">
        <v>51</v>
      </c>
      <c r="R172" s="62">
        <f>C170+S172</f>
        <v>66</v>
      </c>
      <c r="S172" s="158">
        <v>0</v>
      </c>
      <c r="T172" s="21"/>
      <c r="U172" s="57">
        <v>66</v>
      </c>
      <c r="V172" s="23">
        <f t="shared" si="16"/>
        <v>-72</v>
      </c>
      <c r="W172" s="23">
        <f t="shared" si="17"/>
        <v>-72</v>
      </c>
      <c r="X172" s="23"/>
      <c r="Y172" s="23">
        <v>9</v>
      </c>
      <c r="Z172" s="1">
        <f>AVERAGE(Q168:Q172)</f>
        <v>57</v>
      </c>
      <c r="AA172" s="250"/>
      <c r="AB172" s="156"/>
      <c r="AC172"/>
      <c r="AD172"/>
      <c r="AE172" s="156"/>
      <c r="AF172"/>
      <c r="AG172"/>
    </row>
    <row r="173" spans="1:36" s="12" customFormat="1" hidden="1" outlineLevel="1">
      <c r="A173" s="95">
        <v>45269</v>
      </c>
      <c r="B173" s="25" t="s">
        <v>16</v>
      </c>
      <c r="C173" s="26"/>
      <c r="D173" s="29"/>
      <c r="E173" s="29">
        <f t="shared" si="18"/>
        <v>7</v>
      </c>
      <c r="G173" s="64"/>
      <c r="H173" s="63"/>
      <c r="I173" s="27"/>
      <c r="J173" s="28"/>
      <c r="K173" s="43"/>
      <c r="L173" s="29"/>
      <c r="M173" s="29"/>
      <c r="N173" s="29"/>
      <c r="O173" s="29"/>
      <c r="Q173" s="64"/>
      <c r="R173" s="63"/>
      <c r="S173" s="27"/>
      <c r="T173" s="28"/>
      <c r="U173" s="43"/>
      <c r="V173" s="29">
        <f t="shared" si="16"/>
        <v>-72</v>
      </c>
      <c r="W173" s="29">
        <f t="shared" si="17"/>
        <v>-72</v>
      </c>
      <c r="X173" s="29"/>
      <c r="Y173" s="29"/>
      <c r="AA173"/>
      <c r="AB173" s="156"/>
      <c r="AC173"/>
      <c r="AD173"/>
      <c r="AE173" s="156"/>
      <c r="AF173"/>
      <c r="AG173"/>
      <c r="AH173"/>
      <c r="AI173"/>
      <c r="AJ173"/>
    </row>
    <row r="174" spans="1:36" s="12" customFormat="1" hidden="1" outlineLevel="1">
      <c r="A174" s="95">
        <v>45270</v>
      </c>
      <c r="B174" s="25" t="s">
        <v>17</v>
      </c>
      <c r="C174" s="26"/>
      <c r="D174" s="29"/>
      <c r="E174" s="29">
        <f t="shared" si="18"/>
        <v>7</v>
      </c>
      <c r="G174" s="64"/>
      <c r="H174" s="63"/>
      <c r="I174" s="27"/>
      <c r="J174" s="28"/>
      <c r="K174" s="43"/>
      <c r="L174" s="29"/>
      <c r="M174" s="29"/>
      <c r="N174" s="29"/>
      <c r="O174" s="29"/>
      <c r="Q174" s="64"/>
      <c r="R174" s="63"/>
      <c r="S174" s="27"/>
      <c r="T174" s="28"/>
      <c r="U174" s="43"/>
      <c r="V174" s="29">
        <f t="shared" si="16"/>
        <v>-72</v>
      </c>
      <c r="W174" s="29">
        <f t="shared" si="17"/>
        <v>-72</v>
      </c>
      <c r="X174" s="29"/>
      <c r="Y174" s="29"/>
      <c r="AA174"/>
      <c r="AB174" s="156"/>
      <c r="AC174"/>
      <c r="AD174"/>
      <c r="AE174" s="156"/>
      <c r="AF174"/>
      <c r="AG174"/>
      <c r="AH174"/>
      <c r="AI174"/>
      <c r="AJ174"/>
    </row>
    <row r="175" spans="1:36" hidden="1" outlineLevel="1">
      <c r="A175" s="96">
        <v>45271</v>
      </c>
      <c r="B175" s="17" t="s">
        <v>18</v>
      </c>
      <c r="C175" s="18">
        <v>72</v>
      </c>
      <c r="D175" s="23">
        <v>55</v>
      </c>
      <c r="E175" s="23">
        <f t="shared" si="18"/>
        <v>-10</v>
      </c>
      <c r="G175" s="19"/>
      <c r="H175" s="62"/>
      <c r="I175" s="20"/>
      <c r="J175" s="21"/>
      <c r="K175" s="42"/>
      <c r="L175" s="23"/>
      <c r="M175" s="23"/>
      <c r="N175" s="23"/>
      <c r="O175" s="23">
        <v>14</v>
      </c>
      <c r="Q175" s="78">
        <v>69</v>
      </c>
      <c r="R175" s="62">
        <f>C171+S175</f>
        <v>66</v>
      </c>
      <c r="S175" s="158">
        <v>0</v>
      </c>
      <c r="T175" s="173"/>
      <c r="U175" s="57">
        <v>66</v>
      </c>
      <c r="V175" s="23">
        <f t="shared" si="16"/>
        <v>-75</v>
      </c>
      <c r="W175" s="23">
        <f t="shared" si="17"/>
        <v>-75</v>
      </c>
      <c r="X175" s="23"/>
      <c r="Y175" s="23">
        <v>14</v>
      </c>
      <c r="AA175" s="250"/>
      <c r="AB175" s="156"/>
      <c r="AC175"/>
      <c r="AD175" s="254"/>
      <c r="AE175" s="156"/>
      <c r="AF175"/>
      <c r="AG175"/>
    </row>
    <row r="176" spans="1:36" hidden="1" outlineLevel="1">
      <c r="A176" s="96">
        <v>45272</v>
      </c>
      <c r="B176" s="17" t="s">
        <v>19</v>
      </c>
      <c r="C176" s="18">
        <v>72</v>
      </c>
      <c r="D176" s="23">
        <v>70</v>
      </c>
      <c r="E176" s="23">
        <f t="shared" si="18"/>
        <v>-12</v>
      </c>
      <c r="G176" s="19"/>
      <c r="H176" s="62"/>
      <c r="I176" s="20"/>
      <c r="J176" s="21"/>
      <c r="K176" s="42"/>
      <c r="L176" s="23"/>
      <c r="M176" s="23"/>
      <c r="N176" s="23"/>
      <c r="O176" s="23">
        <v>0</v>
      </c>
      <c r="Q176" s="78">
        <v>84</v>
      </c>
      <c r="R176" s="62">
        <f>C172+S176</f>
        <v>78</v>
      </c>
      <c r="S176" s="158">
        <v>6</v>
      </c>
      <c r="T176" s="21">
        <f>SUM(S168:S176)</f>
        <v>42</v>
      </c>
      <c r="U176" s="57">
        <v>78</v>
      </c>
      <c r="V176" s="23">
        <f t="shared" si="16"/>
        <v>-81</v>
      </c>
      <c r="W176" s="23">
        <f t="shared" si="17"/>
        <v>-81</v>
      </c>
      <c r="X176" s="23"/>
      <c r="Y176" s="23">
        <v>0</v>
      </c>
      <c r="AA176" s="250"/>
      <c r="AB176" s="156"/>
      <c r="AC176"/>
      <c r="AD176"/>
      <c r="AE176" s="156"/>
      <c r="AF176"/>
      <c r="AG176"/>
    </row>
    <row r="177" spans="1:36" hidden="1" outlineLevel="1">
      <c r="A177" s="96">
        <v>45273</v>
      </c>
      <c r="B177" s="17" t="s">
        <v>20</v>
      </c>
      <c r="C177" s="18">
        <v>72</v>
      </c>
      <c r="D177" s="23">
        <v>82</v>
      </c>
      <c r="E177" s="23">
        <f t="shared" si="18"/>
        <v>-2</v>
      </c>
      <c r="G177" s="19"/>
      <c r="H177" s="62"/>
      <c r="I177" s="20"/>
      <c r="J177" s="21"/>
      <c r="K177" s="42"/>
      <c r="L177" s="23"/>
      <c r="M177" s="23"/>
      <c r="N177" s="23"/>
      <c r="O177" s="23">
        <v>15</v>
      </c>
      <c r="Q177" s="78">
        <v>66</v>
      </c>
      <c r="R177" s="62">
        <f>C175+S177</f>
        <v>72</v>
      </c>
      <c r="S177" s="20"/>
      <c r="T177" s="21"/>
      <c r="U177" s="57">
        <v>72</v>
      </c>
      <c r="V177" s="23">
        <f t="shared" si="16"/>
        <v>-75</v>
      </c>
      <c r="W177" s="23">
        <f t="shared" si="17"/>
        <v>-75</v>
      </c>
      <c r="X177" s="23"/>
      <c r="Y177" s="23">
        <v>15</v>
      </c>
      <c r="AA177" s="250"/>
      <c r="AB177" s="156"/>
      <c r="AC177"/>
      <c r="AD177"/>
      <c r="AE177" s="156"/>
      <c r="AF177"/>
      <c r="AG177"/>
    </row>
    <row r="178" spans="1:36" hidden="1" outlineLevel="1">
      <c r="A178" s="96">
        <v>45274</v>
      </c>
      <c r="B178" s="17" t="s">
        <v>14</v>
      </c>
      <c r="C178" s="18">
        <v>66</v>
      </c>
      <c r="D178" s="23">
        <v>72</v>
      </c>
      <c r="E178" s="23">
        <f t="shared" si="18"/>
        <v>4</v>
      </c>
      <c r="G178" s="19"/>
      <c r="H178" s="62"/>
      <c r="I178" s="20"/>
      <c r="J178" s="21"/>
      <c r="K178" s="42"/>
      <c r="L178" s="23"/>
      <c r="M178" s="23"/>
      <c r="N178" s="23"/>
      <c r="O178" s="23">
        <v>7</v>
      </c>
      <c r="Q178" s="78">
        <v>72</v>
      </c>
      <c r="R178" s="62">
        <f>C176+S178</f>
        <v>72</v>
      </c>
      <c r="S178" s="20"/>
      <c r="T178" s="21"/>
      <c r="U178" s="57">
        <v>72</v>
      </c>
      <c r="V178" s="23">
        <f t="shared" si="16"/>
        <v>-75</v>
      </c>
      <c r="W178" s="23">
        <f t="shared" si="17"/>
        <v>-75</v>
      </c>
      <c r="X178" s="23"/>
      <c r="Y178" s="23">
        <v>7</v>
      </c>
      <c r="AA178" s="250"/>
      <c r="AB178" s="156"/>
      <c r="AC178"/>
      <c r="AD178"/>
      <c r="AE178" s="156"/>
      <c r="AF178"/>
      <c r="AG178"/>
    </row>
    <row r="179" spans="1:36" hidden="1" outlineLevel="1">
      <c r="A179" s="96">
        <v>45275</v>
      </c>
      <c r="B179" s="17" t="s">
        <v>15</v>
      </c>
      <c r="C179" s="174">
        <v>0</v>
      </c>
      <c r="D179" s="23">
        <v>12</v>
      </c>
      <c r="E179" s="23">
        <f t="shared" si="18"/>
        <v>16</v>
      </c>
      <c r="G179" s="19"/>
      <c r="H179" s="62"/>
      <c r="I179" s="20"/>
      <c r="J179" s="21"/>
      <c r="K179" s="42"/>
      <c r="L179" s="23"/>
      <c r="M179" s="23"/>
      <c r="N179" s="23"/>
      <c r="O179" s="23">
        <v>0</v>
      </c>
      <c r="Q179" s="78">
        <v>81</v>
      </c>
      <c r="R179" s="62">
        <f>C177+S179</f>
        <v>72</v>
      </c>
      <c r="S179" s="20"/>
      <c r="T179" s="21"/>
      <c r="U179" s="57">
        <v>72</v>
      </c>
      <c r="V179" s="23">
        <f t="shared" si="16"/>
        <v>-84</v>
      </c>
      <c r="W179" s="23">
        <f t="shared" si="17"/>
        <v>-84</v>
      </c>
      <c r="X179" s="23"/>
      <c r="Y179" s="23">
        <v>0</v>
      </c>
      <c r="Z179" s="1">
        <f>AVERAGE(Q175:Q179)</f>
        <v>74.400000000000006</v>
      </c>
      <c r="AA179" s="250"/>
      <c r="AB179" s="156"/>
      <c r="AC179"/>
      <c r="AD179"/>
      <c r="AE179" s="156"/>
      <c r="AF179"/>
      <c r="AG179"/>
    </row>
    <row r="180" spans="1:36" s="12" customFormat="1" hidden="1" outlineLevel="1">
      <c r="A180" s="95">
        <v>45276</v>
      </c>
      <c r="B180" s="25" t="s">
        <v>16</v>
      </c>
      <c r="C180" s="26"/>
      <c r="D180" s="29"/>
      <c r="E180" s="29">
        <f t="shared" si="18"/>
        <v>16</v>
      </c>
      <c r="G180" s="64"/>
      <c r="H180" s="63"/>
      <c r="I180" s="27"/>
      <c r="J180" s="28"/>
      <c r="K180" s="43"/>
      <c r="L180" s="29"/>
      <c r="M180" s="29"/>
      <c r="N180" s="29"/>
      <c r="O180" s="29"/>
      <c r="Q180" s="64"/>
      <c r="R180" s="63"/>
      <c r="S180" s="27"/>
      <c r="T180" s="28"/>
      <c r="U180" s="43"/>
      <c r="V180" s="29">
        <f t="shared" si="16"/>
        <v>-84</v>
      </c>
      <c r="W180" s="29">
        <f t="shared" si="17"/>
        <v>-84</v>
      </c>
      <c r="X180" s="29"/>
      <c r="Y180" s="29"/>
      <c r="AA180"/>
      <c r="AB180" s="156"/>
      <c r="AC180"/>
      <c r="AD180"/>
      <c r="AE180" s="156"/>
      <c r="AF180"/>
      <c r="AG180"/>
      <c r="AH180"/>
      <c r="AI180"/>
      <c r="AJ180"/>
    </row>
    <row r="181" spans="1:36" s="12" customFormat="1" hidden="1" outlineLevel="1">
      <c r="A181" s="95">
        <v>45277</v>
      </c>
      <c r="B181" s="25" t="s">
        <v>17</v>
      </c>
      <c r="C181" s="26"/>
      <c r="D181" s="29"/>
      <c r="E181" s="29">
        <f t="shared" si="18"/>
        <v>16</v>
      </c>
      <c r="G181" s="64"/>
      <c r="H181" s="63"/>
      <c r="I181" s="27"/>
      <c r="J181" s="28"/>
      <c r="K181" s="43"/>
      <c r="L181" s="29"/>
      <c r="M181" s="29"/>
      <c r="N181" s="29"/>
      <c r="O181" s="29"/>
      <c r="Q181" s="64"/>
      <c r="R181" s="63"/>
      <c r="S181" s="27"/>
      <c r="T181" s="28"/>
      <c r="U181" s="43"/>
      <c r="V181" s="29">
        <f t="shared" si="16"/>
        <v>-84</v>
      </c>
      <c r="W181" s="29">
        <f t="shared" si="17"/>
        <v>-84</v>
      </c>
      <c r="X181" s="29"/>
      <c r="Y181" s="29"/>
      <c r="AA181"/>
      <c r="AB181" s="156"/>
      <c r="AC181"/>
      <c r="AD181"/>
      <c r="AE181" s="156"/>
      <c r="AF181"/>
      <c r="AG181"/>
      <c r="AH181"/>
      <c r="AI181"/>
      <c r="AJ181"/>
    </row>
    <row r="182" spans="1:36" hidden="1" outlineLevel="1">
      <c r="A182" s="96">
        <v>45278</v>
      </c>
      <c r="B182" s="17" t="s">
        <v>18</v>
      </c>
      <c r="C182" s="152">
        <v>72</v>
      </c>
      <c r="D182" s="23">
        <v>120</v>
      </c>
      <c r="E182" s="23">
        <f t="shared" si="18"/>
        <v>64</v>
      </c>
      <c r="G182" s="19"/>
      <c r="H182" s="62"/>
      <c r="I182" s="20"/>
      <c r="J182" s="21"/>
      <c r="K182" s="42"/>
      <c r="L182" s="23"/>
      <c r="M182" s="23"/>
      <c r="N182" s="23"/>
      <c r="O182" s="23">
        <v>22</v>
      </c>
      <c r="Q182" s="78">
        <v>60</v>
      </c>
      <c r="R182" s="62">
        <f>C178+S182</f>
        <v>60</v>
      </c>
      <c r="S182" s="20">
        <v>-6</v>
      </c>
      <c r="T182" s="21"/>
      <c r="U182" s="57">
        <v>60</v>
      </c>
      <c r="V182" s="23">
        <f t="shared" si="16"/>
        <v>-84</v>
      </c>
      <c r="W182" s="23">
        <f t="shared" si="17"/>
        <v>-84</v>
      </c>
      <c r="X182" s="23"/>
      <c r="Y182" s="23">
        <v>22</v>
      </c>
      <c r="AA182" s="250"/>
      <c r="AB182" s="156"/>
      <c r="AC182"/>
      <c r="AD182"/>
      <c r="AE182" s="156"/>
      <c r="AF182"/>
      <c r="AG182"/>
    </row>
    <row r="183" spans="1:36" hidden="1" outlineLevel="1">
      <c r="A183" s="96">
        <v>45279</v>
      </c>
      <c r="B183" s="17" t="s">
        <v>19</v>
      </c>
      <c r="C183" s="152">
        <v>72</v>
      </c>
      <c r="D183" s="23">
        <v>66</v>
      </c>
      <c r="E183" s="23">
        <f t="shared" si="18"/>
        <v>58</v>
      </c>
      <c r="G183" s="19"/>
      <c r="H183" s="62"/>
      <c r="I183" s="20"/>
      <c r="J183" s="21"/>
      <c r="K183" s="42"/>
      <c r="L183" s="23"/>
      <c r="M183" s="23"/>
      <c r="N183" s="23"/>
      <c r="O183" s="23">
        <v>20</v>
      </c>
      <c r="Q183" s="78">
        <v>84</v>
      </c>
      <c r="R183" s="62">
        <f>C179+S183</f>
        <v>0</v>
      </c>
      <c r="S183" s="20"/>
      <c r="T183" s="21"/>
      <c r="U183" s="57">
        <v>0</v>
      </c>
      <c r="V183" s="23">
        <f t="shared" si="16"/>
        <v>-168</v>
      </c>
      <c r="W183" s="23">
        <f t="shared" si="17"/>
        <v>-168</v>
      </c>
      <c r="X183" s="23"/>
      <c r="Y183" s="23">
        <v>20</v>
      </c>
      <c r="AA183" s="250"/>
      <c r="AB183" s="156"/>
      <c r="AC183"/>
      <c r="AD183"/>
      <c r="AE183" s="156"/>
      <c r="AF183"/>
      <c r="AG183"/>
    </row>
    <row r="184" spans="1:36" hidden="1" outlineLevel="1">
      <c r="A184" s="96">
        <v>45280</v>
      </c>
      <c r="B184" s="17" t="s">
        <v>20</v>
      </c>
      <c r="C184" s="152">
        <v>72</v>
      </c>
      <c r="D184" s="23">
        <v>60</v>
      </c>
      <c r="E184" s="23">
        <f t="shared" si="18"/>
        <v>46</v>
      </c>
      <c r="G184" s="19"/>
      <c r="H184" s="62"/>
      <c r="I184" s="20"/>
      <c r="J184" s="21"/>
      <c r="K184" s="42"/>
      <c r="L184" s="23"/>
      <c r="M184" s="23"/>
      <c r="N184" s="23"/>
      <c r="O184" s="23">
        <v>0</v>
      </c>
      <c r="Q184" s="78">
        <v>66</v>
      </c>
      <c r="R184" s="62">
        <f>C182+S184</f>
        <v>72</v>
      </c>
      <c r="S184" s="20"/>
      <c r="T184" s="21"/>
      <c r="U184" s="57">
        <v>72</v>
      </c>
      <c r="V184" s="23">
        <f t="shared" si="16"/>
        <v>-162</v>
      </c>
      <c r="W184" s="23">
        <f t="shared" si="17"/>
        <v>-162</v>
      </c>
      <c r="X184" s="23"/>
      <c r="Y184" s="23">
        <v>0</v>
      </c>
      <c r="AA184" s="250"/>
      <c r="AB184" s="156"/>
      <c r="AC184"/>
      <c r="AD184"/>
      <c r="AE184" s="156"/>
      <c r="AF184"/>
      <c r="AG184"/>
    </row>
    <row r="185" spans="1:36" hidden="1" outlineLevel="1">
      <c r="A185" s="96">
        <v>45281</v>
      </c>
      <c r="B185" s="17" t="s">
        <v>14</v>
      </c>
      <c r="C185" s="152">
        <v>0</v>
      </c>
      <c r="D185" s="23">
        <v>14</v>
      </c>
      <c r="E185" s="23">
        <f t="shared" si="18"/>
        <v>60</v>
      </c>
      <c r="G185" s="19"/>
      <c r="H185" s="62"/>
      <c r="I185" s="20"/>
      <c r="J185" s="21"/>
      <c r="K185" s="42"/>
      <c r="L185" s="23"/>
      <c r="M185" s="23"/>
      <c r="N185" s="23"/>
      <c r="O185" s="23">
        <v>3</v>
      </c>
      <c r="Q185" s="78">
        <v>153</v>
      </c>
      <c r="R185" s="62">
        <f>C183+S185</f>
        <v>72</v>
      </c>
      <c r="S185" s="20"/>
      <c r="T185" s="21"/>
      <c r="U185" s="57">
        <v>72</v>
      </c>
      <c r="V185" s="23">
        <f t="shared" si="16"/>
        <v>-243</v>
      </c>
      <c r="W185" s="23">
        <f t="shared" si="17"/>
        <v>-243</v>
      </c>
      <c r="X185" s="23"/>
      <c r="Y185" s="23">
        <v>3</v>
      </c>
      <c r="AA185" s="250" t="s">
        <v>41</v>
      </c>
      <c r="AB185" s="156"/>
      <c r="AC185"/>
      <c r="AD185"/>
      <c r="AE185" s="156"/>
      <c r="AF185"/>
      <c r="AG185"/>
    </row>
    <row r="186" spans="1:36" hidden="1" outlineLevel="1">
      <c r="A186" s="96">
        <v>45282</v>
      </c>
      <c r="B186" s="17" t="s">
        <v>15</v>
      </c>
      <c r="C186" s="152">
        <v>72</v>
      </c>
      <c r="D186" s="23">
        <v>36</v>
      </c>
      <c r="E186" s="23">
        <f t="shared" si="18"/>
        <v>24</v>
      </c>
      <c r="G186" s="19"/>
      <c r="H186" s="62"/>
      <c r="I186" s="20"/>
      <c r="J186" s="21"/>
      <c r="K186" s="42"/>
      <c r="L186" s="23"/>
      <c r="M186" s="23"/>
      <c r="N186" s="23"/>
      <c r="O186" s="23"/>
      <c r="Q186" s="78">
        <v>48</v>
      </c>
      <c r="R186" s="62">
        <f>C184+S186</f>
        <v>72</v>
      </c>
      <c r="S186" s="20"/>
      <c r="T186" s="21"/>
      <c r="U186" s="57">
        <v>72</v>
      </c>
      <c r="V186" s="23">
        <f t="shared" si="16"/>
        <v>-219</v>
      </c>
      <c r="W186" s="23">
        <f t="shared" si="17"/>
        <v>-219</v>
      </c>
      <c r="X186" s="23"/>
      <c r="Y186" s="23">
        <v>6</v>
      </c>
      <c r="Z186" s="1">
        <f>AVERAGE(Q182:Q186)</f>
        <v>82.2</v>
      </c>
      <c r="AA186" s="250"/>
      <c r="AB186" s="156"/>
      <c r="AC186"/>
      <c r="AD186"/>
      <c r="AE186" s="156"/>
      <c r="AF186"/>
      <c r="AG186"/>
    </row>
    <row r="187" spans="1:36" s="12" customFormat="1" hidden="1" outlineLevel="1">
      <c r="A187" s="95">
        <v>45283</v>
      </c>
      <c r="B187" s="25" t="s">
        <v>16</v>
      </c>
      <c r="C187" s="26"/>
      <c r="D187" s="29"/>
      <c r="E187" s="29">
        <f t="shared" si="18"/>
        <v>24</v>
      </c>
      <c r="G187" s="64"/>
      <c r="H187" s="63"/>
      <c r="I187" s="27"/>
      <c r="J187" s="28"/>
      <c r="K187" s="43"/>
      <c r="L187" s="29"/>
      <c r="M187" s="29"/>
      <c r="N187" s="29"/>
      <c r="O187" s="29"/>
      <c r="Q187" s="64"/>
      <c r="R187" s="63"/>
      <c r="S187" s="27"/>
      <c r="T187" s="28"/>
      <c r="U187" s="43"/>
      <c r="V187" s="29">
        <f t="shared" si="16"/>
        <v>-219</v>
      </c>
      <c r="W187" s="29">
        <f t="shared" si="17"/>
        <v>-219</v>
      </c>
      <c r="X187" s="29"/>
      <c r="Y187" s="29"/>
      <c r="AA187"/>
      <c r="AB187" s="156"/>
      <c r="AC187"/>
      <c r="AD187"/>
      <c r="AE187" s="156"/>
      <c r="AF187"/>
      <c r="AG187"/>
      <c r="AH187"/>
      <c r="AI187"/>
      <c r="AJ187"/>
    </row>
    <row r="188" spans="1:36" s="12" customFormat="1" hidden="1" outlineLevel="1">
      <c r="A188" s="95">
        <v>45284</v>
      </c>
      <c r="B188" s="25" t="s">
        <v>17</v>
      </c>
      <c r="C188" s="26"/>
      <c r="D188" s="29"/>
      <c r="E188" s="29">
        <f t="shared" si="18"/>
        <v>24</v>
      </c>
      <c r="G188" s="64"/>
      <c r="H188" s="63"/>
      <c r="I188" s="27"/>
      <c r="J188" s="28"/>
      <c r="K188" s="43"/>
      <c r="L188" s="29"/>
      <c r="M188" s="29"/>
      <c r="N188" s="29"/>
      <c r="O188" s="29"/>
      <c r="Q188" s="64"/>
      <c r="R188" s="63"/>
      <c r="S188" s="27"/>
      <c r="T188" s="28"/>
      <c r="U188" s="43"/>
      <c r="V188" s="29">
        <f t="shared" si="16"/>
        <v>-219</v>
      </c>
      <c r="W188" s="29">
        <f t="shared" si="17"/>
        <v>-219</v>
      </c>
      <c r="X188" s="29"/>
      <c r="Y188" s="29"/>
      <c r="AA188"/>
      <c r="AB188" s="156"/>
      <c r="AC188"/>
      <c r="AD188"/>
      <c r="AE188" s="156"/>
      <c r="AF188"/>
      <c r="AG188"/>
      <c r="AH188"/>
      <c r="AI188"/>
      <c r="AJ188"/>
    </row>
    <row r="189" spans="1:36" hidden="1" outlineLevel="1">
      <c r="A189" s="96">
        <v>45285</v>
      </c>
      <c r="B189" s="17" t="s">
        <v>18</v>
      </c>
      <c r="C189" s="18">
        <v>72</v>
      </c>
      <c r="D189" s="23">
        <v>52</v>
      </c>
      <c r="E189" s="23">
        <f t="shared" si="18"/>
        <v>4</v>
      </c>
      <c r="G189" s="19"/>
      <c r="H189" s="62"/>
      <c r="I189" s="20"/>
      <c r="J189" s="21"/>
      <c r="K189" s="42"/>
      <c r="L189" s="23"/>
      <c r="M189" s="23"/>
      <c r="N189" s="23"/>
      <c r="O189" s="23"/>
      <c r="Q189" s="78">
        <v>24</v>
      </c>
      <c r="R189" s="62">
        <f>C185+S189</f>
        <v>0</v>
      </c>
      <c r="S189" s="20"/>
      <c r="T189" s="21"/>
      <c r="U189" s="57">
        <v>0</v>
      </c>
      <c r="V189" s="23">
        <f t="shared" si="16"/>
        <v>-243</v>
      </c>
      <c r="W189" s="23">
        <f t="shared" si="17"/>
        <v>-243</v>
      </c>
      <c r="X189" s="23"/>
      <c r="Y189" s="23">
        <v>0</v>
      </c>
      <c r="AA189" s="250"/>
      <c r="AB189" s="156"/>
      <c r="AC189"/>
      <c r="AD189"/>
      <c r="AE189" s="156"/>
      <c r="AF189"/>
      <c r="AG189"/>
    </row>
    <row r="190" spans="1:36" hidden="1" outlineLevel="1">
      <c r="A190" s="96">
        <v>45286</v>
      </c>
      <c r="B190" s="17" t="s">
        <v>19</v>
      </c>
      <c r="C190" s="18">
        <v>72</v>
      </c>
      <c r="D190" s="23">
        <v>46</v>
      </c>
      <c r="E190" s="23">
        <f t="shared" si="18"/>
        <v>-22</v>
      </c>
      <c r="G190" s="19"/>
      <c r="H190" s="62"/>
      <c r="I190" s="20"/>
      <c r="J190" s="21"/>
      <c r="K190" s="42"/>
      <c r="L190" s="23"/>
      <c r="M190" s="23"/>
      <c r="N190" s="23"/>
      <c r="O190" s="23"/>
      <c r="Q190" s="78">
        <v>0</v>
      </c>
      <c r="R190" s="62">
        <f>C186+S190</f>
        <v>72</v>
      </c>
      <c r="S190" s="20"/>
      <c r="T190" s="21"/>
      <c r="U190" s="57">
        <v>72</v>
      </c>
      <c r="V190" s="23">
        <f t="shared" si="16"/>
        <v>-171</v>
      </c>
      <c r="W190" s="23">
        <f t="shared" si="17"/>
        <v>-171</v>
      </c>
      <c r="X190" s="23"/>
      <c r="Y190" s="23">
        <v>34</v>
      </c>
      <c r="AA190" s="250"/>
      <c r="AB190" s="156"/>
      <c r="AC190"/>
      <c r="AD190"/>
      <c r="AE190" s="156"/>
      <c r="AF190"/>
      <c r="AG190"/>
    </row>
    <row r="191" spans="1:36" hidden="1" outlineLevel="1">
      <c r="A191" s="96">
        <v>45287</v>
      </c>
      <c r="B191" s="17" t="s">
        <v>20</v>
      </c>
      <c r="C191" s="18">
        <v>0</v>
      </c>
      <c r="D191" s="23">
        <v>42</v>
      </c>
      <c r="E191" s="23">
        <f t="shared" si="18"/>
        <v>20</v>
      </c>
      <c r="G191" s="19"/>
      <c r="H191" s="62"/>
      <c r="I191" s="20"/>
      <c r="J191" s="21"/>
      <c r="K191" s="42"/>
      <c r="L191" s="23"/>
      <c r="M191" s="23"/>
      <c r="N191" s="23"/>
      <c r="O191" s="23"/>
      <c r="Q191" s="78">
        <v>0</v>
      </c>
      <c r="R191" s="62">
        <f>C189+S191</f>
        <v>72</v>
      </c>
      <c r="S191" s="20"/>
      <c r="T191" s="21"/>
      <c r="U191" s="57">
        <v>72</v>
      </c>
      <c r="V191" s="23">
        <f t="shared" ref="V191:V210" si="19">V190-Q191+U191</f>
        <v>-99</v>
      </c>
      <c r="W191" s="23">
        <f t="shared" ref="W191:W210" si="20">W190-Q191+R191</f>
        <v>-99</v>
      </c>
      <c r="X191" s="23"/>
      <c r="Y191" s="23">
        <v>11</v>
      </c>
      <c r="AA191" s="250"/>
      <c r="AB191" s="156"/>
      <c r="AC191"/>
      <c r="AD191"/>
      <c r="AE191" s="156"/>
      <c r="AF191"/>
      <c r="AG191"/>
    </row>
    <row r="192" spans="1:36" hidden="1" outlineLevel="1">
      <c r="A192" s="96">
        <v>45288</v>
      </c>
      <c r="B192" s="17" t="s">
        <v>14</v>
      </c>
      <c r="C192" s="18">
        <v>0</v>
      </c>
      <c r="D192" s="23">
        <v>19</v>
      </c>
      <c r="E192" s="23">
        <f t="shared" si="18"/>
        <v>39</v>
      </c>
      <c r="G192" s="19"/>
      <c r="H192" s="62"/>
      <c r="I192" s="20"/>
      <c r="J192" s="21"/>
      <c r="K192" s="42"/>
      <c r="L192" s="23"/>
      <c r="M192" s="23"/>
      <c r="N192" s="23"/>
      <c r="O192" s="23"/>
      <c r="Q192" s="78">
        <v>30</v>
      </c>
      <c r="R192" s="62">
        <f>C190+S192</f>
        <v>72</v>
      </c>
      <c r="S192" s="20"/>
      <c r="T192" s="21"/>
      <c r="U192" s="57">
        <v>72</v>
      </c>
      <c r="V192" s="23">
        <f t="shared" si="19"/>
        <v>-57</v>
      </c>
      <c r="W192" s="23">
        <f t="shared" si="20"/>
        <v>-57</v>
      </c>
      <c r="X192" s="23"/>
      <c r="Y192" s="23">
        <v>13</v>
      </c>
      <c r="Z192" s="97">
        <f>AVERAGE(Q189:Q192)</f>
        <v>13.5</v>
      </c>
      <c r="AA192" s="250"/>
      <c r="AB192" s="156"/>
      <c r="AC192"/>
      <c r="AD192"/>
      <c r="AE192" s="156"/>
      <c r="AF192"/>
      <c r="AG192"/>
    </row>
    <row r="193" spans="1:36" s="12" customFormat="1" hidden="1" outlineLevel="1">
      <c r="A193" s="95">
        <v>45289</v>
      </c>
      <c r="B193" s="25" t="s">
        <v>15</v>
      </c>
      <c r="C193" s="26"/>
      <c r="D193" s="29"/>
      <c r="E193" s="29">
        <f t="shared" si="18"/>
        <v>39</v>
      </c>
      <c r="G193" s="64"/>
      <c r="H193" s="63"/>
      <c r="I193" s="27"/>
      <c r="J193" s="28"/>
      <c r="K193" s="43"/>
      <c r="L193" s="29"/>
      <c r="M193" s="29"/>
      <c r="N193" s="29"/>
      <c r="O193" s="29"/>
      <c r="Q193" s="64"/>
      <c r="R193" s="63"/>
      <c r="S193" s="27"/>
      <c r="T193" s="28"/>
      <c r="U193" s="43"/>
      <c r="V193" s="29">
        <f t="shared" si="19"/>
        <v>-57</v>
      </c>
      <c r="W193" s="29">
        <f t="shared" si="20"/>
        <v>-57</v>
      </c>
      <c r="X193" s="29"/>
      <c r="Y193" s="29"/>
      <c r="AA193"/>
      <c r="AB193" s="156"/>
      <c r="AC193"/>
      <c r="AD193"/>
      <c r="AE193" s="156"/>
      <c r="AF193"/>
      <c r="AG193"/>
      <c r="AH193"/>
      <c r="AI193"/>
      <c r="AJ193"/>
    </row>
    <row r="194" spans="1:36" s="12" customFormat="1" hidden="1" outlineLevel="1">
      <c r="A194" s="95">
        <v>45290</v>
      </c>
      <c r="B194" s="25" t="s">
        <v>16</v>
      </c>
      <c r="C194" s="26"/>
      <c r="D194" s="29"/>
      <c r="E194" s="29">
        <f t="shared" si="18"/>
        <v>39</v>
      </c>
      <c r="G194" s="64"/>
      <c r="H194" s="63"/>
      <c r="I194" s="27"/>
      <c r="J194" s="28"/>
      <c r="K194" s="43"/>
      <c r="L194" s="29"/>
      <c r="M194" s="29"/>
      <c r="N194" s="29"/>
      <c r="O194" s="29"/>
      <c r="Q194" s="64"/>
      <c r="R194" s="63"/>
      <c r="S194" s="27"/>
      <c r="T194" s="28"/>
      <c r="U194" s="43"/>
      <c r="V194" s="29">
        <f t="shared" si="19"/>
        <v>-57</v>
      </c>
      <c r="W194" s="29">
        <f t="shared" si="20"/>
        <v>-57</v>
      </c>
      <c r="X194" s="29"/>
      <c r="Y194" s="29"/>
      <c r="AA194"/>
      <c r="AB194" s="156"/>
      <c r="AC194"/>
      <c r="AD194"/>
      <c r="AE194" s="156"/>
      <c r="AF194"/>
      <c r="AG194"/>
      <c r="AH194"/>
      <c r="AI194"/>
      <c r="AJ194"/>
    </row>
    <row r="195" spans="1:36" s="12" customFormat="1" hidden="1" outlineLevel="1">
      <c r="A195" s="95">
        <v>45291</v>
      </c>
      <c r="B195" s="25" t="s">
        <v>17</v>
      </c>
      <c r="C195" s="26"/>
      <c r="D195" s="29"/>
      <c r="E195" s="29">
        <f t="shared" si="18"/>
        <v>39</v>
      </c>
      <c r="G195" s="64"/>
      <c r="H195" s="63"/>
      <c r="I195" s="27"/>
      <c r="J195" s="28"/>
      <c r="K195" s="43"/>
      <c r="L195" s="29"/>
      <c r="M195" s="29"/>
      <c r="N195" s="29"/>
      <c r="O195" s="29"/>
      <c r="Q195" s="64"/>
      <c r="R195" s="63"/>
      <c r="S195" s="27"/>
      <c r="T195" s="28"/>
      <c r="U195" s="43"/>
      <c r="V195" s="29">
        <f t="shared" si="19"/>
        <v>-57</v>
      </c>
      <c r="W195" s="29">
        <f t="shared" si="20"/>
        <v>-57</v>
      </c>
      <c r="X195" s="29"/>
      <c r="Y195" s="29"/>
      <c r="AA195"/>
      <c r="AB195" s="156"/>
      <c r="AC195"/>
      <c r="AD195"/>
      <c r="AE195" s="156"/>
      <c r="AF195"/>
      <c r="AG195"/>
      <c r="AH195"/>
      <c r="AI195"/>
      <c r="AJ195"/>
    </row>
    <row r="196" spans="1:36" s="12" customFormat="1" hidden="1" outlineLevel="1">
      <c r="A196" s="95">
        <v>45292</v>
      </c>
      <c r="B196" s="25" t="s">
        <v>18</v>
      </c>
      <c r="C196" s="26"/>
      <c r="D196" s="29"/>
      <c r="E196" s="29">
        <f t="shared" si="18"/>
        <v>39</v>
      </c>
      <c r="G196" s="64"/>
      <c r="H196" s="63"/>
      <c r="I196" s="27"/>
      <c r="J196" s="28"/>
      <c r="K196" s="43"/>
      <c r="L196" s="29"/>
      <c r="M196" s="29"/>
      <c r="N196" s="29"/>
      <c r="O196" s="29"/>
      <c r="Q196" s="64"/>
      <c r="R196" s="63"/>
      <c r="S196" s="27"/>
      <c r="T196" s="28"/>
      <c r="U196" s="43"/>
      <c r="V196" s="29">
        <f t="shared" si="19"/>
        <v>-57</v>
      </c>
      <c r="W196" s="29">
        <f t="shared" si="20"/>
        <v>-57</v>
      </c>
      <c r="X196" s="29"/>
      <c r="Y196" s="29"/>
      <c r="AA196"/>
      <c r="AB196" s="156"/>
      <c r="AC196"/>
      <c r="AD196"/>
      <c r="AE196" s="156"/>
      <c r="AF196"/>
      <c r="AG196"/>
      <c r="AH196"/>
      <c r="AI196"/>
      <c r="AJ196"/>
    </row>
    <row r="197" spans="1:36" s="12" customFormat="1" hidden="1" outlineLevel="1">
      <c r="A197" s="95">
        <v>45293</v>
      </c>
      <c r="B197" s="25" t="s">
        <v>19</v>
      </c>
      <c r="C197" s="26"/>
      <c r="D197" s="29"/>
      <c r="E197" s="29">
        <f t="shared" si="18"/>
        <v>39</v>
      </c>
      <c r="G197" s="64"/>
      <c r="H197" s="63"/>
      <c r="I197" s="27"/>
      <c r="J197" s="28"/>
      <c r="K197" s="43"/>
      <c r="L197" s="29"/>
      <c r="M197" s="29"/>
      <c r="N197" s="29"/>
      <c r="O197" s="29"/>
      <c r="Q197" s="64"/>
      <c r="R197" s="63"/>
      <c r="S197" s="27"/>
      <c r="T197" s="28"/>
      <c r="U197" s="43"/>
      <c r="V197" s="29">
        <f t="shared" si="19"/>
        <v>-57</v>
      </c>
      <c r="W197" s="29">
        <f t="shared" si="20"/>
        <v>-57</v>
      </c>
      <c r="X197" s="29"/>
      <c r="Y197" s="29"/>
      <c r="AA197"/>
      <c r="AB197" s="156"/>
      <c r="AC197"/>
      <c r="AD197"/>
      <c r="AE197" s="156"/>
      <c r="AF197"/>
      <c r="AG197"/>
      <c r="AH197"/>
      <c r="AI197"/>
      <c r="AJ197"/>
    </row>
    <row r="198" spans="1:36" s="12" customFormat="1" hidden="1" outlineLevel="1">
      <c r="A198" s="95">
        <v>45294</v>
      </c>
      <c r="B198" s="25" t="s">
        <v>20</v>
      </c>
      <c r="C198" s="26"/>
      <c r="D198" s="29"/>
      <c r="E198" s="29">
        <f t="shared" si="18"/>
        <v>39</v>
      </c>
      <c r="G198" s="64"/>
      <c r="H198" s="63"/>
      <c r="I198" s="27"/>
      <c r="J198" s="28"/>
      <c r="K198" s="43"/>
      <c r="L198" s="29"/>
      <c r="M198" s="29"/>
      <c r="N198" s="29"/>
      <c r="O198" s="29"/>
      <c r="Q198" s="64"/>
      <c r="R198" s="63"/>
      <c r="S198" s="27"/>
      <c r="T198" s="28"/>
      <c r="U198" s="43"/>
      <c r="V198" s="29">
        <f t="shared" si="19"/>
        <v>-57</v>
      </c>
      <c r="W198" s="29">
        <f t="shared" si="20"/>
        <v>-57</v>
      </c>
      <c r="X198" s="29"/>
      <c r="Y198" s="29"/>
      <c r="AA198"/>
      <c r="AB198" s="156"/>
      <c r="AC198"/>
      <c r="AD198"/>
      <c r="AE198" s="156"/>
      <c r="AF198"/>
      <c r="AG198"/>
      <c r="AH198"/>
      <c r="AI198"/>
      <c r="AJ198"/>
    </row>
    <row r="199" spans="1:36" s="12" customFormat="1" hidden="1" outlineLevel="1">
      <c r="A199" s="95">
        <v>45295</v>
      </c>
      <c r="B199" s="25" t="s">
        <v>14</v>
      </c>
      <c r="C199" s="26"/>
      <c r="D199" s="29"/>
      <c r="E199" s="29">
        <f t="shared" si="18"/>
        <v>39</v>
      </c>
      <c r="G199" s="64"/>
      <c r="H199" s="63"/>
      <c r="I199" s="27"/>
      <c r="J199" s="28"/>
      <c r="K199" s="43"/>
      <c r="L199" s="29"/>
      <c r="M199" s="29"/>
      <c r="N199" s="29"/>
      <c r="O199" s="29"/>
      <c r="Q199" s="64"/>
      <c r="R199" s="63"/>
      <c r="S199" s="27"/>
      <c r="T199" s="28"/>
      <c r="U199" s="43"/>
      <c r="V199" s="29">
        <f t="shared" si="19"/>
        <v>-57</v>
      </c>
      <c r="W199" s="29">
        <f t="shared" si="20"/>
        <v>-57</v>
      </c>
      <c r="X199" s="29"/>
      <c r="Y199" s="29"/>
      <c r="AA199"/>
      <c r="AB199" s="156"/>
      <c r="AC199"/>
      <c r="AD199"/>
      <c r="AE199" s="156"/>
      <c r="AF199"/>
      <c r="AG199"/>
      <c r="AH199"/>
      <c r="AI199"/>
      <c r="AJ199"/>
    </row>
    <row r="200" spans="1:36" hidden="1" outlineLevel="1">
      <c r="A200" s="96">
        <v>45296</v>
      </c>
      <c r="B200" s="17" t="s">
        <v>15</v>
      </c>
      <c r="C200" s="18">
        <v>60</v>
      </c>
      <c r="D200" s="23">
        <v>47</v>
      </c>
      <c r="E200" s="23">
        <f t="shared" si="18"/>
        <v>26</v>
      </c>
      <c r="G200" s="19"/>
      <c r="H200" s="62"/>
      <c r="I200" s="20"/>
      <c r="J200" s="21"/>
      <c r="K200" s="42"/>
      <c r="L200" s="23"/>
      <c r="M200" s="23"/>
      <c r="N200" s="23"/>
      <c r="O200" s="23"/>
      <c r="Q200" s="78">
        <v>72</v>
      </c>
      <c r="R200" s="62">
        <f>C191+S200</f>
        <v>0</v>
      </c>
      <c r="S200" s="20"/>
      <c r="T200" s="21"/>
      <c r="U200" s="57">
        <v>0</v>
      </c>
      <c r="V200" s="23">
        <f t="shared" si="19"/>
        <v>-129</v>
      </c>
      <c r="W200" s="23">
        <f t="shared" si="20"/>
        <v>-129</v>
      </c>
      <c r="X200" s="23"/>
      <c r="Y200" s="23">
        <v>15</v>
      </c>
      <c r="AA200" s="250"/>
      <c r="AB200" s="156"/>
      <c r="AC200"/>
      <c r="AD200"/>
      <c r="AE200" s="156"/>
      <c r="AF200"/>
      <c r="AG200"/>
    </row>
    <row r="201" spans="1:36" hidden="1" outlineLevel="1">
      <c r="A201" s="96">
        <v>45297</v>
      </c>
      <c r="B201" s="17" t="s">
        <v>16</v>
      </c>
      <c r="C201" s="18">
        <v>60</v>
      </c>
      <c r="D201" s="23">
        <v>28</v>
      </c>
      <c r="E201" s="23">
        <f t="shared" si="18"/>
        <v>-6</v>
      </c>
      <c r="G201" s="19"/>
      <c r="H201" s="62"/>
      <c r="I201" s="20"/>
      <c r="J201" s="21"/>
      <c r="K201" s="42"/>
      <c r="L201" s="23"/>
      <c r="M201" s="23"/>
      <c r="N201" s="23"/>
      <c r="O201" s="23"/>
      <c r="Q201" s="78">
        <v>54</v>
      </c>
      <c r="R201" s="62">
        <f>C192+S201</f>
        <v>60</v>
      </c>
      <c r="S201" s="20">
        <f>6*10</f>
        <v>60</v>
      </c>
      <c r="T201" s="21"/>
      <c r="U201" s="57">
        <v>60</v>
      </c>
      <c r="V201" s="23">
        <f t="shared" si="19"/>
        <v>-123</v>
      </c>
      <c r="W201" s="23">
        <f t="shared" si="20"/>
        <v>-123</v>
      </c>
      <c r="X201" s="23"/>
      <c r="Y201" s="23">
        <v>8</v>
      </c>
      <c r="AA201" s="250"/>
      <c r="AB201" s="156"/>
      <c r="AC201"/>
      <c r="AD201"/>
      <c r="AE201" s="156"/>
      <c r="AF201"/>
      <c r="AG201"/>
    </row>
    <row r="202" spans="1:36" s="12" customFormat="1" hidden="1" outlineLevel="1">
      <c r="A202" s="95">
        <v>45298</v>
      </c>
      <c r="B202" s="25" t="s">
        <v>17</v>
      </c>
      <c r="C202" s="26"/>
      <c r="D202" s="29"/>
      <c r="E202" s="29">
        <f t="shared" si="18"/>
        <v>-6</v>
      </c>
      <c r="G202" s="64"/>
      <c r="H202" s="63"/>
      <c r="I202" s="27"/>
      <c r="J202" s="28"/>
      <c r="K202" s="43"/>
      <c r="L202" s="29"/>
      <c r="M202" s="29"/>
      <c r="N202" s="29"/>
      <c r="O202" s="29"/>
      <c r="Q202" s="64"/>
      <c r="R202" s="63"/>
      <c r="S202" s="27"/>
      <c r="T202" s="28"/>
      <c r="U202" s="43"/>
      <c r="V202" s="29">
        <f t="shared" si="19"/>
        <v>-123</v>
      </c>
      <c r="W202" s="29">
        <f t="shared" si="20"/>
        <v>-123</v>
      </c>
      <c r="X202" s="29"/>
      <c r="Y202" s="29"/>
      <c r="AA202"/>
      <c r="AB202" s="156"/>
      <c r="AC202"/>
      <c r="AD202"/>
      <c r="AE202" s="156"/>
      <c r="AF202"/>
      <c r="AG202"/>
      <c r="AH202"/>
      <c r="AI202"/>
      <c r="AJ202"/>
    </row>
    <row r="203" spans="1:36" s="12" customFormat="1" hidden="1" outlineLevel="1">
      <c r="A203" s="95">
        <v>45299</v>
      </c>
      <c r="B203" s="25" t="s">
        <v>18</v>
      </c>
      <c r="C203" s="26"/>
      <c r="D203" s="29"/>
      <c r="E203" s="29">
        <f t="shared" si="18"/>
        <v>-6</v>
      </c>
      <c r="G203" s="64"/>
      <c r="H203" s="63"/>
      <c r="I203" s="27"/>
      <c r="J203" s="28"/>
      <c r="K203" s="43"/>
      <c r="L203" s="29"/>
      <c r="M203" s="29"/>
      <c r="N203" s="29"/>
      <c r="O203" s="29"/>
      <c r="Q203" s="64"/>
      <c r="R203" s="63"/>
      <c r="S203" s="27"/>
      <c r="T203" s="28"/>
      <c r="U203" s="43"/>
      <c r="V203" s="29">
        <f t="shared" si="19"/>
        <v>-123</v>
      </c>
      <c r="W203" s="29">
        <f t="shared" si="20"/>
        <v>-123</v>
      </c>
      <c r="X203" s="29"/>
      <c r="Y203" s="29">
        <v>14</v>
      </c>
      <c r="AA203"/>
      <c r="AB203" s="156"/>
      <c r="AC203"/>
      <c r="AD203"/>
      <c r="AE203" s="156"/>
      <c r="AF203"/>
      <c r="AG203"/>
      <c r="AH203"/>
      <c r="AI203"/>
      <c r="AJ203"/>
    </row>
    <row r="204" spans="1:36" hidden="1" outlineLevel="1">
      <c r="A204" s="96">
        <v>45300</v>
      </c>
      <c r="B204" s="17" t="s">
        <v>19</v>
      </c>
      <c r="C204" s="18">
        <v>72</v>
      </c>
      <c r="D204" s="23">
        <v>50</v>
      </c>
      <c r="E204" s="23">
        <f t="shared" si="18"/>
        <v>-28</v>
      </c>
      <c r="G204" s="19"/>
      <c r="H204" s="62"/>
      <c r="I204" s="20"/>
      <c r="J204" s="21"/>
      <c r="K204" s="42"/>
      <c r="L204" s="23"/>
      <c r="M204" s="23"/>
      <c r="N204" s="23"/>
      <c r="O204" s="23"/>
      <c r="Q204" s="78">
        <v>72</v>
      </c>
      <c r="R204" s="62">
        <f>C200+S204</f>
        <v>24</v>
      </c>
      <c r="S204" s="20">
        <v>-36</v>
      </c>
      <c r="T204" s="21"/>
      <c r="U204" s="57">
        <v>24</v>
      </c>
      <c r="V204" s="23">
        <f t="shared" si="19"/>
        <v>-171</v>
      </c>
      <c r="W204" s="23">
        <f t="shared" si="20"/>
        <v>-171</v>
      </c>
      <c r="X204" s="23"/>
      <c r="Y204" s="23">
        <v>0</v>
      </c>
      <c r="AA204" s="250"/>
      <c r="AB204" s="156"/>
      <c r="AC204"/>
      <c r="AD204"/>
      <c r="AE204" s="156"/>
      <c r="AF204"/>
      <c r="AG204"/>
    </row>
    <row r="205" spans="1:36" hidden="1" outlineLevel="1">
      <c r="A205" s="96">
        <v>45301</v>
      </c>
      <c r="B205" s="17" t="s">
        <v>20</v>
      </c>
      <c r="C205" s="18">
        <v>72</v>
      </c>
      <c r="D205" s="23">
        <v>65</v>
      </c>
      <c r="E205" s="23">
        <f t="shared" si="18"/>
        <v>-35</v>
      </c>
      <c r="G205" s="19"/>
      <c r="H205" s="62"/>
      <c r="I205" s="20"/>
      <c r="J205" s="21"/>
      <c r="K205" s="42"/>
      <c r="L205" s="23"/>
      <c r="M205" s="23"/>
      <c r="N205" s="23"/>
      <c r="O205" s="23"/>
      <c r="Q205" s="78">
        <v>24</v>
      </c>
      <c r="R205" s="62">
        <f>C201+S205</f>
        <v>36</v>
      </c>
      <c r="S205" s="20">
        <v>-24</v>
      </c>
      <c r="T205" s="21"/>
      <c r="U205" s="57">
        <v>36</v>
      </c>
      <c r="V205" s="23">
        <f t="shared" si="19"/>
        <v>-159</v>
      </c>
      <c r="W205" s="23">
        <f t="shared" si="20"/>
        <v>-159</v>
      </c>
      <c r="X205" s="23"/>
      <c r="Y205" s="23">
        <v>6</v>
      </c>
      <c r="AA205" s="250"/>
      <c r="AB205" s="156"/>
      <c r="AC205"/>
      <c r="AD205"/>
      <c r="AE205" s="156"/>
      <c r="AF205"/>
      <c r="AG205"/>
    </row>
    <row r="206" spans="1:36" hidden="1" outlineLevel="1">
      <c r="A206" s="96">
        <v>45302</v>
      </c>
      <c r="B206" s="17" t="s">
        <v>14</v>
      </c>
      <c r="C206" s="18">
        <v>72</v>
      </c>
      <c r="D206" s="23">
        <v>67</v>
      </c>
      <c r="E206" s="23">
        <f t="shared" si="18"/>
        <v>-40</v>
      </c>
      <c r="G206" s="19"/>
      <c r="H206" s="62"/>
      <c r="I206" s="20"/>
      <c r="J206" s="21"/>
      <c r="K206" s="42"/>
      <c r="L206" s="23"/>
      <c r="M206" s="23"/>
      <c r="N206" s="23"/>
      <c r="O206" s="23"/>
      <c r="Q206" s="78">
        <v>72</v>
      </c>
      <c r="R206" s="62">
        <f>C204+S206</f>
        <v>72</v>
      </c>
      <c r="S206" s="20"/>
      <c r="T206" s="21"/>
      <c r="U206" s="57">
        <v>72</v>
      </c>
      <c r="V206" s="23">
        <f t="shared" si="19"/>
        <v>-159</v>
      </c>
      <c r="W206" s="23">
        <f t="shared" si="20"/>
        <v>-159</v>
      </c>
      <c r="X206" s="23"/>
      <c r="Y206" s="23">
        <v>0</v>
      </c>
      <c r="AA206" s="250"/>
      <c r="AB206" s="156"/>
      <c r="AC206"/>
      <c r="AD206"/>
      <c r="AE206" s="156"/>
      <c r="AF206"/>
      <c r="AG206"/>
    </row>
    <row r="207" spans="1:36" hidden="1" outlineLevel="1">
      <c r="A207" s="96">
        <v>45303</v>
      </c>
      <c r="B207" s="17" t="s">
        <v>15</v>
      </c>
      <c r="C207" s="18">
        <v>72</v>
      </c>
      <c r="D207" s="23">
        <v>90</v>
      </c>
      <c r="E207" s="23">
        <f t="shared" si="18"/>
        <v>-22</v>
      </c>
      <c r="G207" s="19"/>
      <c r="H207" s="62"/>
      <c r="I207" s="20"/>
      <c r="J207" s="21"/>
      <c r="K207" s="42"/>
      <c r="L207" s="23"/>
      <c r="M207" s="23"/>
      <c r="N207" s="23"/>
      <c r="O207" s="23"/>
      <c r="Q207" s="78">
        <v>63</v>
      </c>
      <c r="R207" s="62">
        <f>C205+S207</f>
        <v>72</v>
      </c>
      <c r="S207" s="20"/>
      <c r="T207" s="21"/>
      <c r="U207" s="57">
        <v>72</v>
      </c>
      <c r="V207" s="23">
        <f t="shared" si="19"/>
        <v>-150</v>
      </c>
      <c r="W207" s="23">
        <f t="shared" si="20"/>
        <v>-150</v>
      </c>
      <c r="X207" s="23"/>
      <c r="Y207" s="23">
        <v>26</v>
      </c>
      <c r="Z207" s="97">
        <f>AVERAGE(Q204:Q207)</f>
        <v>57.75</v>
      </c>
      <c r="AA207" s="250"/>
      <c r="AB207" s="156"/>
      <c r="AC207"/>
      <c r="AD207"/>
      <c r="AE207" s="156"/>
      <c r="AF207"/>
      <c r="AG207"/>
    </row>
    <row r="208" spans="1:36" s="12" customFormat="1" hidden="1" outlineLevel="1">
      <c r="A208" s="95">
        <v>45304</v>
      </c>
      <c r="B208" s="25" t="s">
        <v>16</v>
      </c>
      <c r="C208" s="26"/>
      <c r="D208" s="29"/>
      <c r="E208" s="29">
        <f t="shared" si="18"/>
        <v>-22</v>
      </c>
      <c r="G208" s="64"/>
      <c r="H208" s="63"/>
      <c r="I208" s="27"/>
      <c r="J208" s="28"/>
      <c r="K208" s="43"/>
      <c r="L208" s="29"/>
      <c r="M208" s="29"/>
      <c r="N208" s="29"/>
      <c r="O208" s="29"/>
      <c r="Q208" s="79"/>
      <c r="R208" s="63"/>
      <c r="S208" s="27"/>
      <c r="T208" s="28"/>
      <c r="U208" s="43"/>
      <c r="V208" s="29">
        <f t="shared" si="19"/>
        <v>-150</v>
      </c>
      <c r="W208" s="29">
        <f t="shared" si="20"/>
        <v>-150</v>
      </c>
      <c r="X208" s="29"/>
      <c r="Y208" s="29"/>
      <c r="AA208" s="250"/>
      <c r="AB208" s="156"/>
      <c r="AC208"/>
      <c r="AD208"/>
      <c r="AE208" s="156"/>
      <c r="AF208"/>
      <c r="AG208"/>
      <c r="AH208"/>
      <c r="AI208"/>
      <c r="AJ208"/>
    </row>
    <row r="209" spans="1:36" s="12" customFormat="1" hidden="1" outlineLevel="1">
      <c r="A209" s="95">
        <v>45305</v>
      </c>
      <c r="B209" s="25" t="s">
        <v>17</v>
      </c>
      <c r="C209" s="26"/>
      <c r="D209" s="29"/>
      <c r="E209" s="29">
        <f t="shared" si="18"/>
        <v>-22</v>
      </c>
      <c r="G209" s="64"/>
      <c r="H209" s="63"/>
      <c r="I209" s="27"/>
      <c r="J209" s="28"/>
      <c r="K209" s="43"/>
      <c r="L209" s="29"/>
      <c r="M209" s="29"/>
      <c r="N209" s="29"/>
      <c r="O209" s="29"/>
      <c r="Q209" s="79"/>
      <c r="R209" s="63"/>
      <c r="S209" s="27"/>
      <c r="T209" s="28"/>
      <c r="U209" s="43"/>
      <c r="V209" s="29">
        <f t="shared" si="19"/>
        <v>-150</v>
      </c>
      <c r="W209" s="29">
        <f t="shared" si="20"/>
        <v>-150</v>
      </c>
      <c r="X209" s="29"/>
      <c r="Y209" s="29"/>
      <c r="AA209" s="250"/>
      <c r="AB209" s="156"/>
      <c r="AC209"/>
      <c r="AD209"/>
      <c r="AE209" s="156"/>
      <c r="AF209"/>
      <c r="AG209"/>
      <c r="AH209"/>
      <c r="AI209"/>
      <c r="AJ209"/>
    </row>
    <row r="210" spans="1:36" hidden="1" outlineLevel="1">
      <c r="A210" s="96">
        <v>45306</v>
      </c>
      <c r="B210" s="17" t="s">
        <v>18</v>
      </c>
      <c r="C210" s="18">
        <v>72</v>
      </c>
      <c r="D210" s="23">
        <v>40</v>
      </c>
      <c r="E210" s="23">
        <f t="shared" si="18"/>
        <v>-54</v>
      </c>
      <c r="G210" s="19"/>
      <c r="H210" s="62"/>
      <c r="I210" s="20"/>
      <c r="J210" s="21"/>
      <c r="K210" s="42"/>
      <c r="L210" s="23"/>
      <c r="M210" s="23"/>
      <c r="N210" s="23"/>
      <c r="O210" s="23"/>
      <c r="Q210" s="78">
        <v>61</v>
      </c>
      <c r="R210" s="62">
        <f>C206+S210</f>
        <v>75</v>
      </c>
      <c r="S210" s="20">
        <v>3</v>
      </c>
      <c r="T210" s="21"/>
      <c r="U210" s="57">
        <v>75</v>
      </c>
      <c r="V210" s="23">
        <f t="shared" si="19"/>
        <v>-136</v>
      </c>
      <c r="W210" s="23">
        <f t="shared" si="20"/>
        <v>-136</v>
      </c>
      <c r="X210" s="23"/>
      <c r="Y210" s="23">
        <v>8</v>
      </c>
      <c r="AA210" s="250"/>
      <c r="AB210" s="156"/>
      <c r="AC210"/>
      <c r="AD210"/>
      <c r="AE210" s="156"/>
      <c r="AF210"/>
      <c r="AG210"/>
    </row>
    <row r="211" spans="1:36" hidden="1" outlineLevel="1">
      <c r="A211" s="96">
        <v>45307</v>
      </c>
      <c r="B211" s="17" t="s">
        <v>19</v>
      </c>
      <c r="C211" s="18">
        <v>72</v>
      </c>
      <c r="D211" s="23">
        <v>67</v>
      </c>
      <c r="E211" s="23">
        <f t="shared" si="18"/>
        <v>-59</v>
      </c>
      <c r="G211" s="19"/>
      <c r="H211" s="62"/>
      <c r="I211" s="20"/>
      <c r="J211" s="21"/>
      <c r="K211" s="42"/>
      <c r="L211" s="23"/>
      <c r="M211" s="23"/>
      <c r="N211" s="23"/>
      <c r="O211" s="23"/>
      <c r="Q211" s="78">
        <v>72</v>
      </c>
      <c r="R211" s="62">
        <f>C207+S211</f>
        <v>72</v>
      </c>
      <c r="S211" s="20"/>
      <c r="T211" s="21"/>
      <c r="U211" s="57">
        <v>72</v>
      </c>
      <c r="V211" s="23">
        <f t="shared" ref="V211:V226" si="21">V210-Q211+U211</f>
        <v>-136</v>
      </c>
      <c r="W211" s="23">
        <f t="shared" ref="W211:W226" si="22">W210-Q211+R211</f>
        <v>-136</v>
      </c>
      <c r="X211" s="23"/>
      <c r="Y211" s="23">
        <v>9</v>
      </c>
      <c r="AA211" s="250"/>
      <c r="AB211" s="156"/>
      <c r="AC211"/>
      <c r="AD211"/>
      <c r="AE211" s="156"/>
      <c r="AF211"/>
      <c r="AG211"/>
    </row>
    <row r="212" spans="1:36" hidden="1" outlineLevel="1">
      <c r="A212" s="96">
        <v>45308</v>
      </c>
      <c r="B212" s="17" t="s">
        <v>20</v>
      </c>
      <c r="C212" s="18">
        <v>72</v>
      </c>
      <c r="D212" s="23">
        <v>59</v>
      </c>
      <c r="E212" s="23">
        <f t="shared" si="18"/>
        <v>-72</v>
      </c>
      <c r="G212" s="19"/>
      <c r="H212" s="62"/>
      <c r="I212" s="20"/>
      <c r="J212" s="21"/>
      <c r="K212" s="42"/>
      <c r="L212" s="23"/>
      <c r="M212" s="23"/>
      <c r="N212" s="23"/>
      <c r="O212" s="23"/>
      <c r="Q212" s="78">
        <v>57</v>
      </c>
      <c r="R212" s="62">
        <f>C210+S212</f>
        <v>72</v>
      </c>
      <c r="S212" s="20"/>
      <c r="T212" s="21"/>
      <c r="U212" s="57">
        <v>72</v>
      </c>
      <c r="V212" s="23">
        <f t="shared" si="21"/>
        <v>-121</v>
      </c>
      <c r="W212" s="23">
        <f t="shared" si="22"/>
        <v>-121</v>
      </c>
      <c r="X212" s="23"/>
      <c r="Y212" s="23">
        <v>15</v>
      </c>
      <c r="AA212" s="250"/>
      <c r="AB212" s="156"/>
      <c r="AC212"/>
      <c r="AD212"/>
      <c r="AE212" s="156"/>
      <c r="AF212"/>
      <c r="AG212"/>
    </row>
    <row r="213" spans="1:36" hidden="1" outlineLevel="1">
      <c r="A213" s="96">
        <v>45309</v>
      </c>
      <c r="B213" s="17" t="s">
        <v>14</v>
      </c>
      <c r="C213" s="18">
        <v>72</v>
      </c>
      <c r="D213" s="23">
        <v>67</v>
      </c>
      <c r="E213" s="23">
        <f t="shared" si="18"/>
        <v>-77</v>
      </c>
      <c r="G213" s="19"/>
      <c r="H213" s="62"/>
      <c r="I213" s="20"/>
      <c r="J213" s="21"/>
      <c r="K213" s="42"/>
      <c r="L213" s="23"/>
      <c r="M213" s="23"/>
      <c r="N213" s="23"/>
      <c r="O213" s="23"/>
      <c r="Q213" s="78">
        <v>72</v>
      </c>
      <c r="R213" s="62">
        <f>C211+S213</f>
        <v>72</v>
      </c>
      <c r="S213" s="20"/>
      <c r="T213" s="21"/>
      <c r="U213" s="57">
        <v>72</v>
      </c>
      <c r="V213" s="23">
        <f t="shared" si="21"/>
        <v>-121</v>
      </c>
      <c r="W213" s="23">
        <f t="shared" si="22"/>
        <v>-121</v>
      </c>
      <c r="X213" s="23"/>
      <c r="Y213" s="23">
        <v>0</v>
      </c>
      <c r="AA213" s="250"/>
      <c r="AB213" s="156"/>
      <c r="AC213"/>
      <c r="AD213"/>
      <c r="AE213" s="156"/>
      <c r="AF213"/>
      <c r="AG213"/>
    </row>
    <row r="214" spans="1:36" hidden="1" outlineLevel="1">
      <c r="A214" s="96">
        <v>45310</v>
      </c>
      <c r="B214" s="17" t="s">
        <v>15</v>
      </c>
      <c r="C214" s="18">
        <v>72</v>
      </c>
      <c r="D214" s="23">
        <v>77</v>
      </c>
      <c r="E214" s="23">
        <f t="shared" si="18"/>
        <v>-72</v>
      </c>
      <c r="G214" s="19"/>
      <c r="H214" s="62"/>
      <c r="I214" s="20"/>
      <c r="J214" s="21"/>
      <c r="K214" s="42"/>
      <c r="L214" s="23"/>
      <c r="M214" s="23"/>
      <c r="N214" s="23"/>
      <c r="O214" s="23"/>
      <c r="Q214" s="78">
        <v>69</v>
      </c>
      <c r="R214" s="62">
        <f>C212+S214</f>
        <v>72</v>
      </c>
      <c r="S214" s="20"/>
      <c r="T214" s="21"/>
      <c r="U214" s="57">
        <v>72</v>
      </c>
      <c r="V214" s="23">
        <f t="shared" si="21"/>
        <v>-118</v>
      </c>
      <c r="W214" s="23">
        <f t="shared" si="22"/>
        <v>-118</v>
      </c>
      <c r="X214" s="23"/>
      <c r="Y214" s="23">
        <v>0</v>
      </c>
      <c r="Z214" s="1">
        <f>AVERAGE(Q210:Q214)</f>
        <v>66.2</v>
      </c>
      <c r="AA214" s="250"/>
      <c r="AB214" s="156"/>
      <c r="AC214"/>
      <c r="AD214"/>
      <c r="AE214" s="156"/>
      <c r="AF214"/>
      <c r="AG214"/>
    </row>
    <row r="215" spans="1:36" s="12" customFormat="1" hidden="1" outlineLevel="1">
      <c r="A215" s="95">
        <v>45311</v>
      </c>
      <c r="B215" s="25" t="s">
        <v>16</v>
      </c>
      <c r="C215" s="26"/>
      <c r="D215" s="29"/>
      <c r="E215" s="29">
        <f t="shared" si="18"/>
        <v>-72</v>
      </c>
      <c r="G215" s="64"/>
      <c r="H215" s="63"/>
      <c r="I215" s="27"/>
      <c r="J215" s="28"/>
      <c r="K215" s="43"/>
      <c r="L215" s="29"/>
      <c r="M215" s="29"/>
      <c r="N215" s="29"/>
      <c r="O215" s="29"/>
      <c r="Q215" s="64"/>
      <c r="R215" s="63"/>
      <c r="S215" s="27"/>
      <c r="T215" s="28"/>
      <c r="U215" s="43"/>
      <c r="V215" s="29">
        <f t="shared" si="21"/>
        <v>-118</v>
      </c>
      <c r="W215" s="29">
        <f t="shared" si="22"/>
        <v>-118</v>
      </c>
      <c r="X215" s="29"/>
      <c r="Y215" s="29"/>
      <c r="AA215"/>
      <c r="AB215" s="156"/>
      <c r="AC215"/>
      <c r="AD215"/>
      <c r="AE215" s="156"/>
      <c r="AF215"/>
      <c r="AG215"/>
      <c r="AH215"/>
      <c r="AI215"/>
      <c r="AJ215"/>
    </row>
    <row r="216" spans="1:36" s="12" customFormat="1" hidden="1" outlineLevel="1">
      <c r="A216" s="95">
        <v>45312</v>
      </c>
      <c r="B216" s="25" t="s">
        <v>17</v>
      </c>
      <c r="C216" s="26"/>
      <c r="D216" s="29"/>
      <c r="E216" s="29">
        <f t="shared" si="18"/>
        <v>-72</v>
      </c>
      <c r="G216" s="64"/>
      <c r="H216" s="63"/>
      <c r="I216" s="27"/>
      <c r="J216" s="28"/>
      <c r="K216" s="43"/>
      <c r="L216" s="29"/>
      <c r="M216" s="29"/>
      <c r="N216" s="29"/>
      <c r="O216" s="29"/>
      <c r="Q216" s="64"/>
      <c r="R216" s="63"/>
      <c r="S216" s="27"/>
      <c r="T216" s="28"/>
      <c r="U216" s="43"/>
      <c r="V216" s="29">
        <f t="shared" si="21"/>
        <v>-118</v>
      </c>
      <c r="W216" s="29">
        <f t="shared" si="22"/>
        <v>-118</v>
      </c>
      <c r="X216" s="29"/>
      <c r="Y216" s="29"/>
      <c r="AA216"/>
      <c r="AB216" s="156"/>
      <c r="AC216"/>
      <c r="AD216"/>
      <c r="AE216" s="156"/>
      <c r="AF216"/>
      <c r="AG216"/>
      <c r="AH216"/>
      <c r="AI216"/>
      <c r="AJ216"/>
    </row>
    <row r="217" spans="1:36" hidden="1" outlineLevel="1">
      <c r="A217" s="96">
        <v>45313</v>
      </c>
      <c r="B217" s="17" t="s">
        <v>18</v>
      </c>
      <c r="C217" s="18">
        <v>73</v>
      </c>
      <c r="D217" s="23">
        <v>69</v>
      </c>
      <c r="E217" s="23">
        <f t="shared" si="18"/>
        <v>-76</v>
      </c>
      <c r="G217" s="19"/>
      <c r="H217" s="62"/>
      <c r="I217" s="20"/>
      <c r="J217" s="21"/>
      <c r="K217" s="42"/>
      <c r="L217" s="23"/>
      <c r="M217" s="23"/>
      <c r="N217" s="23"/>
      <c r="O217" s="23"/>
      <c r="Q217" s="78">
        <v>57</v>
      </c>
      <c r="R217" s="62">
        <f>C213+S217</f>
        <v>72</v>
      </c>
      <c r="S217" s="20"/>
      <c r="T217" s="21"/>
      <c r="U217" s="57">
        <v>72</v>
      </c>
      <c r="V217" s="23">
        <f t="shared" si="21"/>
        <v>-103</v>
      </c>
      <c r="W217" s="23">
        <f t="shared" si="22"/>
        <v>-103</v>
      </c>
      <c r="X217" s="23"/>
      <c r="Y217" s="23">
        <v>16</v>
      </c>
      <c r="AA217" s="250"/>
      <c r="AB217" s="156"/>
      <c r="AC217"/>
      <c r="AD217"/>
      <c r="AE217" s="156"/>
      <c r="AF217"/>
      <c r="AG217"/>
    </row>
    <row r="218" spans="1:36" hidden="1" outlineLevel="1">
      <c r="A218" s="96">
        <v>45314</v>
      </c>
      <c r="B218" s="17" t="s">
        <v>19</v>
      </c>
      <c r="C218" s="18">
        <f>66+1</f>
        <v>67</v>
      </c>
      <c r="D218" s="23">
        <v>81</v>
      </c>
      <c r="E218" s="23">
        <f t="shared" si="18"/>
        <v>-62</v>
      </c>
      <c r="G218" s="19"/>
      <c r="H218" s="62"/>
      <c r="I218" s="20"/>
      <c r="J218" s="21"/>
      <c r="K218" s="42"/>
      <c r="L218" s="23"/>
      <c r="M218" s="23"/>
      <c r="N218" s="23"/>
      <c r="O218" s="23"/>
      <c r="Q218" s="78">
        <v>69</v>
      </c>
      <c r="R218" s="62">
        <f>C214+S218</f>
        <v>72</v>
      </c>
      <c r="S218" s="20"/>
      <c r="T218" s="21"/>
      <c r="U218" s="57">
        <v>72</v>
      </c>
      <c r="V218" s="23">
        <f t="shared" si="21"/>
        <v>-100</v>
      </c>
      <c r="W218" s="23">
        <f t="shared" si="22"/>
        <v>-100</v>
      </c>
      <c r="X218" s="23"/>
      <c r="Y218" s="23">
        <v>19</v>
      </c>
      <c r="AA218" s="250"/>
      <c r="AB218" s="156"/>
      <c r="AC218"/>
      <c r="AD218"/>
      <c r="AE218" s="156"/>
      <c r="AF218"/>
      <c r="AG218"/>
    </row>
    <row r="219" spans="1:36" hidden="1" outlineLevel="1">
      <c r="A219" s="96">
        <v>45315</v>
      </c>
      <c r="B219" s="17" t="s">
        <v>20</v>
      </c>
      <c r="C219" s="18">
        <v>72</v>
      </c>
      <c r="D219" s="23">
        <v>60</v>
      </c>
      <c r="E219" s="23">
        <f t="shared" si="18"/>
        <v>-74</v>
      </c>
      <c r="G219" s="19"/>
      <c r="H219" s="62"/>
      <c r="I219" s="20"/>
      <c r="J219" s="21"/>
      <c r="K219" s="42"/>
      <c r="L219" s="23"/>
      <c r="M219" s="23"/>
      <c r="N219" s="23"/>
      <c r="O219" s="23"/>
      <c r="Q219" s="78">
        <v>57</v>
      </c>
      <c r="R219" s="62">
        <f>C217+S219</f>
        <v>73</v>
      </c>
      <c r="S219" s="20"/>
      <c r="T219" s="21"/>
      <c r="U219" s="57">
        <f>73</f>
        <v>73</v>
      </c>
      <c r="V219" s="23">
        <f t="shared" si="21"/>
        <v>-84</v>
      </c>
      <c r="W219" s="23">
        <f t="shared" si="22"/>
        <v>-84</v>
      </c>
      <c r="X219" s="23"/>
      <c r="Y219" s="23">
        <f>8+10</f>
        <v>18</v>
      </c>
      <c r="AA219" s="250"/>
      <c r="AB219" s="156"/>
      <c r="AC219"/>
      <c r="AD219"/>
      <c r="AE219" s="156"/>
      <c r="AF219"/>
      <c r="AG219"/>
    </row>
    <row r="220" spans="1:36" hidden="1" outlineLevel="1">
      <c r="A220" s="96">
        <v>45316</v>
      </c>
      <c r="B220" s="17" t="s">
        <v>14</v>
      </c>
      <c r="C220" s="18">
        <v>72</v>
      </c>
      <c r="D220" s="23">
        <v>81</v>
      </c>
      <c r="E220" s="23">
        <f t="shared" si="18"/>
        <v>-65</v>
      </c>
      <c r="G220" s="19"/>
      <c r="H220" s="62"/>
      <c r="I220" s="20"/>
      <c r="J220" s="21"/>
      <c r="K220" s="42"/>
      <c r="L220" s="23"/>
      <c r="M220" s="23"/>
      <c r="N220" s="23"/>
      <c r="O220" s="23"/>
      <c r="Q220" s="78">
        <v>75</v>
      </c>
      <c r="R220" s="62">
        <f>C218+S220</f>
        <v>67</v>
      </c>
      <c r="S220" s="20"/>
      <c r="T220" s="21"/>
      <c r="U220" s="57">
        <v>67</v>
      </c>
      <c r="V220" s="23">
        <f t="shared" si="21"/>
        <v>-92</v>
      </c>
      <c r="W220" s="23">
        <f t="shared" si="22"/>
        <v>-92</v>
      </c>
      <c r="X220" s="23"/>
      <c r="Y220" s="23">
        <v>0</v>
      </c>
      <c r="AA220" s="250"/>
      <c r="AB220" s="156"/>
      <c r="AC220"/>
      <c r="AD220"/>
      <c r="AE220" s="156"/>
      <c r="AF220"/>
      <c r="AG220"/>
    </row>
    <row r="221" spans="1:36" hidden="1" outlineLevel="1">
      <c r="A221" s="96">
        <v>45317</v>
      </c>
      <c r="B221" s="17" t="s">
        <v>15</v>
      </c>
      <c r="C221" s="18">
        <v>72</v>
      </c>
      <c r="D221" s="23">
        <v>71</v>
      </c>
      <c r="E221" s="23">
        <f t="shared" si="18"/>
        <v>-66</v>
      </c>
      <c r="G221" s="19"/>
      <c r="H221" s="62"/>
      <c r="I221" s="20"/>
      <c r="J221" s="21"/>
      <c r="K221" s="42"/>
      <c r="L221" s="23"/>
      <c r="M221" s="23"/>
      <c r="N221" s="23"/>
      <c r="O221" s="23"/>
      <c r="Q221" s="78">
        <v>69</v>
      </c>
      <c r="R221" s="62">
        <f>C219+S221</f>
        <v>72</v>
      </c>
      <c r="S221" s="20"/>
      <c r="T221" s="21"/>
      <c r="U221" s="57">
        <v>72</v>
      </c>
      <c r="V221" s="23">
        <f t="shared" si="21"/>
        <v>-89</v>
      </c>
      <c r="W221" s="23">
        <f t="shared" si="22"/>
        <v>-89</v>
      </c>
      <c r="X221" s="23"/>
      <c r="Y221" s="23">
        <v>12</v>
      </c>
      <c r="Z221" s="1">
        <f>AVERAGE(Q217:Q221)</f>
        <v>65.400000000000006</v>
      </c>
      <c r="AA221" s="250"/>
      <c r="AB221" s="156"/>
      <c r="AC221"/>
      <c r="AD221"/>
      <c r="AE221" s="156"/>
      <c r="AF221"/>
      <c r="AG221"/>
    </row>
    <row r="222" spans="1:36" s="12" customFormat="1" hidden="1" outlineLevel="1" collapsed="1">
      <c r="A222" s="95">
        <v>45318</v>
      </c>
      <c r="B222" s="25" t="s">
        <v>16</v>
      </c>
      <c r="C222" s="26"/>
      <c r="D222" s="29"/>
      <c r="E222" s="29">
        <f t="shared" si="18"/>
        <v>-66</v>
      </c>
      <c r="G222" s="64"/>
      <c r="H222" s="63"/>
      <c r="I222" s="27"/>
      <c r="J222" s="28"/>
      <c r="K222" s="43"/>
      <c r="L222" s="29"/>
      <c r="M222" s="29"/>
      <c r="N222" s="29"/>
      <c r="O222" s="29"/>
      <c r="Q222" s="64"/>
      <c r="R222" s="63"/>
      <c r="S222" s="27"/>
      <c r="T222" s="28"/>
      <c r="U222" s="43"/>
      <c r="V222" s="29">
        <f t="shared" si="21"/>
        <v>-89</v>
      </c>
      <c r="W222" s="29">
        <f t="shared" si="22"/>
        <v>-89</v>
      </c>
      <c r="X222" s="29"/>
      <c r="Y222" s="29"/>
      <c r="AA222"/>
      <c r="AB222" s="156"/>
      <c r="AC222"/>
      <c r="AD222"/>
      <c r="AE222" s="156"/>
      <c r="AF222"/>
      <c r="AG222"/>
      <c r="AH222"/>
      <c r="AI222"/>
      <c r="AJ222"/>
    </row>
    <row r="223" spans="1:36" s="12" customFormat="1" hidden="1" outlineLevel="1">
      <c r="A223" s="95">
        <v>45319</v>
      </c>
      <c r="B223" s="25" t="s">
        <v>17</v>
      </c>
      <c r="C223" s="26"/>
      <c r="D223" s="29"/>
      <c r="E223" s="29">
        <f t="shared" si="18"/>
        <v>-66</v>
      </c>
      <c r="G223" s="64"/>
      <c r="H223" s="63"/>
      <c r="I223" s="27"/>
      <c r="J223" s="28"/>
      <c r="K223" s="43"/>
      <c r="L223" s="29"/>
      <c r="M223" s="29"/>
      <c r="N223" s="29"/>
      <c r="O223" s="29"/>
      <c r="Q223" s="64"/>
      <c r="R223" s="63"/>
      <c r="S223" s="27"/>
      <c r="T223" s="28"/>
      <c r="U223" s="43"/>
      <c r="V223" s="29">
        <f t="shared" si="21"/>
        <v>-89</v>
      </c>
      <c r="W223" s="29">
        <f t="shared" si="22"/>
        <v>-89</v>
      </c>
      <c r="X223" s="29"/>
      <c r="Y223" s="29"/>
      <c r="AA223"/>
      <c r="AB223" s="156"/>
      <c r="AC223"/>
      <c r="AD223"/>
      <c r="AE223" s="156"/>
      <c r="AF223"/>
      <c r="AG223"/>
      <c r="AH223"/>
      <c r="AI223"/>
      <c r="AJ223"/>
    </row>
    <row r="224" spans="1:36" hidden="1" outlineLevel="1">
      <c r="A224" s="96">
        <v>45320</v>
      </c>
      <c r="B224" s="17" t="s">
        <v>18</v>
      </c>
      <c r="C224" s="18">
        <v>72</v>
      </c>
      <c r="D224" s="23">
        <v>72</v>
      </c>
      <c r="E224" s="23">
        <f t="shared" si="18"/>
        <v>-66</v>
      </c>
      <c r="G224" s="19"/>
      <c r="H224" s="62"/>
      <c r="I224" s="20"/>
      <c r="J224" s="21"/>
      <c r="K224" s="42"/>
      <c r="L224" s="23"/>
      <c r="M224" s="23"/>
      <c r="N224" s="23"/>
      <c r="O224" s="23"/>
      <c r="Q224" s="78">
        <v>57</v>
      </c>
      <c r="R224" s="62">
        <f>C220+S224</f>
        <v>72</v>
      </c>
      <c r="S224" s="20"/>
      <c r="T224" s="21"/>
      <c r="U224" s="57">
        <v>72</v>
      </c>
      <c r="V224" s="23">
        <f t="shared" si="21"/>
        <v>-74</v>
      </c>
      <c r="W224" s="23">
        <f t="shared" si="22"/>
        <v>-74</v>
      </c>
      <c r="X224" s="23"/>
      <c r="Y224" s="23">
        <v>16</v>
      </c>
      <c r="AA224" s="250"/>
      <c r="AB224" s="156"/>
      <c r="AC224"/>
      <c r="AD224"/>
      <c r="AE224" s="156"/>
      <c r="AF224"/>
      <c r="AG224"/>
    </row>
    <row r="225" spans="1:36" hidden="1" outlineLevel="1">
      <c r="A225" s="96">
        <v>45321</v>
      </c>
      <c r="B225" s="17" t="s">
        <v>19</v>
      </c>
      <c r="C225" s="18">
        <v>72</v>
      </c>
      <c r="D225" s="23">
        <v>71</v>
      </c>
      <c r="E225" s="23">
        <f t="shared" si="18"/>
        <v>-67</v>
      </c>
      <c r="G225" s="19"/>
      <c r="H225" s="62"/>
      <c r="I225" s="20"/>
      <c r="J225" s="21"/>
      <c r="K225" s="42"/>
      <c r="L225" s="23"/>
      <c r="M225" s="23"/>
      <c r="N225" s="23"/>
      <c r="O225" s="23"/>
      <c r="Q225" s="78">
        <v>72</v>
      </c>
      <c r="R225" s="62">
        <f>C221+S225</f>
        <v>72</v>
      </c>
      <c r="S225" s="20"/>
      <c r="T225" s="21"/>
      <c r="U225" s="57">
        <v>72</v>
      </c>
      <c r="V225" s="23">
        <f t="shared" si="21"/>
        <v>-74</v>
      </c>
      <c r="W225" s="23">
        <f t="shared" si="22"/>
        <v>-74</v>
      </c>
      <c r="X225" s="23"/>
      <c r="Y225" s="23">
        <v>12</v>
      </c>
      <c r="AA225" s="250"/>
      <c r="AB225" s="156"/>
      <c r="AC225"/>
      <c r="AD225"/>
      <c r="AE225" s="156"/>
      <c r="AF225"/>
      <c r="AG225"/>
    </row>
    <row r="226" spans="1:36" hidden="1" outlineLevel="1">
      <c r="A226" s="96">
        <v>45322</v>
      </c>
      <c r="B226" s="17" t="s">
        <v>20</v>
      </c>
      <c r="C226" s="18">
        <v>72</v>
      </c>
      <c r="D226" s="23">
        <v>115</v>
      </c>
      <c r="E226" s="23">
        <f t="shared" si="18"/>
        <v>-24</v>
      </c>
      <c r="G226" s="19"/>
      <c r="H226" s="62"/>
      <c r="I226" s="20"/>
      <c r="J226" s="21"/>
      <c r="K226" s="42"/>
      <c r="L226" s="23"/>
      <c r="M226" s="23"/>
      <c r="N226" s="23"/>
      <c r="O226" s="23"/>
      <c r="Q226" s="78">
        <v>57</v>
      </c>
      <c r="R226" s="62">
        <f>C224+S226</f>
        <v>72</v>
      </c>
      <c r="S226" s="20"/>
      <c r="T226" s="21"/>
      <c r="U226" s="57">
        <v>72</v>
      </c>
      <c r="V226" s="23">
        <f t="shared" si="21"/>
        <v>-59</v>
      </c>
      <c r="W226" s="23">
        <f t="shared" si="22"/>
        <v>-59</v>
      </c>
      <c r="X226" s="23"/>
      <c r="Y226" s="23">
        <v>0</v>
      </c>
      <c r="AA226" s="250"/>
      <c r="AB226" s="156"/>
      <c r="AC226"/>
      <c r="AD226"/>
      <c r="AE226" s="156"/>
      <c r="AF226"/>
      <c r="AG226"/>
    </row>
    <row r="227" spans="1:36" hidden="1" outlineLevel="1">
      <c r="A227" s="96">
        <v>45323</v>
      </c>
      <c r="B227" s="17" t="s">
        <v>14</v>
      </c>
      <c r="C227" s="18">
        <v>72</v>
      </c>
      <c r="D227" s="23">
        <v>72</v>
      </c>
      <c r="E227" s="23">
        <f t="shared" ref="E227" si="23">E226-C227+D227</f>
        <v>-24</v>
      </c>
      <c r="G227" s="19"/>
      <c r="H227" s="62"/>
      <c r="I227" s="20"/>
      <c r="J227" s="21"/>
      <c r="K227" s="42"/>
      <c r="L227" s="23"/>
      <c r="M227" s="23"/>
      <c r="N227" s="23"/>
      <c r="O227" s="23"/>
      <c r="Q227" s="78">
        <v>72</v>
      </c>
      <c r="R227" s="62">
        <f>C225+S227</f>
        <v>72</v>
      </c>
      <c r="S227" s="20"/>
      <c r="T227" s="21"/>
      <c r="U227" s="57">
        <v>72</v>
      </c>
      <c r="V227" s="23">
        <f t="shared" ref="V227" si="24">V226-Q227+U227</f>
        <v>-59</v>
      </c>
      <c r="W227" s="23">
        <f t="shared" ref="W227" si="25">W226-Q227+R227</f>
        <v>-59</v>
      </c>
      <c r="X227" s="23"/>
      <c r="Y227" s="23">
        <v>17</v>
      </c>
      <c r="AA227" s="250"/>
      <c r="AB227" s="156"/>
      <c r="AC227"/>
      <c r="AD227"/>
      <c r="AE227" s="156"/>
      <c r="AF227"/>
      <c r="AG227"/>
    </row>
    <row r="228" spans="1:36" hidden="1" outlineLevel="1">
      <c r="A228" s="96">
        <v>45324</v>
      </c>
      <c r="B228" s="17" t="s">
        <v>15</v>
      </c>
      <c r="C228" s="18">
        <v>72</v>
      </c>
      <c r="D228" s="23">
        <v>70</v>
      </c>
      <c r="E228" s="23">
        <f t="shared" ref="E228:E254" si="26">E227-C228+D228</f>
        <v>-26</v>
      </c>
      <c r="G228" s="19"/>
      <c r="H228" s="62"/>
      <c r="I228" s="20"/>
      <c r="J228" s="21"/>
      <c r="K228" s="42"/>
      <c r="L228" s="23"/>
      <c r="M228" s="23"/>
      <c r="N228" s="23"/>
      <c r="O228" s="23"/>
      <c r="Q228" s="78">
        <v>69</v>
      </c>
      <c r="R228" s="62">
        <f>C226+S228</f>
        <v>72</v>
      </c>
      <c r="S228" s="20"/>
      <c r="T228" s="21"/>
      <c r="U228" s="57">
        <v>72</v>
      </c>
      <c r="V228" s="23">
        <f t="shared" ref="V228:V254" si="27">V227-Q228+U228</f>
        <v>-56</v>
      </c>
      <c r="W228" s="23">
        <f t="shared" ref="W228:W254" si="28">W227-Q228+R228</f>
        <v>-56</v>
      </c>
      <c r="X228" s="23"/>
      <c r="Y228" s="23">
        <v>15</v>
      </c>
      <c r="Z228" s="1">
        <f>AVERAGE(Q224:Q228)</f>
        <v>65.400000000000006</v>
      </c>
      <c r="AA228" s="250"/>
      <c r="AB228" s="156"/>
      <c r="AC228"/>
      <c r="AD228"/>
      <c r="AE228" s="156"/>
      <c r="AF228"/>
      <c r="AG228"/>
    </row>
    <row r="229" spans="1:36" s="12" customFormat="1" hidden="1" outlineLevel="1">
      <c r="A229" s="95">
        <v>45325</v>
      </c>
      <c r="B229" s="25" t="s">
        <v>16</v>
      </c>
      <c r="C229" s="26"/>
      <c r="D229" s="29"/>
      <c r="E229" s="29">
        <f t="shared" si="26"/>
        <v>-26</v>
      </c>
      <c r="G229" s="64"/>
      <c r="H229" s="63"/>
      <c r="I229" s="27"/>
      <c r="J229" s="28"/>
      <c r="K229" s="43"/>
      <c r="L229" s="29"/>
      <c r="M229" s="29"/>
      <c r="N229" s="29"/>
      <c r="O229" s="29"/>
      <c r="Q229" s="79"/>
      <c r="R229" s="63"/>
      <c r="S229" s="27"/>
      <c r="T229" s="28"/>
      <c r="U229" s="43"/>
      <c r="V229" s="29">
        <f t="shared" si="27"/>
        <v>-56</v>
      </c>
      <c r="W229" s="29">
        <f t="shared" si="28"/>
        <v>-56</v>
      </c>
      <c r="X229" s="29"/>
      <c r="Y229" s="29"/>
      <c r="AA229" s="250"/>
      <c r="AB229" s="156"/>
      <c r="AC229"/>
      <c r="AD229"/>
      <c r="AE229" s="156"/>
      <c r="AF229"/>
      <c r="AG229"/>
      <c r="AH229"/>
      <c r="AI229"/>
      <c r="AJ229"/>
    </row>
    <row r="230" spans="1:36" s="12" customFormat="1" hidden="1" outlineLevel="1">
      <c r="A230" s="95">
        <v>45326</v>
      </c>
      <c r="B230" s="25" t="s">
        <v>17</v>
      </c>
      <c r="C230" s="26"/>
      <c r="D230" s="29"/>
      <c r="E230" s="29">
        <f t="shared" si="26"/>
        <v>-26</v>
      </c>
      <c r="G230" s="64"/>
      <c r="H230" s="63"/>
      <c r="I230" s="27"/>
      <c r="J230" s="28"/>
      <c r="K230" s="43"/>
      <c r="L230" s="29"/>
      <c r="M230" s="29"/>
      <c r="N230" s="29"/>
      <c r="O230" s="29"/>
      <c r="Q230" s="79"/>
      <c r="R230" s="63"/>
      <c r="S230" s="27"/>
      <c r="T230" s="28"/>
      <c r="U230" s="43"/>
      <c r="V230" s="29">
        <f t="shared" si="27"/>
        <v>-56</v>
      </c>
      <c r="W230" s="29">
        <f t="shared" si="28"/>
        <v>-56</v>
      </c>
      <c r="X230" s="29"/>
      <c r="Y230" s="29"/>
      <c r="AA230" s="250"/>
      <c r="AB230" s="156"/>
      <c r="AC230"/>
      <c r="AD230"/>
      <c r="AE230" s="156"/>
      <c r="AF230"/>
      <c r="AG230"/>
      <c r="AH230"/>
      <c r="AI230"/>
      <c r="AJ230"/>
    </row>
    <row r="231" spans="1:36" hidden="1" outlineLevel="1">
      <c r="A231" s="96">
        <v>45327</v>
      </c>
      <c r="B231" s="17" t="s">
        <v>18</v>
      </c>
      <c r="C231" s="18">
        <v>66</v>
      </c>
      <c r="D231" s="23">
        <v>74</v>
      </c>
      <c r="E231" s="23">
        <f t="shared" si="26"/>
        <v>-18</v>
      </c>
      <c r="G231" s="19"/>
      <c r="H231" s="62"/>
      <c r="I231" s="20"/>
      <c r="J231" s="21"/>
      <c r="K231" s="42"/>
      <c r="L231" s="23"/>
      <c r="M231" s="23"/>
      <c r="N231" s="23"/>
      <c r="O231" s="23"/>
      <c r="Q231" s="78">
        <v>51</v>
      </c>
      <c r="R231" s="62">
        <f>C227+S231</f>
        <v>72</v>
      </c>
      <c r="S231" s="20"/>
      <c r="T231" s="21"/>
      <c r="U231" s="57">
        <v>72</v>
      </c>
      <c r="V231" s="23">
        <f t="shared" si="27"/>
        <v>-35</v>
      </c>
      <c r="W231" s="23">
        <f t="shared" si="28"/>
        <v>-35</v>
      </c>
      <c r="X231" s="23"/>
      <c r="Y231" s="23">
        <v>0</v>
      </c>
      <c r="AA231" s="250"/>
      <c r="AB231" s="156"/>
      <c r="AC231"/>
      <c r="AD231"/>
      <c r="AE231" s="156"/>
      <c r="AF231"/>
      <c r="AG231"/>
    </row>
    <row r="232" spans="1:36" hidden="1" outlineLevel="1">
      <c r="A232" s="96">
        <v>45328</v>
      </c>
      <c r="B232" s="17" t="s">
        <v>19</v>
      </c>
      <c r="C232" s="18">
        <v>66</v>
      </c>
      <c r="D232" s="23">
        <v>73</v>
      </c>
      <c r="E232" s="23">
        <f t="shared" si="26"/>
        <v>-11</v>
      </c>
      <c r="G232" s="19"/>
      <c r="H232" s="62"/>
      <c r="I232" s="20"/>
      <c r="J232" s="21"/>
      <c r="K232" s="42"/>
      <c r="L232" s="23"/>
      <c r="M232" s="23"/>
      <c r="N232" s="23"/>
      <c r="O232" s="23"/>
      <c r="Q232" s="78">
        <v>69</v>
      </c>
      <c r="R232" s="62">
        <f>C228+S232</f>
        <v>72</v>
      </c>
      <c r="S232" s="20"/>
      <c r="T232" s="21"/>
      <c r="U232" s="57">
        <v>72</v>
      </c>
      <c r="V232" s="23">
        <f t="shared" si="27"/>
        <v>-32</v>
      </c>
      <c r="W232" s="23">
        <f t="shared" si="28"/>
        <v>-32</v>
      </c>
      <c r="X232" s="23"/>
      <c r="Y232" s="23">
        <v>0</v>
      </c>
      <c r="AA232" s="250"/>
      <c r="AB232" s="156"/>
      <c r="AC232"/>
      <c r="AD232"/>
      <c r="AE232" s="156"/>
      <c r="AF232"/>
      <c r="AG232"/>
    </row>
    <row r="233" spans="1:36" hidden="1" outlineLevel="1">
      <c r="A233" s="96">
        <v>45329</v>
      </c>
      <c r="B233" s="17" t="s">
        <v>20</v>
      </c>
      <c r="C233" s="18">
        <v>66</v>
      </c>
      <c r="D233" s="23">
        <v>71</v>
      </c>
      <c r="E233" s="23">
        <f t="shared" si="26"/>
        <v>-6</v>
      </c>
      <c r="G233" s="19"/>
      <c r="H233" s="62"/>
      <c r="I233" s="20"/>
      <c r="J233" s="21"/>
      <c r="K233" s="42"/>
      <c r="L233" s="23"/>
      <c r="M233" s="23"/>
      <c r="N233" s="23"/>
      <c r="O233" s="23"/>
      <c r="Q233" s="78">
        <v>51</v>
      </c>
      <c r="R233" s="62">
        <f>C231+S233</f>
        <v>66</v>
      </c>
      <c r="S233" s="20"/>
      <c r="T233" s="21"/>
      <c r="U233" s="57">
        <v>66</v>
      </c>
      <c r="V233" s="23">
        <f t="shared" si="27"/>
        <v>-17</v>
      </c>
      <c r="W233" s="23">
        <f t="shared" si="28"/>
        <v>-17</v>
      </c>
      <c r="X233" s="23"/>
      <c r="Y233" s="23">
        <v>24</v>
      </c>
      <c r="AA233" s="250"/>
      <c r="AB233" s="156"/>
      <c r="AC233"/>
      <c r="AD233"/>
      <c r="AE233" s="156"/>
      <c r="AF233"/>
      <c r="AG233"/>
    </row>
    <row r="234" spans="1:36" hidden="1" outlineLevel="1">
      <c r="A234" s="96">
        <v>45330</v>
      </c>
      <c r="B234" s="17" t="s">
        <v>14</v>
      </c>
      <c r="C234" s="18">
        <v>60</v>
      </c>
      <c r="D234" s="23">
        <v>63</v>
      </c>
      <c r="E234" s="23">
        <f t="shared" si="26"/>
        <v>-3</v>
      </c>
      <c r="G234" s="19"/>
      <c r="H234" s="62"/>
      <c r="I234" s="20"/>
      <c r="J234" s="21"/>
      <c r="K234" s="42"/>
      <c r="L234" s="23"/>
      <c r="M234" s="23"/>
      <c r="N234" s="23"/>
      <c r="O234" s="23"/>
      <c r="Q234" s="78">
        <v>72</v>
      </c>
      <c r="R234" s="62">
        <f>C232+S234</f>
        <v>66</v>
      </c>
      <c r="S234" s="20"/>
      <c r="T234" s="21"/>
      <c r="U234" s="57">
        <v>66</v>
      </c>
      <c r="V234" s="23">
        <f t="shared" si="27"/>
        <v>-23</v>
      </c>
      <c r="W234" s="23">
        <f t="shared" si="28"/>
        <v>-23</v>
      </c>
      <c r="X234" s="23"/>
      <c r="Y234" s="23">
        <v>0</v>
      </c>
      <c r="AA234" s="250"/>
      <c r="AB234" s="156"/>
      <c r="AC234"/>
      <c r="AD234"/>
      <c r="AE234" s="156"/>
      <c r="AF234"/>
      <c r="AG234"/>
    </row>
    <row r="235" spans="1:36" hidden="1" outlineLevel="1">
      <c r="A235" s="96">
        <v>45331</v>
      </c>
      <c r="B235" s="17" t="s">
        <v>15</v>
      </c>
      <c r="C235" s="18">
        <v>60</v>
      </c>
      <c r="D235" s="23">
        <v>67</v>
      </c>
      <c r="E235" s="23">
        <f t="shared" si="26"/>
        <v>4</v>
      </c>
      <c r="G235" s="19"/>
      <c r="H235" s="62"/>
      <c r="I235" s="20"/>
      <c r="J235" s="21"/>
      <c r="K235" s="42"/>
      <c r="L235" s="23"/>
      <c r="M235" s="23"/>
      <c r="N235" s="23"/>
      <c r="O235" s="23"/>
      <c r="Q235" s="78">
        <v>51</v>
      </c>
      <c r="R235" s="62">
        <f>C233+S235</f>
        <v>66</v>
      </c>
      <c r="S235" s="20"/>
      <c r="T235" s="21"/>
      <c r="U235" s="57">
        <v>66</v>
      </c>
      <c r="V235" s="23">
        <f t="shared" si="27"/>
        <v>-8</v>
      </c>
      <c r="W235" s="23">
        <f t="shared" si="28"/>
        <v>-8</v>
      </c>
      <c r="X235" s="23"/>
      <c r="Y235" s="23">
        <v>0</v>
      </c>
      <c r="Z235" s="1">
        <f>AVERAGE(Q231:Q235)</f>
        <v>58.8</v>
      </c>
      <c r="AA235" s="250"/>
      <c r="AB235" s="156"/>
      <c r="AC235"/>
      <c r="AD235"/>
      <c r="AE235" s="156"/>
      <c r="AF235"/>
      <c r="AG235"/>
    </row>
    <row r="236" spans="1:36" s="12" customFormat="1" hidden="1" outlineLevel="1">
      <c r="A236" s="95">
        <v>45332</v>
      </c>
      <c r="B236" s="25" t="s">
        <v>16</v>
      </c>
      <c r="C236" s="26"/>
      <c r="D236" s="29"/>
      <c r="E236" s="29">
        <f t="shared" si="26"/>
        <v>4</v>
      </c>
      <c r="G236" s="64"/>
      <c r="H236" s="63"/>
      <c r="I236" s="27"/>
      <c r="J236" s="28"/>
      <c r="K236" s="43"/>
      <c r="L236" s="29"/>
      <c r="M236" s="29"/>
      <c r="N236" s="29"/>
      <c r="O236" s="29"/>
      <c r="Q236" s="64"/>
      <c r="R236" s="63"/>
      <c r="S236" s="27"/>
      <c r="T236" s="28"/>
      <c r="U236" s="43"/>
      <c r="V236" s="29">
        <f t="shared" si="27"/>
        <v>-8</v>
      </c>
      <c r="W236" s="29">
        <f t="shared" si="28"/>
        <v>-8</v>
      </c>
      <c r="X236" s="29"/>
      <c r="Y236" s="29"/>
      <c r="AA236"/>
      <c r="AB236" s="156"/>
      <c r="AC236"/>
      <c r="AD236"/>
      <c r="AE236" s="156"/>
      <c r="AF236"/>
      <c r="AG236"/>
      <c r="AH236"/>
      <c r="AI236"/>
      <c r="AJ236"/>
    </row>
    <row r="237" spans="1:36" s="12" customFormat="1" hidden="1" outlineLevel="1">
      <c r="A237" s="95">
        <v>45333</v>
      </c>
      <c r="B237" s="25" t="s">
        <v>17</v>
      </c>
      <c r="C237" s="26"/>
      <c r="D237" s="29"/>
      <c r="E237" s="29">
        <f t="shared" si="26"/>
        <v>4</v>
      </c>
      <c r="G237" s="64"/>
      <c r="H237" s="63"/>
      <c r="I237" s="27"/>
      <c r="J237" s="28"/>
      <c r="K237" s="43"/>
      <c r="L237" s="29"/>
      <c r="M237" s="29"/>
      <c r="N237" s="29"/>
      <c r="O237" s="29"/>
      <c r="Q237" s="64"/>
      <c r="R237" s="63"/>
      <c r="S237" s="27"/>
      <c r="T237" s="28"/>
      <c r="U237" s="43"/>
      <c r="V237" s="29">
        <f t="shared" si="27"/>
        <v>-8</v>
      </c>
      <c r="W237" s="29">
        <f t="shared" si="28"/>
        <v>-8</v>
      </c>
      <c r="X237" s="29"/>
      <c r="Y237" s="29"/>
      <c r="AA237"/>
      <c r="AB237" s="156"/>
      <c r="AC237"/>
      <c r="AD237"/>
      <c r="AE237" s="156"/>
      <c r="AF237"/>
      <c r="AG237"/>
      <c r="AH237"/>
      <c r="AI237"/>
      <c r="AJ237"/>
    </row>
    <row r="238" spans="1:36" s="12" customFormat="1" hidden="1" outlineLevel="1">
      <c r="A238" s="95">
        <v>45334</v>
      </c>
      <c r="B238" s="25" t="s">
        <v>18</v>
      </c>
      <c r="C238" s="89">
        <v>0</v>
      </c>
      <c r="D238" s="29"/>
      <c r="E238" s="29">
        <f t="shared" si="26"/>
        <v>4</v>
      </c>
      <c r="G238" s="64"/>
      <c r="H238" s="63"/>
      <c r="I238" s="27"/>
      <c r="J238" s="28"/>
      <c r="K238" s="43"/>
      <c r="L238" s="29"/>
      <c r="M238" s="29"/>
      <c r="N238" s="29"/>
      <c r="O238" s="29"/>
      <c r="Q238" s="64"/>
      <c r="R238" s="63"/>
      <c r="S238" s="27"/>
      <c r="T238" s="28"/>
      <c r="U238" s="43"/>
      <c r="V238" s="29">
        <f t="shared" si="27"/>
        <v>-8</v>
      </c>
      <c r="W238" s="29">
        <f t="shared" si="28"/>
        <v>-8</v>
      </c>
      <c r="X238" s="29"/>
      <c r="Y238" s="29">
        <v>12</v>
      </c>
      <c r="AA238"/>
      <c r="AB238" s="156"/>
      <c r="AC238"/>
      <c r="AD238"/>
      <c r="AE238" s="156"/>
      <c r="AF238"/>
      <c r="AG238"/>
      <c r="AH238"/>
      <c r="AI238"/>
      <c r="AJ238"/>
    </row>
    <row r="239" spans="1:36" hidden="1" outlineLevel="1">
      <c r="A239" s="96">
        <v>45335</v>
      </c>
      <c r="B239" s="17" t="s">
        <v>19</v>
      </c>
      <c r="C239" s="18">
        <v>48</v>
      </c>
      <c r="D239" s="23">
        <v>55</v>
      </c>
      <c r="E239" s="23">
        <f t="shared" si="26"/>
        <v>11</v>
      </c>
      <c r="G239" s="19"/>
      <c r="H239" s="62"/>
      <c r="I239" s="20"/>
      <c r="J239" s="21"/>
      <c r="K239" s="42"/>
      <c r="L239" s="23"/>
      <c r="M239" s="23"/>
      <c r="N239" s="23"/>
      <c r="O239" s="23"/>
      <c r="Q239" s="78">
        <v>69</v>
      </c>
      <c r="R239" s="62">
        <f>C234+S239</f>
        <v>60</v>
      </c>
      <c r="S239" s="20"/>
      <c r="T239" s="21"/>
      <c r="U239" s="57">
        <v>60</v>
      </c>
      <c r="V239" s="23">
        <f t="shared" si="27"/>
        <v>-17</v>
      </c>
      <c r="W239" s="23">
        <f t="shared" si="28"/>
        <v>-17</v>
      </c>
      <c r="X239" s="23"/>
      <c r="Y239" s="23">
        <v>0</v>
      </c>
      <c r="AA239" s="250"/>
      <c r="AB239" s="156"/>
      <c r="AC239"/>
      <c r="AD239"/>
      <c r="AE239" s="156"/>
      <c r="AF239"/>
      <c r="AG239"/>
    </row>
    <row r="240" spans="1:36" ht="18" hidden="1" customHeight="1" outlineLevel="1">
      <c r="A240" s="96">
        <v>45336</v>
      </c>
      <c r="B240" s="17" t="s">
        <v>20</v>
      </c>
      <c r="C240" s="18">
        <v>48</v>
      </c>
      <c r="D240" s="23">
        <v>45</v>
      </c>
      <c r="E240" s="23">
        <f t="shared" si="26"/>
        <v>8</v>
      </c>
      <c r="G240" s="19"/>
      <c r="H240" s="62"/>
      <c r="I240" s="20"/>
      <c r="J240" s="21"/>
      <c r="K240" s="42"/>
      <c r="L240" s="23"/>
      <c r="M240" s="23"/>
      <c r="N240" s="23"/>
      <c r="O240" s="23"/>
      <c r="Q240" s="78">
        <v>57</v>
      </c>
      <c r="R240" s="62">
        <f>C235+S240</f>
        <v>60</v>
      </c>
      <c r="S240" s="20"/>
      <c r="T240" s="21"/>
      <c r="U240" s="57">
        <v>60</v>
      </c>
      <c r="V240" s="23">
        <f t="shared" si="27"/>
        <v>-14</v>
      </c>
      <c r="W240" s="23">
        <f t="shared" si="28"/>
        <v>-14</v>
      </c>
      <c r="X240" s="23"/>
      <c r="Y240" s="23">
        <v>12</v>
      </c>
      <c r="AA240" s="250"/>
      <c r="AB240" s="156"/>
      <c r="AC240"/>
      <c r="AD240"/>
      <c r="AE240" s="156"/>
      <c r="AF240"/>
      <c r="AG240"/>
    </row>
    <row r="241" spans="1:36" hidden="1" outlineLevel="1">
      <c r="A241" s="96">
        <v>45337</v>
      </c>
      <c r="B241" s="17" t="s">
        <v>14</v>
      </c>
      <c r="C241" s="18">
        <f>48+5</f>
        <v>53</v>
      </c>
      <c r="D241" s="23">
        <v>61</v>
      </c>
      <c r="E241" s="23">
        <f t="shared" si="26"/>
        <v>16</v>
      </c>
      <c r="G241" s="19"/>
      <c r="H241" s="62"/>
      <c r="I241" s="20"/>
      <c r="J241" s="21"/>
      <c r="K241" s="42"/>
      <c r="L241" s="23"/>
      <c r="M241" s="23"/>
      <c r="N241" s="23"/>
      <c r="O241" s="23"/>
      <c r="Q241" s="78">
        <v>36</v>
      </c>
      <c r="R241" s="62">
        <f>C239+S241</f>
        <v>48</v>
      </c>
      <c r="S241" s="20"/>
      <c r="T241" s="21"/>
      <c r="U241" s="57">
        <v>48</v>
      </c>
      <c r="V241" s="23">
        <f t="shared" si="27"/>
        <v>-2</v>
      </c>
      <c r="W241" s="23">
        <f t="shared" si="28"/>
        <v>-2</v>
      </c>
      <c r="X241" s="23"/>
      <c r="Y241" s="23">
        <v>12</v>
      </c>
      <c r="AA241" s="250"/>
      <c r="AB241" s="156"/>
      <c r="AC241"/>
      <c r="AD241"/>
      <c r="AE241" s="156"/>
      <c r="AF241"/>
      <c r="AG241"/>
    </row>
    <row r="242" spans="1:36" hidden="1" outlineLevel="1">
      <c r="A242" s="96">
        <v>45338</v>
      </c>
      <c r="B242" s="17" t="s">
        <v>15</v>
      </c>
      <c r="C242" s="18">
        <v>48</v>
      </c>
      <c r="D242" s="23">
        <v>54</v>
      </c>
      <c r="E242" s="23">
        <f t="shared" si="26"/>
        <v>22</v>
      </c>
      <c r="G242" s="19"/>
      <c r="H242" s="62"/>
      <c r="I242" s="20"/>
      <c r="J242" s="21"/>
      <c r="K242" s="42"/>
      <c r="L242" s="23"/>
      <c r="M242" s="23"/>
      <c r="N242" s="23"/>
      <c r="O242" s="23"/>
      <c r="Q242" s="78">
        <f>66+57</f>
        <v>123</v>
      </c>
      <c r="R242" s="62">
        <f>C240+S242</f>
        <v>48</v>
      </c>
      <c r="S242" s="20"/>
      <c r="T242" s="21"/>
      <c r="U242" s="57">
        <v>48</v>
      </c>
      <c r="V242" s="23">
        <f t="shared" si="27"/>
        <v>-77</v>
      </c>
      <c r="W242" s="23">
        <f t="shared" si="28"/>
        <v>-77</v>
      </c>
      <c r="X242" s="23"/>
      <c r="Y242" s="23">
        <f>12+4</f>
        <v>16</v>
      </c>
      <c r="Z242" s="1">
        <f>AVERAGE(Q239:Q242)</f>
        <v>71.25</v>
      </c>
      <c r="AA242" s="250"/>
      <c r="AB242" s="156"/>
      <c r="AC242"/>
      <c r="AD242"/>
      <c r="AE242" s="156"/>
      <c r="AF242"/>
      <c r="AG242"/>
    </row>
    <row r="243" spans="1:36" s="12" customFormat="1" hidden="1" outlineLevel="1" collapsed="1">
      <c r="A243" s="95">
        <v>45339</v>
      </c>
      <c r="B243" s="25" t="s">
        <v>16</v>
      </c>
      <c r="C243" s="26"/>
      <c r="D243" s="29"/>
      <c r="E243" s="29">
        <f t="shared" si="26"/>
        <v>22</v>
      </c>
      <c r="G243" s="64"/>
      <c r="H243" s="63"/>
      <c r="I243" s="27"/>
      <c r="J243" s="28"/>
      <c r="K243" s="43"/>
      <c r="L243" s="29"/>
      <c r="M243" s="29"/>
      <c r="N243" s="29"/>
      <c r="O243" s="29"/>
      <c r="Q243" s="64"/>
      <c r="R243" s="63"/>
      <c r="S243" s="27"/>
      <c r="T243" s="28"/>
      <c r="U243" s="43"/>
      <c r="V243" s="29">
        <f t="shared" si="27"/>
        <v>-77</v>
      </c>
      <c r="W243" s="29">
        <f t="shared" si="28"/>
        <v>-77</v>
      </c>
      <c r="X243" s="29"/>
      <c r="Y243" s="29"/>
      <c r="AA243"/>
      <c r="AB243" s="156"/>
      <c r="AC243"/>
      <c r="AD243"/>
      <c r="AE243" s="156"/>
      <c r="AF243"/>
      <c r="AG243"/>
      <c r="AH243"/>
      <c r="AI243"/>
      <c r="AJ243"/>
    </row>
    <row r="244" spans="1:36" s="12" customFormat="1" hidden="1" outlineLevel="1">
      <c r="A244" s="95">
        <v>45340</v>
      </c>
      <c r="B244" s="25" t="s">
        <v>17</v>
      </c>
      <c r="C244" s="26"/>
      <c r="D244" s="29"/>
      <c r="E244" s="29">
        <f t="shared" si="26"/>
        <v>22</v>
      </c>
      <c r="G244" s="64"/>
      <c r="H244" s="63"/>
      <c r="I244" s="27"/>
      <c r="J244" s="28"/>
      <c r="K244" s="43"/>
      <c r="L244" s="29"/>
      <c r="M244" s="29"/>
      <c r="N244" s="29"/>
      <c r="O244" s="29"/>
      <c r="Q244" s="64"/>
      <c r="R244" s="63"/>
      <c r="S244" s="27"/>
      <c r="T244" s="28"/>
      <c r="U244" s="43"/>
      <c r="V244" s="29">
        <f t="shared" si="27"/>
        <v>-77</v>
      </c>
      <c r="W244" s="29">
        <f t="shared" si="28"/>
        <v>-77</v>
      </c>
      <c r="X244" s="29"/>
      <c r="Y244" s="29"/>
      <c r="AA244"/>
      <c r="AB244" s="156"/>
      <c r="AC244"/>
      <c r="AD244"/>
      <c r="AE244" s="156"/>
      <c r="AF244"/>
      <c r="AG244"/>
      <c r="AH244"/>
      <c r="AI244"/>
      <c r="AJ244"/>
    </row>
    <row r="245" spans="1:36" hidden="1" outlineLevel="1">
      <c r="A245" s="96">
        <v>45341</v>
      </c>
      <c r="B245" s="17" t="s">
        <v>18</v>
      </c>
      <c r="C245" s="18">
        <v>60</v>
      </c>
      <c r="D245" s="23">
        <v>55</v>
      </c>
      <c r="E245" s="23">
        <f t="shared" si="26"/>
        <v>17</v>
      </c>
      <c r="G245" s="19"/>
      <c r="H245" s="62"/>
      <c r="I245" s="20"/>
      <c r="J245" s="21"/>
      <c r="K245" s="42"/>
      <c r="L245" s="23"/>
      <c r="M245" s="23"/>
      <c r="N245" s="23"/>
      <c r="O245" s="23"/>
      <c r="Q245" s="78">
        <f>125</f>
        <v>125</v>
      </c>
      <c r="R245" s="62">
        <f>C241+S245</f>
        <v>53</v>
      </c>
      <c r="S245" s="20"/>
      <c r="T245" s="21"/>
      <c r="U245" s="57">
        <v>53</v>
      </c>
      <c r="V245" s="23">
        <f>V244-Q245+U245</f>
        <v>-149</v>
      </c>
      <c r="W245" s="23">
        <f t="shared" si="28"/>
        <v>-149</v>
      </c>
      <c r="X245" s="23"/>
      <c r="Y245" s="23">
        <v>12</v>
      </c>
      <c r="AA245" s="250"/>
      <c r="AB245" s="156"/>
      <c r="AC245"/>
      <c r="AD245"/>
      <c r="AE245" s="156"/>
      <c r="AF245"/>
      <c r="AG245"/>
    </row>
    <row r="246" spans="1:36" hidden="1" outlineLevel="1">
      <c r="A246" s="96">
        <v>45342</v>
      </c>
      <c r="B246" s="17" t="s">
        <v>19</v>
      </c>
      <c r="C246" s="18">
        <v>60</v>
      </c>
      <c r="D246" s="23">
        <v>60</v>
      </c>
      <c r="E246" s="23">
        <f t="shared" si="26"/>
        <v>17</v>
      </c>
      <c r="G246" s="19"/>
      <c r="H246" s="62"/>
      <c r="I246" s="20"/>
      <c r="J246" s="21"/>
      <c r="K246" s="42"/>
      <c r="L246" s="23"/>
      <c r="M246" s="23"/>
      <c r="N246" s="23"/>
      <c r="O246" s="23"/>
      <c r="Q246" s="78">
        <v>69</v>
      </c>
      <c r="R246" s="62">
        <f>C242+S246</f>
        <v>48</v>
      </c>
      <c r="S246" s="20"/>
      <c r="T246" s="21"/>
      <c r="U246" s="57">
        <v>48</v>
      </c>
      <c r="V246" s="23">
        <f t="shared" si="27"/>
        <v>-170</v>
      </c>
      <c r="W246" s="23">
        <f t="shared" si="28"/>
        <v>-170</v>
      </c>
      <c r="X246" s="23"/>
      <c r="Y246" s="23">
        <v>11</v>
      </c>
      <c r="AA246" s="250"/>
      <c r="AB246" s="156"/>
      <c r="AC246"/>
      <c r="AD246"/>
      <c r="AE246" s="156"/>
      <c r="AF246"/>
      <c r="AG246"/>
    </row>
    <row r="247" spans="1:36" hidden="1" outlineLevel="1">
      <c r="A247" s="96">
        <v>45343</v>
      </c>
      <c r="B247" s="17" t="s">
        <v>20</v>
      </c>
      <c r="C247" s="18">
        <v>54</v>
      </c>
      <c r="D247" s="23">
        <v>54</v>
      </c>
      <c r="E247" s="23">
        <f t="shared" si="26"/>
        <v>17</v>
      </c>
      <c r="G247" s="19"/>
      <c r="H247" s="62"/>
      <c r="I247" s="20"/>
      <c r="J247" s="21"/>
      <c r="K247" s="42"/>
      <c r="L247" s="23"/>
      <c r="M247" s="23"/>
      <c r="N247" s="23"/>
      <c r="O247" s="23"/>
      <c r="Q247" s="78">
        <v>66</v>
      </c>
      <c r="R247" s="62">
        <f>C245+S247</f>
        <v>60</v>
      </c>
      <c r="S247" s="20"/>
      <c r="T247" s="21"/>
      <c r="U247" s="57">
        <v>60</v>
      </c>
      <c r="V247" s="23">
        <f t="shared" si="27"/>
        <v>-176</v>
      </c>
      <c r="W247" s="23">
        <f t="shared" si="28"/>
        <v>-176</v>
      </c>
      <c r="X247" s="23"/>
      <c r="Y247" s="23">
        <v>6</v>
      </c>
      <c r="AA247" s="250"/>
      <c r="AB247" s="156"/>
      <c r="AC247"/>
      <c r="AD247"/>
      <c r="AE247" s="156"/>
      <c r="AF247"/>
      <c r="AG247"/>
    </row>
    <row r="248" spans="1:36" hidden="1" outlineLevel="1">
      <c r="A248" s="96">
        <v>45344</v>
      </c>
      <c r="B248" s="17" t="s">
        <v>14</v>
      </c>
      <c r="C248" s="18">
        <v>54</v>
      </c>
      <c r="D248" s="23">
        <v>54</v>
      </c>
      <c r="E248" s="23">
        <f t="shared" si="26"/>
        <v>17</v>
      </c>
      <c r="G248" s="19"/>
      <c r="H248" s="62"/>
      <c r="I248" s="20"/>
      <c r="J248" s="21"/>
      <c r="K248" s="42"/>
      <c r="L248" s="23"/>
      <c r="M248" s="23"/>
      <c r="N248" s="23"/>
      <c r="O248" s="23"/>
      <c r="Q248" s="78">
        <v>57</v>
      </c>
      <c r="R248" s="62">
        <f>C246+S248</f>
        <v>60</v>
      </c>
      <c r="S248" s="20"/>
      <c r="T248" s="21"/>
      <c r="U248" s="57">
        <v>60</v>
      </c>
      <c r="V248" s="23">
        <f t="shared" si="27"/>
        <v>-173</v>
      </c>
      <c r="W248" s="23">
        <f t="shared" si="28"/>
        <v>-173</v>
      </c>
      <c r="X248" s="23"/>
      <c r="Y248" s="23">
        <v>6</v>
      </c>
      <c r="AA248" s="250"/>
      <c r="AB248" s="156"/>
      <c r="AC248"/>
      <c r="AD248"/>
      <c r="AE248" s="156"/>
      <c r="AF248"/>
      <c r="AG248"/>
    </row>
    <row r="249" spans="1:36" hidden="1" outlineLevel="1">
      <c r="A249" s="96">
        <v>45345</v>
      </c>
      <c r="B249" s="17" t="s">
        <v>15</v>
      </c>
      <c r="C249" s="18">
        <v>54</v>
      </c>
      <c r="D249" s="23">
        <v>54</v>
      </c>
      <c r="E249" s="23">
        <f t="shared" si="26"/>
        <v>17</v>
      </c>
      <c r="G249" s="19"/>
      <c r="H249" s="62"/>
      <c r="I249" s="20"/>
      <c r="J249" s="21"/>
      <c r="K249" s="42"/>
      <c r="L249" s="23"/>
      <c r="M249" s="23"/>
      <c r="N249" s="23"/>
      <c r="O249" s="23"/>
      <c r="Q249" s="78">
        <v>21</v>
      </c>
      <c r="R249" s="62">
        <f>C247+S249</f>
        <v>54</v>
      </c>
      <c r="S249" s="20"/>
      <c r="T249" s="21"/>
      <c r="U249" s="57">
        <v>54</v>
      </c>
      <c r="V249" s="23">
        <f t="shared" si="27"/>
        <v>-140</v>
      </c>
      <c r="W249" s="23">
        <f t="shared" si="28"/>
        <v>-140</v>
      </c>
      <c r="X249" s="23"/>
      <c r="Y249" s="23">
        <v>6</v>
      </c>
      <c r="Z249" s="1">
        <f>AVERAGE(Q245:Q249)</f>
        <v>67.599999999999994</v>
      </c>
      <c r="AA249" s="250"/>
      <c r="AB249" s="156"/>
      <c r="AC249"/>
      <c r="AD249"/>
      <c r="AE249" s="156"/>
      <c r="AF249"/>
      <c r="AG249"/>
    </row>
    <row r="250" spans="1:36" s="12" customFormat="1" hidden="1" outlineLevel="1">
      <c r="A250" s="95">
        <v>45346</v>
      </c>
      <c r="B250" s="25" t="s">
        <v>16</v>
      </c>
      <c r="C250" s="26"/>
      <c r="D250" s="29"/>
      <c r="E250" s="29">
        <f t="shared" si="26"/>
        <v>17</v>
      </c>
      <c r="G250" s="64"/>
      <c r="H250" s="63"/>
      <c r="I250" s="27"/>
      <c r="J250" s="28"/>
      <c r="K250" s="43"/>
      <c r="L250" s="29"/>
      <c r="M250" s="29"/>
      <c r="N250" s="29"/>
      <c r="O250" s="29"/>
      <c r="Q250" s="64"/>
      <c r="R250" s="63"/>
      <c r="S250" s="27"/>
      <c r="T250" s="28"/>
      <c r="U250" s="43"/>
      <c r="V250" s="29">
        <f t="shared" si="27"/>
        <v>-140</v>
      </c>
      <c r="W250" s="29">
        <f t="shared" si="28"/>
        <v>-140</v>
      </c>
      <c r="X250" s="29"/>
      <c r="Y250" s="29"/>
      <c r="AA250"/>
      <c r="AB250" s="156"/>
      <c r="AC250"/>
      <c r="AD250"/>
      <c r="AE250" s="156"/>
      <c r="AF250"/>
      <c r="AG250"/>
      <c r="AH250"/>
      <c r="AI250"/>
      <c r="AJ250"/>
    </row>
    <row r="251" spans="1:36" s="12" customFormat="1" hidden="1" outlineLevel="1">
      <c r="A251" s="95">
        <v>45347</v>
      </c>
      <c r="B251" s="25" t="s">
        <v>17</v>
      </c>
      <c r="C251" s="26"/>
      <c r="D251" s="29"/>
      <c r="E251" s="29">
        <f t="shared" si="26"/>
        <v>17</v>
      </c>
      <c r="G251" s="64"/>
      <c r="H251" s="63"/>
      <c r="I251" s="27"/>
      <c r="J251" s="28"/>
      <c r="K251" s="43"/>
      <c r="L251" s="29"/>
      <c r="M251" s="29"/>
      <c r="N251" s="29"/>
      <c r="O251" s="29"/>
      <c r="Q251" s="64"/>
      <c r="R251" s="63"/>
      <c r="S251" s="27"/>
      <c r="T251" s="28"/>
      <c r="U251" s="43"/>
      <c r="V251" s="29">
        <f t="shared" si="27"/>
        <v>-140</v>
      </c>
      <c r="W251" s="29">
        <f t="shared" si="28"/>
        <v>-140</v>
      </c>
      <c r="X251" s="29"/>
      <c r="Y251" s="29"/>
      <c r="AA251"/>
      <c r="AB251" s="156"/>
      <c r="AC251"/>
      <c r="AD251"/>
      <c r="AE251" s="156"/>
      <c r="AF251"/>
      <c r="AG251"/>
      <c r="AH251"/>
      <c r="AI251"/>
      <c r="AJ251"/>
    </row>
    <row r="252" spans="1:36" hidden="1" outlineLevel="1">
      <c r="A252" s="96">
        <v>45348</v>
      </c>
      <c r="B252" s="17" t="s">
        <v>18</v>
      </c>
      <c r="C252" s="18">
        <v>60</v>
      </c>
      <c r="D252" s="23">
        <v>64</v>
      </c>
      <c r="E252" s="23">
        <f t="shared" si="26"/>
        <v>21</v>
      </c>
      <c r="G252" s="19"/>
      <c r="H252" s="62"/>
      <c r="I252" s="20"/>
      <c r="J252" s="21"/>
      <c r="K252" s="42"/>
      <c r="L252" s="23"/>
      <c r="M252" s="23"/>
      <c r="N252" s="23"/>
      <c r="O252" s="23"/>
      <c r="Q252" s="78">
        <v>54</v>
      </c>
      <c r="R252" s="62">
        <f>C248+S252</f>
        <v>54</v>
      </c>
      <c r="S252" s="20"/>
      <c r="T252" s="21"/>
      <c r="U252" s="57">
        <v>54</v>
      </c>
      <c r="V252" s="23">
        <f t="shared" si="27"/>
        <v>-140</v>
      </c>
      <c r="W252" s="23">
        <f t="shared" si="28"/>
        <v>-140</v>
      </c>
      <c r="X252" s="23"/>
      <c r="Y252" s="23">
        <v>20</v>
      </c>
      <c r="AA252" s="250"/>
      <c r="AB252" s="156"/>
      <c r="AC252"/>
      <c r="AD252"/>
      <c r="AE252" s="156"/>
      <c r="AF252"/>
      <c r="AG252"/>
    </row>
    <row r="253" spans="1:36" hidden="1" outlineLevel="1">
      <c r="A253" s="96">
        <v>45349</v>
      </c>
      <c r="B253" s="17" t="s">
        <v>19</v>
      </c>
      <c r="C253" s="18">
        <v>60</v>
      </c>
      <c r="D253" s="23">
        <v>60</v>
      </c>
      <c r="E253" s="23">
        <f t="shared" si="26"/>
        <v>21</v>
      </c>
      <c r="G253" s="19"/>
      <c r="H253" s="62"/>
      <c r="I253" s="20"/>
      <c r="J253" s="21"/>
      <c r="K253" s="42"/>
      <c r="L253" s="23"/>
      <c r="M253" s="23"/>
      <c r="N253" s="23"/>
      <c r="O253" s="23"/>
      <c r="Q253" s="78">
        <v>69</v>
      </c>
      <c r="R253" s="62">
        <f>C249+S253</f>
        <v>54</v>
      </c>
      <c r="S253" s="20"/>
      <c r="T253" s="21"/>
      <c r="U253" s="57">
        <v>54</v>
      </c>
      <c r="V253" s="23">
        <f t="shared" si="27"/>
        <v>-155</v>
      </c>
      <c r="W253" s="23">
        <f t="shared" si="28"/>
        <v>-155</v>
      </c>
      <c r="X253" s="23"/>
      <c r="Y253" s="23">
        <v>8</v>
      </c>
      <c r="AA253" s="250"/>
      <c r="AB253" s="156"/>
      <c r="AC253"/>
      <c r="AD253"/>
      <c r="AE253" s="156"/>
      <c r="AF253"/>
      <c r="AG253"/>
    </row>
    <row r="254" spans="1:36" hidden="1" outlineLevel="1">
      <c r="A254" s="96">
        <v>45350</v>
      </c>
      <c r="B254" s="17" t="s">
        <v>20</v>
      </c>
      <c r="C254" s="18">
        <v>60</v>
      </c>
      <c r="D254" s="23">
        <v>60</v>
      </c>
      <c r="E254" s="23">
        <f t="shared" si="26"/>
        <v>21</v>
      </c>
      <c r="G254" s="19"/>
      <c r="H254" s="62"/>
      <c r="I254" s="20"/>
      <c r="J254" s="21"/>
      <c r="K254" s="42"/>
      <c r="L254" s="23"/>
      <c r="M254" s="23"/>
      <c r="N254" s="23"/>
      <c r="O254" s="23"/>
      <c r="Q254" s="78">
        <v>69</v>
      </c>
      <c r="R254" s="62">
        <f>C252+S254</f>
        <v>60</v>
      </c>
      <c r="S254" s="20"/>
      <c r="T254" s="21"/>
      <c r="U254" s="57">
        <v>60</v>
      </c>
      <c r="V254" s="23">
        <f t="shared" si="27"/>
        <v>-164</v>
      </c>
      <c r="W254" s="23">
        <f t="shared" si="28"/>
        <v>-164</v>
      </c>
      <c r="X254" s="23"/>
      <c r="Y254" s="23">
        <v>10</v>
      </c>
      <c r="AA254" s="250"/>
      <c r="AB254" s="156"/>
      <c r="AC254"/>
      <c r="AD254"/>
      <c r="AE254" s="156"/>
      <c r="AF254"/>
      <c r="AG254"/>
    </row>
    <row r="255" spans="1:36" hidden="1" outlineLevel="1">
      <c r="A255" s="96">
        <v>45351</v>
      </c>
      <c r="B255" s="17" t="s">
        <v>14</v>
      </c>
      <c r="C255" s="18">
        <v>60</v>
      </c>
      <c r="D255" s="23">
        <v>42</v>
      </c>
      <c r="E255" s="23">
        <f t="shared" ref="E255:E288" si="29">E254-C255+D255</f>
        <v>3</v>
      </c>
      <c r="G255" s="19"/>
      <c r="H255" s="62"/>
      <c r="I255" s="20"/>
      <c r="J255" s="21"/>
      <c r="K255" s="42"/>
      <c r="L255" s="23"/>
      <c r="M255" s="23"/>
      <c r="N255" s="23"/>
      <c r="O255" s="23"/>
      <c r="Q255" s="78">
        <v>36</v>
      </c>
      <c r="R255" s="62">
        <f>C253+S255</f>
        <v>60</v>
      </c>
      <c r="S255" s="20"/>
      <c r="T255" s="21"/>
      <c r="U255" s="57">
        <v>60</v>
      </c>
      <c r="V255" s="23">
        <f t="shared" ref="V255:V288" si="30">V254-Q255+U255</f>
        <v>-140</v>
      </c>
      <c r="W255" s="23">
        <f t="shared" ref="W255:W288" si="31">W254-Q255+R255</f>
        <v>-140</v>
      </c>
      <c r="X255" s="23"/>
      <c r="Y255" s="23">
        <v>9</v>
      </c>
      <c r="AA255" s="250"/>
      <c r="AB255" s="156"/>
      <c r="AC255"/>
      <c r="AD255"/>
      <c r="AE255" s="156"/>
      <c r="AF255"/>
      <c r="AG255"/>
    </row>
    <row r="256" spans="1:36" hidden="1" outlineLevel="1">
      <c r="A256" s="96">
        <v>45352</v>
      </c>
      <c r="B256" s="17" t="s">
        <v>15</v>
      </c>
      <c r="C256" s="18">
        <v>60</v>
      </c>
      <c r="D256" s="23">
        <v>54</v>
      </c>
      <c r="E256" s="23">
        <f t="shared" si="29"/>
        <v>-3</v>
      </c>
      <c r="G256" s="19"/>
      <c r="H256" s="62"/>
      <c r="I256" s="20"/>
      <c r="J256" s="21"/>
      <c r="K256" s="42"/>
      <c r="L256" s="23"/>
      <c r="M256" s="23"/>
      <c r="N256" s="23"/>
      <c r="O256" s="23"/>
      <c r="Q256" s="78">
        <v>0</v>
      </c>
      <c r="R256" s="62">
        <f>C254+S256</f>
        <v>60</v>
      </c>
      <c r="S256" s="20"/>
      <c r="T256" s="21"/>
      <c r="U256" s="57">
        <v>60</v>
      </c>
      <c r="V256" s="23">
        <f t="shared" si="30"/>
        <v>-80</v>
      </c>
      <c r="W256" s="23">
        <f t="shared" si="31"/>
        <v>-80</v>
      </c>
      <c r="X256" s="23"/>
      <c r="Y256" s="23">
        <v>9</v>
      </c>
      <c r="Z256" s="1">
        <f>AVERAGE(Q252:Q256)</f>
        <v>45.6</v>
      </c>
      <c r="AA256" s="250"/>
      <c r="AB256" s="156"/>
      <c r="AC256"/>
      <c r="AD256"/>
      <c r="AE256" s="156"/>
      <c r="AF256"/>
      <c r="AG256"/>
    </row>
    <row r="257" spans="1:36" s="12" customFormat="1" hidden="1" outlineLevel="1" collapsed="1">
      <c r="A257" s="95">
        <v>45353</v>
      </c>
      <c r="B257" s="25" t="s">
        <v>16</v>
      </c>
      <c r="C257" s="26"/>
      <c r="D257" s="29"/>
      <c r="E257" s="29">
        <f t="shared" si="29"/>
        <v>-3</v>
      </c>
      <c r="G257" s="64"/>
      <c r="H257" s="63"/>
      <c r="I257" s="27"/>
      <c r="J257" s="28"/>
      <c r="K257" s="43"/>
      <c r="L257" s="29"/>
      <c r="M257" s="29"/>
      <c r="N257" s="29"/>
      <c r="O257" s="29"/>
      <c r="Q257" s="64"/>
      <c r="R257" s="63"/>
      <c r="S257" s="27"/>
      <c r="T257" s="28"/>
      <c r="U257" s="43"/>
      <c r="V257" s="29">
        <f t="shared" si="30"/>
        <v>-80</v>
      </c>
      <c r="W257" s="29">
        <f t="shared" si="31"/>
        <v>-80</v>
      </c>
      <c r="X257" s="29"/>
      <c r="Y257" s="29"/>
      <c r="AA257"/>
      <c r="AB257" s="156"/>
      <c r="AC257"/>
      <c r="AD257"/>
      <c r="AE257" s="156"/>
      <c r="AF257"/>
      <c r="AG257"/>
      <c r="AH257"/>
      <c r="AI257"/>
      <c r="AJ257"/>
    </row>
    <row r="258" spans="1:36" s="12" customFormat="1" hidden="1" outlineLevel="1">
      <c r="A258" s="95">
        <v>45354</v>
      </c>
      <c r="B258" s="25" t="s">
        <v>17</v>
      </c>
      <c r="C258" s="26"/>
      <c r="D258" s="29"/>
      <c r="E258" s="29">
        <f t="shared" si="29"/>
        <v>-3</v>
      </c>
      <c r="G258" s="64"/>
      <c r="H258" s="63"/>
      <c r="I258" s="27"/>
      <c r="J258" s="28"/>
      <c r="K258" s="43"/>
      <c r="L258" s="29"/>
      <c r="M258" s="29"/>
      <c r="N258" s="29"/>
      <c r="O258" s="29"/>
      <c r="Q258" s="64"/>
      <c r="R258" s="63"/>
      <c r="S258" s="27"/>
      <c r="T258" s="28"/>
      <c r="U258" s="43"/>
      <c r="V258" s="29">
        <f t="shared" si="30"/>
        <v>-80</v>
      </c>
      <c r="W258" s="29">
        <f t="shared" si="31"/>
        <v>-80</v>
      </c>
      <c r="X258" s="29"/>
      <c r="Y258" s="29"/>
      <c r="AA258"/>
      <c r="AB258" s="156"/>
      <c r="AC258"/>
      <c r="AD258"/>
      <c r="AE258" s="156"/>
      <c r="AF258"/>
      <c r="AG258"/>
      <c r="AH258"/>
      <c r="AI258"/>
      <c r="AJ258"/>
    </row>
    <row r="259" spans="1:36" hidden="1" outlineLevel="1">
      <c r="A259" s="96">
        <v>45355</v>
      </c>
      <c r="B259" s="17" t="s">
        <v>18</v>
      </c>
      <c r="C259" s="89">
        <v>0</v>
      </c>
      <c r="D259" s="23">
        <v>3</v>
      </c>
      <c r="E259" s="23">
        <f t="shared" si="29"/>
        <v>0</v>
      </c>
      <c r="G259" s="19"/>
      <c r="H259" s="62"/>
      <c r="I259" s="20"/>
      <c r="J259" s="21"/>
      <c r="K259" s="42"/>
      <c r="L259" s="23"/>
      <c r="M259" s="23"/>
      <c r="N259" s="23"/>
      <c r="O259" s="23"/>
      <c r="Q259" s="78">
        <v>54</v>
      </c>
      <c r="R259" s="62">
        <f>C255+S259</f>
        <v>60</v>
      </c>
      <c r="S259" s="20"/>
      <c r="T259" s="21"/>
      <c r="U259" s="57">
        <v>60</v>
      </c>
      <c r="V259" s="23">
        <f t="shared" si="30"/>
        <v>-74</v>
      </c>
      <c r="W259" s="23">
        <f t="shared" si="31"/>
        <v>-74</v>
      </c>
      <c r="X259" s="23"/>
      <c r="Y259" s="23">
        <v>13</v>
      </c>
      <c r="AA259" s="250"/>
      <c r="AB259" s="156"/>
      <c r="AC259"/>
      <c r="AD259"/>
      <c r="AE259" s="156"/>
      <c r="AF259"/>
      <c r="AG259"/>
    </row>
    <row r="260" spans="1:36" hidden="1" outlineLevel="1">
      <c r="A260" s="96">
        <v>45356</v>
      </c>
      <c r="B260" s="17" t="s">
        <v>19</v>
      </c>
      <c r="C260" s="18">
        <v>54</v>
      </c>
      <c r="D260" s="23">
        <v>54</v>
      </c>
      <c r="E260" s="23">
        <f t="shared" si="29"/>
        <v>0</v>
      </c>
      <c r="G260" s="19"/>
      <c r="H260" s="62"/>
      <c r="I260" s="20"/>
      <c r="J260" s="21"/>
      <c r="K260" s="42"/>
      <c r="L260" s="23"/>
      <c r="M260" s="23"/>
      <c r="N260" s="23"/>
      <c r="O260" s="23"/>
      <c r="Q260" s="78">
        <v>54</v>
      </c>
      <c r="R260" s="62">
        <f>C256+S260</f>
        <v>60</v>
      </c>
      <c r="S260" s="20"/>
      <c r="T260" s="21"/>
      <c r="U260" s="57">
        <v>60</v>
      </c>
      <c r="V260" s="23">
        <f t="shared" si="30"/>
        <v>-68</v>
      </c>
      <c r="W260" s="23">
        <f t="shared" si="31"/>
        <v>-68</v>
      </c>
      <c r="X260" s="23"/>
      <c r="Y260" s="23">
        <v>0</v>
      </c>
      <c r="AA260" s="250"/>
      <c r="AB260" s="156"/>
      <c r="AC260"/>
      <c r="AD260"/>
      <c r="AE260" s="156"/>
      <c r="AF260"/>
      <c r="AG260"/>
    </row>
    <row r="261" spans="1:36" hidden="1" outlineLevel="1">
      <c r="A261" s="96">
        <v>45357</v>
      </c>
      <c r="B261" s="17" t="s">
        <v>20</v>
      </c>
      <c r="C261" s="18">
        <v>60</v>
      </c>
      <c r="D261" s="23">
        <v>60</v>
      </c>
      <c r="E261" s="23">
        <f t="shared" si="29"/>
        <v>0</v>
      </c>
      <c r="G261" s="19"/>
      <c r="H261" s="62"/>
      <c r="I261" s="20"/>
      <c r="J261" s="21"/>
      <c r="K261" s="42"/>
      <c r="L261" s="23"/>
      <c r="M261" s="23"/>
      <c r="N261" s="23"/>
      <c r="O261" s="23"/>
      <c r="Q261" s="78">
        <v>57</v>
      </c>
      <c r="R261" s="62">
        <f>C259+S261</f>
        <v>0</v>
      </c>
      <c r="S261" s="20"/>
      <c r="T261" s="21"/>
      <c r="U261" s="57">
        <v>0</v>
      </c>
      <c r="V261" s="23">
        <f t="shared" si="30"/>
        <v>-125</v>
      </c>
      <c r="W261" s="23">
        <f t="shared" si="31"/>
        <v>-125</v>
      </c>
      <c r="X261" s="23"/>
      <c r="Y261" s="23">
        <v>10</v>
      </c>
      <c r="AA261" s="250"/>
      <c r="AB261" s="156"/>
      <c r="AC261"/>
      <c r="AD261"/>
      <c r="AE261" s="156"/>
      <c r="AF261"/>
      <c r="AG261"/>
    </row>
    <row r="262" spans="1:36" hidden="1" outlineLevel="1">
      <c r="A262" s="96">
        <v>45358</v>
      </c>
      <c r="B262" s="17" t="s">
        <v>14</v>
      </c>
      <c r="C262" s="18">
        <v>60</v>
      </c>
      <c r="D262" s="23">
        <v>60</v>
      </c>
      <c r="E262" s="23">
        <f t="shared" si="29"/>
        <v>0</v>
      </c>
      <c r="G262" s="19"/>
      <c r="H262" s="62"/>
      <c r="I262" s="20"/>
      <c r="J262" s="21"/>
      <c r="K262" s="42"/>
      <c r="L262" s="23"/>
      <c r="M262" s="23"/>
      <c r="N262" s="23"/>
      <c r="O262" s="23"/>
      <c r="Q262" s="78">
        <v>57</v>
      </c>
      <c r="R262" s="62">
        <f>C260+S262</f>
        <v>54</v>
      </c>
      <c r="S262" s="20"/>
      <c r="T262" s="21"/>
      <c r="U262" s="57">
        <v>54</v>
      </c>
      <c r="V262" s="23">
        <f t="shared" si="30"/>
        <v>-128</v>
      </c>
      <c r="W262" s="23">
        <f t="shared" si="31"/>
        <v>-128</v>
      </c>
      <c r="X262" s="23"/>
      <c r="Y262" s="23">
        <v>0</v>
      </c>
      <c r="AA262" s="250"/>
      <c r="AB262" s="156"/>
      <c r="AC262"/>
      <c r="AD262"/>
      <c r="AE262" s="156"/>
      <c r="AF262"/>
      <c r="AG262"/>
    </row>
    <row r="263" spans="1:36" hidden="1" outlineLevel="1">
      <c r="A263" s="96">
        <v>45359</v>
      </c>
      <c r="B263" s="17" t="s">
        <v>15</v>
      </c>
      <c r="C263" s="18">
        <v>54</v>
      </c>
      <c r="D263" s="23">
        <v>54</v>
      </c>
      <c r="E263" s="23">
        <f t="shared" si="29"/>
        <v>0</v>
      </c>
      <c r="G263" s="19"/>
      <c r="H263" s="62"/>
      <c r="I263" s="20"/>
      <c r="J263" s="21"/>
      <c r="K263" s="42"/>
      <c r="L263" s="23"/>
      <c r="M263" s="23"/>
      <c r="N263" s="23"/>
      <c r="O263" s="23"/>
      <c r="Q263" s="78">
        <v>57</v>
      </c>
      <c r="R263" s="62">
        <f>C261+S263</f>
        <v>60</v>
      </c>
      <c r="S263" s="20"/>
      <c r="T263" s="21"/>
      <c r="U263" s="57">
        <v>60</v>
      </c>
      <c r="V263" s="23">
        <f t="shared" si="30"/>
        <v>-125</v>
      </c>
      <c r="W263" s="23">
        <f t="shared" si="31"/>
        <v>-125</v>
      </c>
      <c r="X263" s="23"/>
      <c r="Y263" s="23">
        <f>19+9</f>
        <v>28</v>
      </c>
      <c r="Z263" s="1">
        <f>AVERAGE(Q259:Q263)</f>
        <v>55.8</v>
      </c>
      <c r="AA263" s="250"/>
      <c r="AB263" s="156"/>
      <c r="AC263"/>
      <c r="AD263"/>
      <c r="AE263" s="156"/>
      <c r="AF263"/>
      <c r="AG263"/>
    </row>
    <row r="264" spans="1:36" s="12" customFormat="1" hidden="1" outlineLevel="1">
      <c r="A264" s="95">
        <v>45360</v>
      </c>
      <c r="B264" s="25" t="s">
        <v>16</v>
      </c>
      <c r="C264" s="26"/>
      <c r="D264" s="29"/>
      <c r="E264" s="29">
        <f t="shared" si="29"/>
        <v>0</v>
      </c>
      <c r="G264" s="64"/>
      <c r="H264" s="63"/>
      <c r="I264" s="27"/>
      <c r="J264" s="28"/>
      <c r="K264" s="43"/>
      <c r="L264" s="29"/>
      <c r="M264" s="29"/>
      <c r="N264" s="29"/>
      <c r="O264" s="29"/>
      <c r="Q264" s="79"/>
      <c r="R264" s="63"/>
      <c r="S264" s="27"/>
      <c r="T264" s="28"/>
      <c r="U264" s="43"/>
      <c r="V264" s="29">
        <f t="shared" si="30"/>
        <v>-125</v>
      </c>
      <c r="W264" s="29">
        <f t="shared" si="31"/>
        <v>-125</v>
      </c>
      <c r="X264" s="29"/>
      <c r="Y264" s="29"/>
      <c r="AA264" s="250"/>
      <c r="AB264" s="156"/>
      <c r="AC264"/>
      <c r="AD264"/>
      <c r="AE264" s="156"/>
      <c r="AF264"/>
      <c r="AG264"/>
      <c r="AH264"/>
      <c r="AI264"/>
      <c r="AJ264"/>
    </row>
    <row r="265" spans="1:36" s="12" customFormat="1" hidden="1" outlineLevel="1">
      <c r="A265" s="95">
        <v>45361</v>
      </c>
      <c r="B265" s="25" t="s">
        <v>17</v>
      </c>
      <c r="C265" s="26"/>
      <c r="D265" s="29"/>
      <c r="E265" s="29">
        <f t="shared" si="29"/>
        <v>0</v>
      </c>
      <c r="G265" s="64"/>
      <c r="H265" s="63"/>
      <c r="I265" s="27"/>
      <c r="J265" s="28"/>
      <c r="K265" s="43"/>
      <c r="L265" s="29"/>
      <c r="M265" s="29"/>
      <c r="N265" s="29"/>
      <c r="O265" s="29"/>
      <c r="Q265" s="79"/>
      <c r="R265" s="63"/>
      <c r="S265" s="27"/>
      <c r="T265" s="28"/>
      <c r="U265" s="43"/>
      <c r="V265" s="29">
        <f t="shared" si="30"/>
        <v>-125</v>
      </c>
      <c r="W265" s="29">
        <f t="shared" si="31"/>
        <v>-125</v>
      </c>
      <c r="X265" s="29"/>
      <c r="Y265" s="29"/>
      <c r="AA265" s="250"/>
      <c r="AB265" s="156"/>
      <c r="AC265"/>
      <c r="AD265"/>
      <c r="AE265" s="156"/>
      <c r="AF265"/>
      <c r="AG265"/>
      <c r="AH265"/>
      <c r="AI265"/>
      <c r="AJ265"/>
    </row>
    <row r="266" spans="1:36" hidden="1" outlineLevel="1" collapsed="1">
      <c r="A266" s="96">
        <v>45362</v>
      </c>
      <c r="B266" s="17" t="s">
        <v>18</v>
      </c>
      <c r="C266" s="18">
        <v>54</v>
      </c>
      <c r="D266" s="23">
        <v>54</v>
      </c>
      <c r="E266" s="23">
        <f t="shared" si="29"/>
        <v>0</v>
      </c>
      <c r="G266" s="19"/>
      <c r="H266" s="62"/>
      <c r="I266" s="20"/>
      <c r="J266" s="21"/>
      <c r="K266" s="42"/>
      <c r="L266" s="23"/>
      <c r="M266" s="23"/>
      <c r="N266" s="23"/>
      <c r="O266" s="23"/>
      <c r="Q266" s="78">
        <v>54</v>
      </c>
      <c r="R266" s="62">
        <f>C262+S266</f>
        <v>60</v>
      </c>
      <c r="S266" s="20"/>
      <c r="T266" s="21"/>
      <c r="U266" s="57">
        <v>60</v>
      </c>
      <c r="V266" s="23">
        <f t="shared" si="30"/>
        <v>-119</v>
      </c>
      <c r="W266" s="23">
        <f t="shared" si="31"/>
        <v>-119</v>
      </c>
      <c r="X266" s="23"/>
      <c r="Y266" s="23">
        <v>0</v>
      </c>
      <c r="AA266" s="250"/>
      <c r="AB266" s="156"/>
      <c r="AC266"/>
      <c r="AD266"/>
      <c r="AE266" s="156"/>
      <c r="AF266"/>
      <c r="AG266"/>
    </row>
    <row r="267" spans="1:36" hidden="1" outlineLevel="1">
      <c r="A267" s="96">
        <v>45363</v>
      </c>
      <c r="B267" s="17" t="s">
        <v>19</v>
      </c>
      <c r="C267" s="18">
        <v>54</v>
      </c>
      <c r="D267" s="23">
        <v>40</v>
      </c>
      <c r="E267" s="23">
        <f t="shared" si="29"/>
        <v>-14</v>
      </c>
      <c r="G267" s="19"/>
      <c r="H267" s="62"/>
      <c r="I267" s="20"/>
      <c r="J267" s="21"/>
      <c r="K267" s="42"/>
      <c r="L267" s="23"/>
      <c r="M267" s="23"/>
      <c r="N267" s="23"/>
      <c r="O267" s="23"/>
      <c r="Q267" s="78">
        <v>57</v>
      </c>
      <c r="R267" s="62">
        <f>C263+S267</f>
        <v>54</v>
      </c>
      <c r="S267" s="20"/>
      <c r="T267" s="21"/>
      <c r="U267" s="57">
        <v>54</v>
      </c>
      <c r="V267" s="23">
        <f t="shared" si="30"/>
        <v>-122</v>
      </c>
      <c r="W267" s="23">
        <f t="shared" si="31"/>
        <v>-122</v>
      </c>
      <c r="X267" s="23"/>
      <c r="Y267" s="23">
        <v>0</v>
      </c>
      <c r="AA267" s="250"/>
      <c r="AB267" s="156"/>
      <c r="AC267"/>
      <c r="AD267"/>
      <c r="AE267" s="156"/>
      <c r="AF267"/>
      <c r="AG267"/>
    </row>
    <row r="268" spans="1:36" hidden="1" outlineLevel="1">
      <c r="A268" s="96">
        <v>45364</v>
      </c>
      <c r="B268" s="17" t="s">
        <v>20</v>
      </c>
      <c r="C268" s="18">
        <v>54</v>
      </c>
      <c r="D268" s="23">
        <v>54</v>
      </c>
      <c r="E268" s="23">
        <f t="shared" si="29"/>
        <v>-14</v>
      </c>
      <c r="G268" s="19"/>
      <c r="H268" s="62"/>
      <c r="I268" s="20"/>
      <c r="J268" s="21"/>
      <c r="K268" s="42"/>
      <c r="L268" s="23"/>
      <c r="M268" s="23"/>
      <c r="N268" s="23"/>
      <c r="O268" s="23"/>
      <c r="Q268" s="78">
        <v>57</v>
      </c>
      <c r="R268" s="62">
        <f>C266+S268</f>
        <v>54</v>
      </c>
      <c r="S268" s="20"/>
      <c r="T268" s="21"/>
      <c r="U268" s="57">
        <v>54</v>
      </c>
      <c r="V268" s="23">
        <f t="shared" si="30"/>
        <v>-125</v>
      </c>
      <c r="W268" s="23">
        <f t="shared" si="31"/>
        <v>-125</v>
      </c>
      <c r="X268" s="23"/>
      <c r="Y268" s="23">
        <v>9</v>
      </c>
      <c r="AA268" s="250"/>
      <c r="AB268" s="156"/>
      <c r="AC268"/>
      <c r="AD268"/>
      <c r="AE268" s="156"/>
      <c r="AF268"/>
      <c r="AG268"/>
    </row>
    <row r="269" spans="1:36" hidden="1" outlineLevel="1">
      <c r="A269" s="96">
        <v>45365</v>
      </c>
      <c r="B269" s="17" t="s">
        <v>14</v>
      </c>
      <c r="C269" s="18">
        <v>54</v>
      </c>
      <c r="D269" s="23">
        <v>54</v>
      </c>
      <c r="E269" s="23">
        <f t="shared" si="29"/>
        <v>-14</v>
      </c>
      <c r="G269" s="19"/>
      <c r="H269" s="62"/>
      <c r="I269" s="20"/>
      <c r="J269" s="21"/>
      <c r="K269" s="42"/>
      <c r="L269" s="23"/>
      <c r="M269" s="23"/>
      <c r="N269" s="23"/>
      <c r="O269" s="23"/>
      <c r="Q269" s="78">
        <v>54</v>
      </c>
      <c r="R269" s="62">
        <f>C267+S269</f>
        <v>54</v>
      </c>
      <c r="S269" s="20"/>
      <c r="T269" s="21"/>
      <c r="U269" s="57">
        <v>54</v>
      </c>
      <c r="V269" s="23">
        <f t="shared" si="30"/>
        <v>-125</v>
      </c>
      <c r="W269" s="23">
        <f t="shared" si="31"/>
        <v>-125</v>
      </c>
      <c r="X269" s="23"/>
      <c r="Y269" s="23">
        <v>9</v>
      </c>
      <c r="AA269" s="250"/>
      <c r="AB269" s="156"/>
      <c r="AC269"/>
      <c r="AD269"/>
      <c r="AE269" s="156"/>
      <c r="AF269"/>
      <c r="AG269"/>
    </row>
    <row r="270" spans="1:36" hidden="1" outlineLevel="1">
      <c r="A270" s="96">
        <v>45366</v>
      </c>
      <c r="B270" s="17" t="s">
        <v>15</v>
      </c>
      <c r="C270" s="18">
        <v>60</v>
      </c>
      <c r="D270" s="23">
        <v>58</v>
      </c>
      <c r="E270" s="23">
        <f t="shared" si="29"/>
        <v>-16</v>
      </c>
      <c r="G270" s="19"/>
      <c r="H270" s="62"/>
      <c r="I270" s="20"/>
      <c r="J270" s="21"/>
      <c r="K270" s="42"/>
      <c r="L270" s="23"/>
      <c r="M270" s="23"/>
      <c r="N270" s="23"/>
      <c r="O270" s="23"/>
      <c r="Q270" s="78">
        <v>57</v>
      </c>
      <c r="R270" s="62">
        <f>C268+S270</f>
        <v>54</v>
      </c>
      <c r="S270" s="20"/>
      <c r="T270" s="21"/>
      <c r="U270" s="57">
        <v>54</v>
      </c>
      <c r="V270" s="23">
        <f t="shared" si="30"/>
        <v>-128</v>
      </c>
      <c r="W270" s="23">
        <f t="shared" si="31"/>
        <v>-128</v>
      </c>
      <c r="X270" s="23"/>
      <c r="Y270" s="23">
        <v>9</v>
      </c>
      <c r="Z270" s="1">
        <f t="shared" ref="Z270" si="32">AVERAGE(Q266:Q270)</f>
        <v>55.8</v>
      </c>
      <c r="AA270" s="250"/>
      <c r="AB270" s="156"/>
      <c r="AC270"/>
      <c r="AD270"/>
      <c r="AE270" s="156"/>
      <c r="AF270"/>
      <c r="AG270"/>
    </row>
    <row r="271" spans="1:36" s="12" customFormat="1" hidden="1" outlineLevel="1" collapsed="1">
      <c r="A271" s="95">
        <v>45367</v>
      </c>
      <c r="B271" s="25" t="s">
        <v>16</v>
      </c>
      <c r="C271" s="26"/>
      <c r="D271" s="29"/>
      <c r="E271" s="29">
        <f t="shared" si="29"/>
        <v>-16</v>
      </c>
      <c r="G271" s="64"/>
      <c r="H271" s="63"/>
      <c r="I271" s="27"/>
      <c r="J271" s="28"/>
      <c r="K271" s="43"/>
      <c r="L271" s="29"/>
      <c r="M271" s="29"/>
      <c r="N271" s="29"/>
      <c r="O271" s="29"/>
      <c r="Q271" s="64"/>
      <c r="R271" s="63"/>
      <c r="S271" s="27"/>
      <c r="T271" s="28"/>
      <c r="U271" s="43"/>
      <c r="V271" s="29">
        <f t="shared" si="30"/>
        <v>-128</v>
      </c>
      <c r="W271" s="29">
        <f t="shared" si="31"/>
        <v>-128</v>
      </c>
      <c r="X271" s="29"/>
      <c r="Y271" s="29"/>
      <c r="AA271"/>
      <c r="AB271" s="156"/>
      <c r="AC271"/>
      <c r="AD271"/>
      <c r="AE271" s="156"/>
      <c r="AF271"/>
      <c r="AG271"/>
      <c r="AH271"/>
      <c r="AI271"/>
      <c r="AJ271"/>
    </row>
    <row r="272" spans="1:36" s="12" customFormat="1" hidden="1" outlineLevel="1">
      <c r="A272" s="95">
        <v>45368</v>
      </c>
      <c r="B272" s="25" t="s">
        <v>17</v>
      </c>
      <c r="C272" s="26"/>
      <c r="D272" s="29"/>
      <c r="E272" s="29">
        <f t="shared" si="29"/>
        <v>-16</v>
      </c>
      <c r="G272" s="64"/>
      <c r="H272" s="63"/>
      <c r="I272" s="27"/>
      <c r="J272" s="28"/>
      <c r="K272" s="43"/>
      <c r="L272" s="29"/>
      <c r="M272" s="29"/>
      <c r="N272" s="29"/>
      <c r="O272" s="29"/>
      <c r="Q272" s="64"/>
      <c r="R272" s="63"/>
      <c r="S272" s="27"/>
      <c r="T272" s="28"/>
      <c r="U272" s="43"/>
      <c r="V272" s="29">
        <f t="shared" si="30"/>
        <v>-128</v>
      </c>
      <c r="W272" s="29">
        <f t="shared" si="31"/>
        <v>-128</v>
      </c>
      <c r="X272" s="29"/>
      <c r="Y272" s="29"/>
      <c r="AA272"/>
      <c r="AB272" s="156"/>
      <c r="AC272"/>
      <c r="AD272"/>
      <c r="AE272" s="156"/>
      <c r="AF272"/>
      <c r="AG272"/>
      <c r="AH272"/>
      <c r="AI272"/>
      <c r="AJ272"/>
    </row>
    <row r="273" spans="1:36" hidden="1" outlineLevel="1">
      <c r="A273" s="96">
        <v>45369</v>
      </c>
      <c r="B273" s="17" t="s">
        <v>18</v>
      </c>
      <c r="C273" s="18">
        <v>54</v>
      </c>
      <c r="D273" s="23">
        <v>56</v>
      </c>
      <c r="E273" s="23">
        <f t="shared" si="29"/>
        <v>-14</v>
      </c>
      <c r="G273" s="19"/>
      <c r="H273" s="62"/>
      <c r="I273" s="20"/>
      <c r="J273" s="21"/>
      <c r="K273" s="42"/>
      <c r="L273" s="23"/>
      <c r="M273" s="23"/>
      <c r="N273" s="23"/>
      <c r="O273" s="23"/>
      <c r="Q273" s="78">
        <v>57</v>
      </c>
      <c r="R273" s="62">
        <f>C269+S273</f>
        <v>54</v>
      </c>
      <c r="S273" s="20"/>
      <c r="T273" s="21"/>
      <c r="U273" s="57">
        <v>54</v>
      </c>
      <c r="V273" s="23">
        <f t="shared" si="30"/>
        <v>-131</v>
      </c>
      <c r="W273" s="23">
        <f t="shared" si="31"/>
        <v>-131</v>
      </c>
      <c r="X273" s="23"/>
      <c r="Y273" s="23">
        <f>4+5</f>
        <v>9</v>
      </c>
      <c r="AA273" s="250"/>
      <c r="AB273" s="156"/>
      <c r="AC273"/>
      <c r="AD273"/>
      <c r="AE273" s="156"/>
      <c r="AF273"/>
      <c r="AG273"/>
    </row>
    <row r="274" spans="1:36" hidden="1" outlineLevel="1">
      <c r="A274" s="96">
        <v>45370</v>
      </c>
      <c r="B274" s="17" t="s">
        <v>19</v>
      </c>
      <c r="C274" s="18">
        <v>54</v>
      </c>
      <c r="D274" s="23">
        <v>54</v>
      </c>
      <c r="E274" s="23">
        <f t="shared" si="29"/>
        <v>-14</v>
      </c>
      <c r="G274" s="19"/>
      <c r="H274" s="62"/>
      <c r="I274" s="20"/>
      <c r="J274" s="21"/>
      <c r="K274" s="42"/>
      <c r="L274" s="23"/>
      <c r="M274" s="23"/>
      <c r="N274" s="23"/>
      <c r="O274" s="23"/>
      <c r="Q274" s="78">
        <v>6</v>
      </c>
      <c r="R274" s="62">
        <f>C270+S274</f>
        <v>60</v>
      </c>
      <c r="S274" s="20"/>
      <c r="T274" s="21"/>
      <c r="U274" s="57">
        <v>60</v>
      </c>
      <c r="V274" s="23">
        <f t="shared" si="30"/>
        <v>-77</v>
      </c>
      <c r="W274" s="23">
        <f t="shared" si="31"/>
        <v>-77</v>
      </c>
      <c r="X274" s="23"/>
      <c r="Y274" s="23">
        <v>19</v>
      </c>
      <c r="AA274" s="250"/>
      <c r="AB274" s="156"/>
      <c r="AC274"/>
      <c r="AD274"/>
      <c r="AE274" s="156"/>
      <c r="AF274"/>
      <c r="AG274"/>
    </row>
    <row r="275" spans="1:36" hidden="1" outlineLevel="1">
      <c r="A275" s="96">
        <v>45371</v>
      </c>
      <c r="B275" s="17" t="s">
        <v>20</v>
      </c>
      <c r="C275" s="18">
        <v>54</v>
      </c>
      <c r="D275" s="23">
        <v>54</v>
      </c>
      <c r="E275" s="23">
        <f t="shared" si="29"/>
        <v>-14</v>
      </c>
      <c r="G275" s="19"/>
      <c r="H275" s="62"/>
      <c r="I275" s="20"/>
      <c r="J275" s="21"/>
      <c r="K275" s="42"/>
      <c r="L275" s="23"/>
      <c r="M275" s="23"/>
      <c r="N275" s="23"/>
      <c r="O275" s="23"/>
      <c r="Q275" s="78">
        <v>42</v>
      </c>
      <c r="R275" s="62">
        <f>C273+S275</f>
        <v>54</v>
      </c>
      <c r="S275" s="20"/>
      <c r="T275" s="21"/>
      <c r="U275" s="57">
        <v>54</v>
      </c>
      <c r="V275" s="23">
        <f t="shared" si="30"/>
        <v>-65</v>
      </c>
      <c r="W275" s="23">
        <f t="shared" si="31"/>
        <v>-65</v>
      </c>
      <c r="X275" s="23"/>
      <c r="Y275" s="23">
        <v>9</v>
      </c>
      <c r="AA275" s="250"/>
      <c r="AB275" s="156"/>
      <c r="AC275"/>
      <c r="AD275"/>
      <c r="AE275" s="156"/>
      <c r="AF275"/>
      <c r="AG275"/>
    </row>
    <row r="276" spans="1:36" hidden="1" outlineLevel="1">
      <c r="A276" s="96">
        <v>45372</v>
      </c>
      <c r="B276" s="17" t="s">
        <v>14</v>
      </c>
      <c r="C276" s="18">
        <v>54</v>
      </c>
      <c r="D276" s="23">
        <v>60</v>
      </c>
      <c r="E276" s="23">
        <f t="shared" si="29"/>
        <v>-8</v>
      </c>
      <c r="G276" s="19"/>
      <c r="H276" s="62"/>
      <c r="I276" s="20"/>
      <c r="J276" s="21"/>
      <c r="K276" s="42"/>
      <c r="L276" s="23"/>
      <c r="M276" s="23"/>
      <c r="N276" s="23"/>
      <c r="O276" s="23"/>
      <c r="Q276" s="78">
        <v>0</v>
      </c>
      <c r="R276" s="62">
        <f>C274+S276</f>
        <v>54</v>
      </c>
      <c r="S276" s="20"/>
      <c r="T276" s="21"/>
      <c r="U276" s="57">
        <v>54</v>
      </c>
      <c r="V276" s="23">
        <f t="shared" si="30"/>
        <v>-11</v>
      </c>
      <c r="W276" s="23">
        <f t="shared" si="31"/>
        <v>-11</v>
      </c>
      <c r="X276" s="23"/>
      <c r="Y276" s="23">
        <v>8</v>
      </c>
      <c r="AA276" s="250"/>
      <c r="AB276" s="156"/>
      <c r="AC276"/>
      <c r="AD276"/>
      <c r="AE276" s="156"/>
      <c r="AF276"/>
      <c r="AG276"/>
    </row>
    <row r="277" spans="1:36" hidden="1" outlineLevel="1">
      <c r="A277" s="96">
        <v>45373</v>
      </c>
      <c r="B277" s="17" t="s">
        <v>15</v>
      </c>
      <c r="C277" s="18">
        <v>54</v>
      </c>
      <c r="D277" s="23">
        <v>60</v>
      </c>
      <c r="E277" s="23">
        <f t="shared" si="29"/>
        <v>-2</v>
      </c>
      <c r="G277" s="19"/>
      <c r="H277" s="62"/>
      <c r="I277" s="20"/>
      <c r="J277" s="21"/>
      <c r="K277" s="42"/>
      <c r="L277" s="23"/>
      <c r="M277" s="23"/>
      <c r="N277" s="23"/>
      <c r="O277" s="23"/>
      <c r="Q277" s="78">
        <v>57</v>
      </c>
      <c r="R277" s="62">
        <f>C275+S277</f>
        <v>54</v>
      </c>
      <c r="S277" s="20"/>
      <c r="T277" s="21"/>
      <c r="U277" s="57">
        <v>54</v>
      </c>
      <c r="V277" s="23">
        <f t="shared" si="30"/>
        <v>-14</v>
      </c>
      <c r="W277" s="23">
        <f t="shared" si="31"/>
        <v>-14</v>
      </c>
      <c r="X277" s="23"/>
      <c r="Y277" s="23">
        <v>9</v>
      </c>
      <c r="Z277" s="1">
        <f t="shared" ref="Z277" si="33">AVERAGE(Q273:Q277)</f>
        <v>32.4</v>
      </c>
      <c r="AA277" s="250"/>
      <c r="AB277" s="156"/>
      <c r="AC277"/>
      <c r="AD277"/>
      <c r="AE277" s="156"/>
      <c r="AF277"/>
      <c r="AG277"/>
    </row>
    <row r="278" spans="1:36" s="12" customFormat="1" hidden="1" outlineLevel="1" collapsed="1">
      <c r="A278" s="95">
        <v>45374</v>
      </c>
      <c r="B278" s="25" t="s">
        <v>16</v>
      </c>
      <c r="C278" s="26"/>
      <c r="D278" s="29"/>
      <c r="E278" s="29">
        <f t="shared" si="29"/>
        <v>-2</v>
      </c>
      <c r="G278" s="64"/>
      <c r="H278" s="63"/>
      <c r="I278" s="27"/>
      <c r="J278" s="28"/>
      <c r="K278" s="43"/>
      <c r="L278" s="29"/>
      <c r="M278" s="29"/>
      <c r="N278" s="29"/>
      <c r="O278" s="29"/>
      <c r="Q278" s="64"/>
      <c r="R278" s="63"/>
      <c r="S278" s="27"/>
      <c r="T278" s="28"/>
      <c r="U278" s="43"/>
      <c r="V278" s="29">
        <f t="shared" si="30"/>
        <v>-14</v>
      </c>
      <c r="W278" s="29">
        <f t="shared" si="31"/>
        <v>-14</v>
      </c>
      <c r="X278" s="29"/>
      <c r="Y278" s="29"/>
      <c r="AA278"/>
      <c r="AB278" s="156"/>
      <c r="AC278"/>
      <c r="AD278"/>
      <c r="AE278" s="156"/>
      <c r="AF278"/>
      <c r="AG278"/>
      <c r="AH278"/>
      <c r="AI278"/>
      <c r="AJ278"/>
    </row>
    <row r="279" spans="1:36" s="12" customFormat="1" hidden="1" outlineLevel="1">
      <c r="A279" s="95">
        <v>45375</v>
      </c>
      <c r="B279" s="25" t="s">
        <v>17</v>
      </c>
      <c r="C279" s="26"/>
      <c r="D279" s="29"/>
      <c r="E279" s="29">
        <f t="shared" si="29"/>
        <v>-2</v>
      </c>
      <c r="G279" s="64"/>
      <c r="H279" s="63"/>
      <c r="I279" s="27"/>
      <c r="J279" s="28"/>
      <c r="K279" s="43"/>
      <c r="L279" s="29"/>
      <c r="M279" s="29"/>
      <c r="N279" s="29"/>
      <c r="O279" s="29"/>
      <c r="Q279" s="64"/>
      <c r="R279" s="63"/>
      <c r="S279" s="27"/>
      <c r="T279" s="28"/>
      <c r="U279" s="43"/>
      <c r="V279" s="29">
        <f t="shared" si="30"/>
        <v>-14</v>
      </c>
      <c r="W279" s="29">
        <f t="shared" si="31"/>
        <v>-14</v>
      </c>
      <c r="X279" s="29"/>
      <c r="Y279" s="29"/>
      <c r="AA279"/>
      <c r="AB279" s="156"/>
      <c r="AC279"/>
      <c r="AD279"/>
      <c r="AE279" s="156"/>
      <c r="AF279"/>
      <c r="AG279"/>
      <c r="AH279"/>
      <c r="AI279"/>
      <c r="AJ279"/>
    </row>
    <row r="280" spans="1:36" hidden="1" outlineLevel="1">
      <c r="A280" s="96">
        <v>45376</v>
      </c>
      <c r="B280" s="17" t="s">
        <v>18</v>
      </c>
      <c r="C280" s="18">
        <v>36</v>
      </c>
      <c r="D280" s="23">
        <v>29</v>
      </c>
      <c r="E280" s="23">
        <f t="shared" si="29"/>
        <v>-9</v>
      </c>
      <c r="G280" s="19"/>
      <c r="H280" s="62"/>
      <c r="I280" s="20"/>
      <c r="J280" s="21"/>
      <c r="K280" s="42"/>
      <c r="L280" s="23"/>
      <c r="M280" s="23"/>
      <c r="N280" s="23"/>
      <c r="O280" s="23"/>
      <c r="Q280" s="78">
        <v>57</v>
      </c>
      <c r="R280" s="62">
        <f>C276+S280</f>
        <v>54</v>
      </c>
      <c r="S280" s="20"/>
      <c r="T280" s="21"/>
      <c r="U280" s="57">
        <v>54</v>
      </c>
      <c r="V280" s="23">
        <f t="shared" si="30"/>
        <v>-17</v>
      </c>
      <c r="W280" s="23">
        <f t="shared" si="31"/>
        <v>-17</v>
      </c>
      <c r="X280" s="23"/>
      <c r="Y280" s="23">
        <v>8</v>
      </c>
      <c r="AA280" s="250"/>
      <c r="AB280" s="156"/>
      <c r="AC280"/>
      <c r="AD280"/>
      <c r="AE280" s="156"/>
      <c r="AF280"/>
      <c r="AG280"/>
    </row>
    <row r="281" spans="1:36" ht="19.5" hidden="1" customHeight="1" outlineLevel="1">
      <c r="A281" s="96">
        <v>45377</v>
      </c>
      <c r="B281" s="17" t="s">
        <v>19</v>
      </c>
      <c r="C281" s="18">
        <v>42</v>
      </c>
      <c r="D281" s="23">
        <v>53</v>
      </c>
      <c r="E281" s="23">
        <f t="shared" si="29"/>
        <v>2</v>
      </c>
      <c r="G281" s="19"/>
      <c r="H281" s="62"/>
      <c r="I281" s="20"/>
      <c r="J281" s="21"/>
      <c r="K281" s="42"/>
      <c r="L281" s="23"/>
      <c r="M281" s="23"/>
      <c r="N281" s="23"/>
      <c r="O281" s="23"/>
      <c r="Q281" s="78">
        <v>54</v>
      </c>
      <c r="R281" s="62">
        <f>C277+S281</f>
        <v>54</v>
      </c>
      <c r="S281" s="20"/>
      <c r="T281" s="21"/>
      <c r="U281" s="57">
        <v>54</v>
      </c>
      <c r="V281" s="23">
        <f t="shared" si="30"/>
        <v>-17</v>
      </c>
      <c r="W281" s="23">
        <f t="shared" si="31"/>
        <v>-17</v>
      </c>
      <c r="X281" s="23"/>
      <c r="Y281" s="23">
        <v>7</v>
      </c>
      <c r="AA281" s="250"/>
      <c r="AB281" s="156"/>
      <c r="AC281"/>
      <c r="AD281"/>
      <c r="AE281" s="156"/>
      <c r="AF281"/>
      <c r="AG281"/>
    </row>
    <row r="282" spans="1:36" hidden="1" outlineLevel="1">
      <c r="A282" s="96">
        <v>45378</v>
      </c>
      <c r="B282" s="17" t="s">
        <v>20</v>
      </c>
      <c r="C282" s="18">
        <v>42</v>
      </c>
      <c r="D282" s="23">
        <v>60</v>
      </c>
      <c r="E282" s="23">
        <f t="shared" si="29"/>
        <v>20</v>
      </c>
      <c r="G282" s="19"/>
      <c r="H282" s="62"/>
      <c r="I282" s="20"/>
      <c r="J282" s="21"/>
      <c r="K282" s="42"/>
      <c r="L282" s="23"/>
      <c r="M282" s="23"/>
      <c r="N282" s="23"/>
      <c r="O282" s="23"/>
      <c r="Q282" s="78">
        <v>69</v>
      </c>
      <c r="R282" s="62">
        <f>C280+S282</f>
        <v>36</v>
      </c>
      <c r="S282" s="20"/>
      <c r="T282" s="21"/>
      <c r="U282" s="57">
        <v>36</v>
      </c>
      <c r="V282" s="23">
        <f t="shared" si="30"/>
        <v>-50</v>
      </c>
      <c r="W282" s="23">
        <f t="shared" si="31"/>
        <v>-50</v>
      </c>
      <c r="X282" s="23"/>
      <c r="Y282" s="23">
        <v>7</v>
      </c>
      <c r="AA282" s="250"/>
      <c r="AB282" s="156"/>
      <c r="AC282"/>
      <c r="AD282"/>
      <c r="AE282" s="156"/>
      <c r="AF282"/>
      <c r="AG282"/>
    </row>
    <row r="283" spans="1:36" hidden="1" outlineLevel="1">
      <c r="A283" s="96">
        <v>45379</v>
      </c>
      <c r="B283" s="17" t="s">
        <v>14</v>
      </c>
      <c r="C283" s="18">
        <v>54</v>
      </c>
      <c r="D283" s="23">
        <v>41</v>
      </c>
      <c r="E283" s="23">
        <f t="shared" si="29"/>
        <v>7</v>
      </c>
      <c r="G283" s="19"/>
      <c r="H283" s="62"/>
      <c r="I283" s="20"/>
      <c r="J283" s="21"/>
      <c r="K283" s="42"/>
      <c r="L283" s="23"/>
      <c r="M283" s="23"/>
      <c r="N283" s="23"/>
      <c r="O283" s="23"/>
      <c r="Q283" s="78">
        <v>69</v>
      </c>
      <c r="R283" s="62">
        <f>C281+S283</f>
        <v>42</v>
      </c>
      <c r="S283" s="20"/>
      <c r="T283" s="21"/>
      <c r="U283" s="57">
        <v>42</v>
      </c>
      <c r="V283" s="23">
        <f t="shared" si="30"/>
        <v>-77</v>
      </c>
      <c r="W283" s="23">
        <f t="shared" si="31"/>
        <v>-77</v>
      </c>
      <c r="X283" s="23"/>
      <c r="Y283" s="23">
        <v>0</v>
      </c>
      <c r="AA283" s="250"/>
      <c r="AB283" s="156"/>
      <c r="AC283"/>
      <c r="AD283"/>
      <c r="AE283" s="156"/>
      <c r="AF283"/>
      <c r="AG283"/>
    </row>
    <row r="284" spans="1:36" hidden="1" outlineLevel="1">
      <c r="A284" s="96">
        <v>45380</v>
      </c>
      <c r="B284" s="17" t="s">
        <v>15</v>
      </c>
      <c r="C284" s="18">
        <v>60</v>
      </c>
      <c r="D284" s="23">
        <v>63</v>
      </c>
      <c r="E284" s="23">
        <f t="shared" si="29"/>
        <v>10</v>
      </c>
      <c r="G284" s="19"/>
      <c r="H284" s="62"/>
      <c r="I284" s="20"/>
      <c r="J284" s="21"/>
      <c r="K284" s="42"/>
      <c r="L284" s="23"/>
      <c r="M284" s="23"/>
      <c r="N284" s="23"/>
      <c r="O284" s="23"/>
      <c r="Q284" s="78">
        <v>27</v>
      </c>
      <c r="R284" s="62">
        <f>C282+S284</f>
        <v>42</v>
      </c>
      <c r="S284" s="20"/>
      <c r="T284" s="21"/>
      <c r="U284" s="57">
        <v>42</v>
      </c>
      <c r="V284" s="23">
        <f t="shared" si="30"/>
        <v>-62</v>
      </c>
      <c r="W284" s="23">
        <f t="shared" si="31"/>
        <v>-62</v>
      </c>
      <c r="X284" s="23"/>
      <c r="Y284" s="23">
        <v>0</v>
      </c>
      <c r="Z284" s="1">
        <f t="shared" ref="Z284" si="34">AVERAGE(Q280:Q284)</f>
        <v>55.2</v>
      </c>
      <c r="AA284" s="250"/>
      <c r="AB284" s="156"/>
      <c r="AC284"/>
      <c r="AD284"/>
      <c r="AE284" s="156"/>
      <c r="AF284"/>
      <c r="AG284"/>
    </row>
    <row r="285" spans="1:36" s="12" customFormat="1" hidden="1" outlineLevel="1" collapsed="1">
      <c r="A285" s="95">
        <v>45381</v>
      </c>
      <c r="B285" s="25" t="s">
        <v>16</v>
      </c>
      <c r="C285" s="26"/>
      <c r="D285" s="29"/>
      <c r="E285" s="29">
        <f t="shared" si="29"/>
        <v>10</v>
      </c>
      <c r="G285" s="64"/>
      <c r="H285" s="63"/>
      <c r="I285" s="27"/>
      <c r="J285" s="28"/>
      <c r="K285" s="43"/>
      <c r="L285" s="29"/>
      <c r="M285" s="29"/>
      <c r="N285" s="29"/>
      <c r="O285" s="29"/>
      <c r="Q285" s="64"/>
      <c r="R285" s="63"/>
      <c r="S285" s="27"/>
      <c r="T285" s="28"/>
      <c r="U285" s="43"/>
      <c r="V285" s="29">
        <f t="shared" si="30"/>
        <v>-62</v>
      </c>
      <c r="W285" s="29">
        <f t="shared" si="31"/>
        <v>-62</v>
      </c>
      <c r="X285" s="29"/>
      <c r="Y285" s="29"/>
      <c r="AA285"/>
      <c r="AB285" s="156"/>
      <c r="AC285"/>
      <c r="AD285"/>
      <c r="AE285" s="156"/>
      <c r="AF285"/>
      <c r="AG285"/>
      <c r="AH285"/>
      <c r="AI285"/>
      <c r="AJ285"/>
    </row>
    <row r="286" spans="1:36" s="12" customFormat="1" hidden="1" outlineLevel="1">
      <c r="A286" s="95">
        <v>45382</v>
      </c>
      <c r="B286" s="25" t="s">
        <v>17</v>
      </c>
      <c r="C286" s="26"/>
      <c r="D286" s="29"/>
      <c r="E286" s="29">
        <f t="shared" si="29"/>
        <v>10</v>
      </c>
      <c r="G286" s="64"/>
      <c r="H286" s="63"/>
      <c r="I286" s="27"/>
      <c r="J286" s="28"/>
      <c r="K286" s="43"/>
      <c r="L286" s="29"/>
      <c r="M286" s="29"/>
      <c r="N286" s="29"/>
      <c r="O286" s="29"/>
      <c r="Q286" s="64"/>
      <c r="R286" s="63"/>
      <c r="S286" s="27"/>
      <c r="T286" s="28"/>
      <c r="U286" s="43"/>
      <c r="V286" s="29">
        <f t="shared" si="30"/>
        <v>-62</v>
      </c>
      <c r="W286" s="29">
        <f t="shared" si="31"/>
        <v>-62</v>
      </c>
      <c r="X286" s="29"/>
      <c r="Y286" s="29"/>
      <c r="AA286"/>
      <c r="AB286" s="156"/>
      <c r="AC286"/>
      <c r="AD286"/>
      <c r="AE286" s="156"/>
      <c r="AF286"/>
      <c r="AG286"/>
      <c r="AH286"/>
      <c r="AI286"/>
      <c r="AJ286"/>
    </row>
    <row r="287" spans="1:36" hidden="1" outlineLevel="1">
      <c r="A287" s="96">
        <v>45383</v>
      </c>
      <c r="B287" s="17" t="s">
        <v>18</v>
      </c>
      <c r="C287" s="18">
        <v>60</v>
      </c>
      <c r="D287" s="23">
        <v>54</v>
      </c>
      <c r="E287" s="23">
        <f t="shared" si="29"/>
        <v>4</v>
      </c>
      <c r="G287" s="19"/>
      <c r="H287" s="62"/>
      <c r="I287" s="20"/>
      <c r="J287" s="21"/>
      <c r="K287" s="42"/>
      <c r="L287" s="23"/>
      <c r="M287" s="23"/>
      <c r="N287" s="23"/>
      <c r="O287" s="23"/>
      <c r="Q287" s="78">
        <v>57</v>
      </c>
      <c r="R287" s="62">
        <f>C283+S287</f>
        <v>54</v>
      </c>
      <c r="S287" s="20"/>
      <c r="T287" s="21"/>
      <c r="U287" s="57">
        <v>54</v>
      </c>
      <c r="V287" s="23">
        <f t="shared" si="30"/>
        <v>-65</v>
      </c>
      <c r="W287" s="23">
        <f t="shared" si="31"/>
        <v>-65</v>
      </c>
      <c r="X287" s="23"/>
      <c r="Y287" s="23">
        <v>16</v>
      </c>
      <c r="AA287" s="250"/>
      <c r="AB287" s="156"/>
      <c r="AC287"/>
      <c r="AD287"/>
      <c r="AE287" s="156"/>
      <c r="AF287"/>
      <c r="AG287"/>
    </row>
    <row r="288" spans="1:36" hidden="1" outlineLevel="1">
      <c r="A288" s="96">
        <v>45384</v>
      </c>
      <c r="B288" s="17" t="s">
        <v>19</v>
      </c>
      <c r="C288" s="18">
        <v>60</v>
      </c>
      <c r="D288" s="23">
        <v>60</v>
      </c>
      <c r="E288" s="23">
        <f t="shared" si="29"/>
        <v>4</v>
      </c>
      <c r="G288" s="19"/>
      <c r="H288" s="62"/>
      <c r="I288" s="20"/>
      <c r="J288" s="21"/>
      <c r="K288" s="42"/>
      <c r="L288" s="23"/>
      <c r="M288" s="23"/>
      <c r="N288" s="23"/>
      <c r="O288" s="23"/>
      <c r="Q288" s="78">
        <v>69</v>
      </c>
      <c r="R288" s="62">
        <f>C284+S288</f>
        <v>60</v>
      </c>
      <c r="S288" s="20"/>
      <c r="T288" s="21"/>
      <c r="U288" s="57">
        <v>60</v>
      </c>
      <c r="V288" s="23">
        <f t="shared" si="30"/>
        <v>-74</v>
      </c>
      <c r="W288" s="23">
        <f t="shared" si="31"/>
        <v>-74</v>
      </c>
      <c r="X288" s="23"/>
      <c r="Y288" s="23">
        <v>10</v>
      </c>
      <c r="AA288" s="250"/>
      <c r="AB288" s="156"/>
      <c r="AC288"/>
      <c r="AD288"/>
      <c r="AE288" s="156"/>
      <c r="AF288"/>
      <c r="AG288"/>
    </row>
    <row r="289" spans="1:36" s="12" customFormat="1" hidden="1" outlineLevel="1">
      <c r="A289" s="95">
        <v>45385</v>
      </c>
      <c r="B289" s="25" t="s">
        <v>20</v>
      </c>
      <c r="C289" s="26">
        <v>54</v>
      </c>
      <c r="D289" s="29">
        <v>60</v>
      </c>
      <c r="E289" s="29">
        <f t="shared" ref="E289:E352" si="35">E288-C289+D289</f>
        <v>10</v>
      </c>
      <c r="G289" s="64"/>
      <c r="H289" s="63"/>
      <c r="I289" s="27"/>
      <c r="J289" s="28"/>
      <c r="K289" s="43"/>
      <c r="L289" s="29"/>
      <c r="M289" s="29"/>
      <c r="N289" s="29"/>
      <c r="O289" s="29"/>
      <c r="Q289" s="79">
        <v>0</v>
      </c>
      <c r="R289" s="63"/>
      <c r="S289" s="27"/>
      <c r="T289" s="28"/>
      <c r="U289" s="43"/>
      <c r="V289" s="29">
        <f t="shared" ref="V289:V316" si="36">V288-Q289+U289</f>
        <v>-74</v>
      </c>
      <c r="W289" s="29">
        <f t="shared" ref="W289:W316" si="37">W288-Q289+R289</f>
        <v>-74</v>
      </c>
      <c r="X289" s="29"/>
      <c r="Y289" s="29">
        <v>11</v>
      </c>
      <c r="AA289" s="250"/>
      <c r="AB289" s="156"/>
      <c r="AC289"/>
      <c r="AD289"/>
      <c r="AE289" s="156"/>
      <c r="AF289"/>
      <c r="AG289"/>
      <c r="AH289"/>
      <c r="AI289"/>
      <c r="AJ289"/>
    </row>
    <row r="290" spans="1:36" hidden="1" outlineLevel="1">
      <c r="A290" s="96">
        <v>45386</v>
      </c>
      <c r="B290" s="17" t="s">
        <v>14</v>
      </c>
      <c r="C290" s="18">
        <v>60</v>
      </c>
      <c r="D290" s="23">
        <v>60</v>
      </c>
      <c r="E290" s="23">
        <f t="shared" si="35"/>
        <v>10</v>
      </c>
      <c r="G290" s="19"/>
      <c r="H290" s="62"/>
      <c r="I290" s="20"/>
      <c r="J290" s="21"/>
      <c r="K290" s="42"/>
      <c r="L290" s="23"/>
      <c r="M290" s="23"/>
      <c r="N290" s="23"/>
      <c r="O290" s="23"/>
      <c r="Q290" s="78">
        <v>57</v>
      </c>
      <c r="R290" s="62">
        <f>C287+S290</f>
        <v>60</v>
      </c>
      <c r="S290" s="20"/>
      <c r="T290" s="21"/>
      <c r="U290" s="57">
        <v>60</v>
      </c>
      <c r="V290" s="23">
        <f t="shared" si="36"/>
        <v>-71</v>
      </c>
      <c r="W290" s="23">
        <f t="shared" si="37"/>
        <v>-71</v>
      </c>
      <c r="X290" s="23"/>
      <c r="Y290" s="23">
        <v>0</v>
      </c>
      <c r="AA290" s="250"/>
      <c r="AB290" s="156"/>
      <c r="AC290"/>
      <c r="AD290"/>
      <c r="AE290" s="156"/>
      <c r="AF290"/>
      <c r="AG290"/>
    </row>
    <row r="291" spans="1:36" hidden="1" outlineLevel="1">
      <c r="A291" s="96">
        <v>45387</v>
      </c>
      <c r="B291" s="17" t="s">
        <v>15</v>
      </c>
      <c r="C291" s="18">
        <v>60</v>
      </c>
      <c r="D291" s="23">
        <v>60</v>
      </c>
      <c r="E291" s="23">
        <f t="shared" si="35"/>
        <v>10</v>
      </c>
      <c r="G291" s="19"/>
      <c r="H291" s="62"/>
      <c r="I291" s="20"/>
      <c r="J291" s="21"/>
      <c r="K291" s="42"/>
      <c r="L291" s="23"/>
      <c r="M291" s="23"/>
      <c r="N291" s="23"/>
      <c r="O291" s="23"/>
      <c r="Q291" s="78">
        <v>72</v>
      </c>
      <c r="R291" s="62">
        <f>C288+S291</f>
        <v>84</v>
      </c>
      <c r="S291" s="20">
        <f>T294/2-3</f>
        <v>24</v>
      </c>
      <c r="T291" s="21"/>
      <c r="U291" s="57">
        <v>84</v>
      </c>
      <c r="V291" s="23">
        <f t="shared" si="36"/>
        <v>-59</v>
      </c>
      <c r="W291" s="23">
        <f t="shared" si="37"/>
        <v>-59</v>
      </c>
      <c r="X291" s="23"/>
      <c r="Y291" s="23">
        <v>0</v>
      </c>
      <c r="Z291" s="1">
        <f t="shared" ref="Z291" si="38">AVERAGE(Q287:Q291)</f>
        <v>51</v>
      </c>
      <c r="AA291" s="250"/>
      <c r="AB291" s="156"/>
      <c r="AC291"/>
      <c r="AD291"/>
      <c r="AE291" s="156"/>
      <c r="AF291"/>
      <c r="AG291"/>
    </row>
    <row r="292" spans="1:36" s="12" customFormat="1" hidden="1" outlineLevel="1" collapsed="1">
      <c r="A292" s="95">
        <v>45388</v>
      </c>
      <c r="B292" s="25" t="s">
        <v>16</v>
      </c>
      <c r="C292" s="26"/>
      <c r="D292" s="29"/>
      <c r="E292" s="29">
        <f t="shared" si="35"/>
        <v>10</v>
      </c>
      <c r="G292" s="64"/>
      <c r="H292" s="63"/>
      <c r="I292" s="27"/>
      <c r="J292" s="28"/>
      <c r="K292" s="43"/>
      <c r="L292" s="29"/>
      <c r="M292" s="29"/>
      <c r="N292" s="29"/>
      <c r="O292" s="29"/>
      <c r="Q292" s="64"/>
      <c r="R292" s="63"/>
      <c r="S292" s="27"/>
      <c r="T292" s="28"/>
      <c r="U292" s="43"/>
      <c r="V292" s="29">
        <f t="shared" si="36"/>
        <v>-59</v>
      </c>
      <c r="W292" s="29">
        <f t="shared" si="37"/>
        <v>-59</v>
      </c>
      <c r="X292" s="29"/>
      <c r="Y292" s="29"/>
      <c r="AA292"/>
      <c r="AB292" s="156"/>
      <c r="AC292"/>
      <c r="AD292"/>
      <c r="AE292" s="156"/>
      <c r="AF292"/>
      <c r="AG292"/>
      <c r="AH292"/>
      <c r="AI292"/>
      <c r="AJ292"/>
    </row>
    <row r="293" spans="1:36" s="12" customFormat="1" hidden="1" outlineLevel="1">
      <c r="A293" s="95">
        <v>45389</v>
      </c>
      <c r="B293" s="25" t="s">
        <v>17</v>
      </c>
      <c r="C293" s="26"/>
      <c r="D293" s="29"/>
      <c r="E293" s="29">
        <f t="shared" si="35"/>
        <v>10</v>
      </c>
      <c r="G293" s="64"/>
      <c r="H293" s="63"/>
      <c r="I293" s="27"/>
      <c r="J293" s="28"/>
      <c r="K293" s="43"/>
      <c r="L293" s="29"/>
      <c r="M293" s="29"/>
      <c r="N293" s="29"/>
      <c r="O293" s="29"/>
      <c r="Q293" s="64"/>
      <c r="R293" s="63"/>
      <c r="S293" s="27"/>
      <c r="T293" s="28"/>
      <c r="U293" s="43"/>
      <c r="V293" s="29">
        <f t="shared" si="36"/>
        <v>-59</v>
      </c>
      <c r="W293" s="29">
        <f t="shared" si="37"/>
        <v>-59</v>
      </c>
      <c r="X293" s="29"/>
      <c r="Y293" s="29"/>
      <c r="AA293"/>
      <c r="AB293" s="156"/>
      <c r="AC293"/>
      <c r="AD293"/>
      <c r="AE293" s="156"/>
      <c r="AF293"/>
      <c r="AG293"/>
      <c r="AH293"/>
      <c r="AI293"/>
      <c r="AJ293"/>
    </row>
    <row r="294" spans="1:36" hidden="1" outlineLevel="1">
      <c r="A294" s="96">
        <v>45390</v>
      </c>
      <c r="B294" s="17" t="s">
        <v>18</v>
      </c>
      <c r="C294" s="18">
        <v>60</v>
      </c>
      <c r="D294" s="23">
        <v>60</v>
      </c>
      <c r="E294" s="23">
        <f t="shared" si="35"/>
        <v>10</v>
      </c>
      <c r="G294" s="19"/>
      <c r="H294" s="62"/>
      <c r="I294" s="20"/>
      <c r="J294" s="21"/>
      <c r="K294" s="42"/>
      <c r="L294" s="23"/>
      <c r="M294" s="23"/>
      <c r="N294" s="23"/>
      <c r="O294" s="23"/>
      <c r="Q294" s="78">
        <v>57</v>
      </c>
      <c r="R294" s="62">
        <f>C290+S294</f>
        <v>90</v>
      </c>
      <c r="S294" s="20">
        <f>T294/2+3</f>
        <v>30</v>
      </c>
      <c r="T294" s="21">
        <f>C289</f>
        <v>54</v>
      </c>
      <c r="U294" s="57">
        <v>90</v>
      </c>
      <c r="V294" s="23">
        <f t="shared" si="36"/>
        <v>-26</v>
      </c>
      <c r="W294" s="23">
        <f t="shared" si="37"/>
        <v>-26</v>
      </c>
      <c r="X294" s="23"/>
      <c r="Y294" s="23">
        <v>10</v>
      </c>
      <c r="AA294" s="250"/>
      <c r="AB294" s="156"/>
      <c r="AC294"/>
      <c r="AD294"/>
      <c r="AE294" s="156"/>
      <c r="AF294"/>
      <c r="AG294"/>
    </row>
    <row r="295" spans="1:36" hidden="1" outlineLevel="1">
      <c r="A295" s="96">
        <v>45391</v>
      </c>
      <c r="B295" s="17" t="s">
        <v>19</v>
      </c>
      <c r="C295" s="18">
        <v>60</v>
      </c>
      <c r="D295" s="23">
        <v>44</v>
      </c>
      <c r="E295" s="23">
        <f t="shared" si="35"/>
        <v>-6</v>
      </c>
      <c r="G295" s="19"/>
      <c r="H295" s="62"/>
      <c r="I295" s="20"/>
      <c r="J295" s="21"/>
      <c r="K295" s="42"/>
      <c r="L295" s="23"/>
      <c r="M295" s="23"/>
      <c r="N295" s="23"/>
      <c r="O295" s="23"/>
      <c r="Q295" s="78">
        <v>69</v>
      </c>
      <c r="R295" s="62">
        <f>C291+S295</f>
        <v>60</v>
      </c>
      <c r="S295" s="20"/>
      <c r="T295" s="21"/>
      <c r="U295" s="57">
        <v>60</v>
      </c>
      <c r="V295" s="23">
        <f t="shared" si="36"/>
        <v>-35</v>
      </c>
      <c r="W295" s="23">
        <f t="shared" si="37"/>
        <v>-35</v>
      </c>
      <c r="X295" s="23"/>
      <c r="Y295" s="23">
        <v>11</v>
      </c>
      <c r="AA295" s="250"/>
      <c r="AB295" s="156"/>
      <c r="AC295"/>
      <c r="AD295"/>
      <c r="AE295" s="156"/>
      <c r="AF295"/>
      <c r="AG295"/>
    </row>
    <row r="296" spans="1:36" hidden="1" outlineLevel="1">
      <c r="A296" s="96">
        <v>45392</v>
      </c>
      <c r="B296" s="17" t="s">
        <v>20</v>
      </c>
      <c r="C296" s="18">
        <v>60</v>
      </c>
      <c r="D296" s="23">
        <v>64</v>
      </c>
      <c r="E296" s="23">
        <f t="shared" si="35"/>
        <v>-2</v>
      </c>
      <c r="G296" s="19"/>
      <c r="H296" s="62"/>
      <c r="I296" s="20"/>
      <c r="J296" s="21"/>
      <c r="K296" s="42"/>
      <c r="L296" s="23"/>
      <c r="M296" s="23"/>
      <c r="N296" s="23"/>
      <c r="O296" s="23"/>
      <c r="Q296" s="78">
        <v>66</v>
      </c>
      <c r="R296" s="62">
        <f>C294+S296</f>
        <v>60</v>
      </c>
      <c r="S296" s="20"/>
      <c r="T296" s="21"/>
      <c r="U296" s="57">
        <v>60</v>
      </c>
      <c r="V296" s="23">
        <f t="shared" si="36"/>
        <v>-41</v>
      </c>
      <c r="W296" s="23">
        <f t="shared" si="37"/>
        <v>-41</v>
      </c>
      <c r="X296" s="23"/>
      <c r="Y296" s="23">
        <v>12</v>
      </c>
      <c r="AA296" s="250"/>
      <c r="AB296" s="156"/>
      <c r="AC296"/>
      <c r="AD296"/>
      <c r="AE296" s="156"/>
      <c r="AF296"/>
      <c r="AG296"/>
    </row>
    <row r="297" spans="1:36" hidden="1" outlineLevel="1">
      <c r="A297" s="96">
        <v>45393</v>
      </c>
      <c r="B297" s="17" t="s">
        <v>14</v>
      </c>
      <c r="C297" s="18">
        <v>60</v>
      </c>
      <c r="D297" s="23">
        <v>60</v>
      </c>
      <c r="E297" s="23">
        <f t="shared" si="35"/>
        <v>-2</v>
      </c>
      <c r="G297" s="19"/>
      <c r="H297" s="62"/>
      <c r="I297" s="20"/>
      <c r="J297" s="21"/>
      <c r="K297" s="42"/>
      <c r="L297" s="23"/>
      <c r="M297" s="23"/>
      <c r="N297" s="23"/>
      <c r="O297" s="23"/>
      <c r="Q297" s="78">
        <v>54</v>
      </c>
      <c r="R297" s="62">
        <f>C295+S297</f>
        <v>60</v>
      </c>
      <c r="S297" s="20"/>
      <c r="T297" s="21"/>
      <c r="U297" s="57">
        <v>60</v>
      </c>
      <c r="V297" s="23">
        <f t="shared" si="36"/>
        <v>-35</v>
      </c>
      <c r="W297" s="23">
        <f t="shared" si="37"/>
        <v>-35</v>
      </c>
      <c r="X297" s="23"/>
      <c r="Y297" s="23">
        <v>11</v>
      </c>
      <c r="AA297" s="250"/>
      <c r="AB297" s="156"/>
      <c r="AC297"/>
      <c r="AD297"/>
      <c r="AE297" s="156"/>
      <c r="AF297"/>
      <c r="AG297"/>
    </row>
    <row r="298" spans="1:36" hidden="1" outlineLevel="1">
      <c r="A298" s="96">
        <v>45394</v>
      </c>
      <c r="B298" s="17" t="s">
        <v>15</v>
      </c>
      <c r="C298" s="18">
        <v>60</v>
      </c>
      <c r="D298" s="23">
        <v>60</v>
      </c>
      <c r="E298" s="23">
        <f t="shared" si="35"/>
        <v>-2</v>
      </c>
      <c r="G298" s="19"/>
      <c r="H298" s="62"/>
      <c r="I298" s="20"/>
      <c r="J298" s="21"/>
      <c r="K298" s="42"/>
      <c r="L298" s="23"/>
      <c r="M298" s="23"/>
      <c r="N298" s="23"/>
      <c r="O298" s="23"/>
      <c r="Q298" s="78">
        <v>69</v>
      </c>
      <c r="R298" s="62">
        <f>C296+S298</f>
        <v>60</v>
      </c>
      <c r="S298" s="20"/>
      <c r="T298" s="21"/>
      <c r="U298" s="57">
        <v>60</v>
      </c>
      <c r="V298" s="23">
        <f t="shared" si="36"/>
        <v>-44</v>
      </c>
      <c r="W298" s="23">
        <f t="shared" si="37"/>
        <v>-44</v>
      </c>
      <c r="X298" s="23"/>
      <c r="Y298" s="23">
        <v>9</v>
      </c>
      <c r="Z298" s="1">
        <f t="shared" ref="Z298" si="39">AVERAGE(Q294:Q298)</f>
        <v>63</v>
      </c>
      <c r="AA298" s="250"/>
      <c r="AB298" s="156"/>
      <c r="AC298"/>
      <c r="AD298"/>
      <c r="AE298" s="156"/>
      <c r="AF298"/>
      <c r="AG298"/>
    </row>
    <row r="299" spans="1:36" s="12" customFormat="1" hidden="1" outlineLevel="1" collapsed="1">
      <c r="A299" s="95">
        <v>45395</v>
      </c>
      <c r="B299" s="25" t="s">
        <v>16</v>
      </c>
      <c r="C299" s="26"/>
      <c r="D299" s="29"/>
      <c r="E299" s="29">
        <f t="shared" si="35"/>
        <v>-2</v>
      </c>
      <c r="G299" s="64"/>
      <c r="H299" s="63"/>
      <c r="I299" s="27"/>
      <c r="J299" s="28"/>
      <c r="K299" s="43"/>
      <c r="L299" s="29"/>
      <c r="M299" s="29"/>
      <c r="N299" s="29"/>
      <c r="O299" s="29"/>
      <c r="Q299" s="79"/>
      <c r="R299" s="63"/>
      <c r="S299" s="27"/>
      <c r="T299" s="28"/>
      <c r="U299" s="43"/>
      <c r="V299" s="29">
        <f t="shared" si="36"/>
        <v>-44</v>
      </c>
      <c r="W299" s="29">
        <f t="shared" si="37"/>
        <v>-44</v>
      </c>
      <c r="X299" s="29"/>
      <c r="Y299" s="29"/>
      <c r="AA299" s="250"/>
      <c r="AB299" s="156"/>
      <c r="AC299"/>
      <c r="AD299"/>
      <c r="AE299" s="156"/>
      <c r="AF299"/>
      <c r="AG299"/>
      <c r="AH299"/>
      <c r="AI299"/>
      <c r="AJ299"/>
    </row>
    <row r="300" spans="1:36" s="12" customFormat="1" hidden="1" outlineLevel="1">
      <c r="A300" s="95">
        <v>45396</v>
      </c>
      <c r="B300" s="25" t="s">
        <v>17</v>
      </c>
      <c r="C300" s="26"/>
      <c r="D300" s="29"/>
      <c r="E300" s="29">
        <f t="shared" si="35"/>
        <v>-2</v>
      </c>
      <c r="G300" s="64"/>
      <c r="H300" s="63"/>
      <c r="I300" s="27"/>
      <c r="J300" s="28"/>
      <c r="K300" s="43"/>
      <c r="L300" s="29"/>
      <c r="M300" s="29"/>
      <c r="N300" s="29"/>
      <c r="O300" s="29"/>
      <c r="Q300" s="79"/>
      <c r="R300" s="63"/>
      <c r="S300" s="27"/>
      <c r="T300" s="28"/>
      <c r="U300" s="43"/>
      <c r="V300" s="29">
        <f t="shared" si="36"/>
        <v>-44</v>
      </c>
      <c r="W300" s="29">
        <f t="shared" si="37"/>
        <v>-44</v>
      </c>
      <c r="X300" s="29"/>
      <c r="Y300" s="29"/>
      <c r="AA300" s="250"/>
      <c r="AB300" s="156"/>
      <c r="AC300"/>
      <c r="AD300"/>
      <c r="AE300" s="156"/>
      <c r="AF300"/>
      <c r="AG300"/>
      <c r="AH300"/>
      <c r="AI300"/>
      <c r="AJ300"/>
    </row>
    <row r="301" spans="1:36" hidden="1" outlineLevel="1">
      <c r="A301" s="96">
        <v>45397</v>
      </c>
      <c r="B301" s="17" t="s">
        <v>18</v>
      </c>
      <c r="C301" s="18">
        <v>60</v>
      </c>
      <c r="D301" s="23">
        <v>55</v>
      </c>
      <c r="E301" s="23">
        <f t="shared" si="35"/>
        <v>-7</v>
      </c>
      <c r="G301" s="19"/>
      <c r="H301" s="62"/>
      <c r="I301" s="20"/>
      <c r="J301" s="21"/>
      <c r="K301" s="42"/>
      <c r="L301" s="23"/>
      <c r="M301" s="23"/>
      <c r="N301" s="23"/>
      <c r="O301" s="23"/>
      <c r="Q301" s="78">
        <v>57</v>
      </c>
      <c r="R301" s="62">
        <f>C297+S301</f>
        <v>60</v>
      </c>
      <c r="S301" s="20"/>
      <c r="T301" s="21"/>
      <c r="U301" s="57">
        <v>60</v>
      </c>
      <c r="V301" s="23">
        <f t="shared" si="36"/>
        <v>-41</v>
      </c>
      <c r="W301" s="23">
        <f t="shared" si="37"/>
        <v>-41</v>
      </c>
      <c r="X301" s="23"/>
      <c r="Y301" s="23">
        <v>11</v>
      </c>
      <c r="AA301" s="250"/>
      <c r="AB301" s="156"/>
      <c r="AC301"/>
      <c r="AD301"/>
      <c r="AE301" s="156"/>
      <c r="AF301"/>
      <c r="AG301"/>
    </row>
    <row r="302" spans="1:36" hidden="1" outlineLevel="1">
      <c r="A302" s="96">
        <v>45398</v>
      </c>
      <c r="B302" s="17" t="s">
        <v>19</v>
      </c>
      <c r="C302" s="18">
        <v>60</v>
      </c>
      <c r="D302" s="23">
        <v>65</v>
      </c>
      <c r="E302" s="23">
        <f t="shared" si="35"/>
        <v>-2</v>
      </c>
      <c r="G302" s="19"/>
      <c r="H302" s="62"/>
      <c r="I302" s="20"/>
      <c r="J302" s="21"/>
      <c r="K302" s="42"/>
      <c r="L302" s="23"/>
      <c r="M302" s="23"/>
      <c r="N302" s="23"/>
      <c r="O302" s="23"/>
      <c r="Q302" s="78">
        <v>69</v>
      </c>
      <c r="R302" s="62">
        <f>C298+S302</f>
        <v>60</v>
      </c>
      <c r="S302" s="20"/>
      <c r="T302" s="21"/>
      <c r="U302" s="57">
        <v>60</v>
      </c>
      <c r="V302" s="23">
        <f t="shared" si="36"/>
        <v>-50</v>
      </c>
      <c r="W302" s="23">
        <f t="shared" si="37"/>
        <v>-50</v>
      </c>
      <c r="X302" s="23"/>
      <c r="Y302" s="23">
        <v>10</v>
      </c>
      <c r="AA302" s="250"/>
      <c r="AB302" s="156"/>
      <c r="AC302"/>
      <c r="AD302"/>
      <c r="AE302" s="156"/>
      <c r="AF302"/>
      <c r="AG302"/>
    </row>
    <row r="303" spans="1:36" hidden="1" outlineLevel="1">
      <c r="A303" s="96">
        <v>45399</v>
      </c>
      <c r="B303" s="17" t="s">
        <v>20</v>
      </c>
      <c r="C303" s="18">
        <v>54</v>
      </c>
      <c r="D303" s="23">
        <v>66</v>
      </c>
      <c r="E303" s="23">
        <f t="shared" si="35"/>
        <v>10</v>
      </c>
      <c r="G303" s="19"/>
      <c r="H303" s="62"/>
      <c r="I303" s="20"/>
      <c r="J303" s="21"/>
      <c r="K303" s="42"/>
      <c r="L303" s="23"/>
      <c r="M303" s="23"/>
      <c r="N303" s="23"/>
      <c r="O303" s="23"/>
      <c r="Q303" s="78">
        <v>69</v>
      </c>
      <c r="R303" s="62">
        <f>C301+S303</f>
        <v>60</v>
      </c>
      <c r="S303" s="20"/>
      <c r="T303" s="21"/>
      <c r="U303" s="57">
        <v>60</v>
      </c>
      <c r="V303" s="23">
        <f t="shared" si="36"/>
        <v>-59</v>
      </c>
      <c r="W303" s="23">
        <f t="shared" si="37"/>
        <v>-59</v>
      </c>
      <c r="X303" s="23"/>
      <c r="Y303" s="23">
        <v>11</v>
      </c>
      <c r="AA303" s="250"/>
      <c r="AB303" s="156"/>
      <c r="AC303"/>
      <c r="AD303"/>
      <c r="AE303" s="156"/>
      <c r="AF303"/>
      <c r="AG303"/>
    </row>
    <row r="304" spans="1:36" hidden="1" outlineLevel="1">
      <c r="A304" s="96">
        <v>45400</v>
      </c>
      <c r="B304" s="17" t="s">
        <v>14</v>
      </c>
      <c r="C304" s="18">
        <v>54</v>
      </c>
      <c r="D304" s="23">
        <v>60</v>
      </c>
      <c r="E304" s="23">
        <f t="shared" si="35"/>
        <v>16</v>
      </c>
      <c r="G304" s="19"/>
      <c r="H304" s="62"/>
      <c r="I304" s="20"/>
      <c r="J304" s="21"/>
      <c r="K304" s="42"/>
      <c r="L304" s="23"/>
      <c r="M304" s="23"/>
      <c r="N304" s="23"/>
      <c r="O304" s="23"/>
      <c r="Q304" s="78">
        <v>42</v>
      </c>
      <c r="R304" s="62">
        <f>C302+S304</f>
        <v>60</v>
      </c>
      <c r="S304" s="20"/>
      <c r="T304" s="21"/>
      <c r="U304" s="57">
        <v>60</v>
      </c>
      <c r="V304" s="23">
        <f t="shared" si="36"/>
        <v>-41</v>
      </c>
      <c r="W304" s="23">
        <f t="shared" si="37"/>
        <v>-41</v>
      </c>
      <c r="X304" s="23"/>
      <c r="Y304" s="23">
        <v>12</v>
      </c>
      <c r="AA304" s="250"/>
      <c r="AB304" s="156"/>
      <c r="AC304"/>
      <c r="AD304"/>
      <c r="AE304" s="156"/>
      <c r="AF304"/>
      <c r="AG304"/>
    </row>
    <row r="305" spans="1:36" hidden="1" outlineLevel="1">
      <c r="A305" s="96">
        <v>45401</v>
      </c>
      <c r="B305" s="17" t="s">
        <v>15</v>
      </c>
      <c r="C305" s="18">
        <v>60</v>
      </c>
      <c r="D305" s="23">
        <v>68</v>
      </c>
      <c r="E305" s="23">
        <f t="shared" si="35"/>
        <v>24</v>
      </c>
      <c r="G305" s="19"/>
      <c r="H305" s="62"/>
      <c r="I305" s="20"/>
      <c r="J305" s="21"/>
      <c r="K305" s="42"/>
      <c r="L305" s="23"/>
      <c r="M305" s="23"/>
      <c r="N305" s="23"/>
      <c r="O305" s="23"/>
      <c r="Q305" s="78">
        <v>69</v>
      </c>
      <c r="R305" s="62">
        <f>C303+S305</f>
        <v>54</v>
      </c>
      <c r="S305" s="20"/>
      <c r="T305" s="21"/>
      <c r="U305" s="57">
        <v>54</v>
      </c>
      <c r="V305" s="23">
        <f t="shared" si="36"/>
        <v>-56</v>
      </c>
      <c r="W305" s="23">
        <f t="shared" si="37"/>
        <v>-56</v>
      </c>
      <c r="X305" s="23"/>
      <c r="Y305" s="23">
        <v>12</v>
      </c>
      <c r="Z305" s="1">
        <f t="shared" ref="Z305" si="40">AVERAGE(Q301:Q305)</f>
        <v>61.2</v>
      </c>
      <c r="AA305" s="250"/>
      <c r="AB305" s="156"/>
      <c r="AC305"/>
      <c r="AD305"/>
      <c r="AE305" s="156"/>
      <c r="AF305"/>
      <c r="AG305"/>
    </row>
    <row r="306" spans="1:36" s="12" customFormat="1" hidden="1" outlineLevel="1">
      <c r="A306" s="95">
        <v>45402</v>
      </c>
      <c r="B306" s="25" t="s">
        <v>16</v>
      </c>
      <c r="C306" s="26"/>
      <c r="D306" s="29"/>
      <c r="E306" s="29">
        <f t="shared" si="35"/>
        <v>24</v>
      </c>
      <c r="G306" s="64"/>
      <c r="H306" s="63"/>
      <c r="I306" s="27"/>
      <c r="J306" s="28"/>
      <c r="K306" s="43"/>
      <c r="L306" s="29"/>
      <c r="M306" s="29"/>
      <c r="N306" s="29"/>
      <c r="O306" s="29"/>
      <c r="Q306" s="79"/>
      <c r="R306" s="63"/>
      <c r="S306" s="27"/>
      <c r="T306" s="28"/>
      <c r="U306" s="43"/>
      <c r="V306" s="29">
        <f t="shared" si="36"/>
        <v>-56</v>
      </c>
      <c r="W306" s="29">
        <f t="shared" si="37"/>
        <v>-56</v>
      </c>
      <c r="X306" s="29"/>
      <c r="Y306" s="29"/>
      <c r="AA306" s="250"/>
      <c r="AB306" s="156"/>
      <c r="AC306"/>
      <c r="AD306"/>
      <c r="AE306" s="156"/>
      <c r="AF306"/>
      <c r="AG306"/>
      <c r="AH306"/>
      <c r="AI306"/>
      <c r="AJ306"/>
    </row>
    <row r="307" spans="1:36" s="12" customFormat="1" hidden="1" outlineLevel="1">
      <c r="A307" s="95">
        <v>45403</v>
      </c>
      <c r="B307" s="25" t="s">
        <v>17</v>
      </c>
      <c r="C307" s="26"/>
      <c r="D307" s="29"/>
      <c r="E307" s="29">
        <f t="shared" si="35"/>
        <v>24</v>
      </c>
      <c r="G307" s="64"/>
      <c r="H307" s="63"/>
      <c r="I307" s="27"/>
      <c r="J307" s="28"/>
      <c r="K307" s="43"/>
      <c r="L307" s="29"/>
      <c r="M307" s="29"/>
      <c r="N307" s="29"/>
      <c r="O307" s="29"/>
      <c r="Q307" s="79"/>
      <c r="R307" s="63"/>
      <c r="S307" s="27"/>
      <c r="T307" s="28"/>
      <c r="U307" s="43"/>
      <c r="V307" s="29">
        <f t="shared" si="36"/>
        <v>-56</v>
      </c>
      <c r="W307" s="29">
        <f t="shared" si="37"/>
        <v>-56</v>
      </c>
      <c r="X307" s="29"/>
      <c r="Y307" s="29"/>
      <c r="AA307" s="250"/>
      <c r="AB307" s="156"/>
      <c r="AC307"/>
      <c r="AD307"/>
      <c r="AE307" s="156"/>
      <c r="AF307"/>
      <c r="AG307"/>
      <c r="AH307"/>
      <c r="AI307"/>
      <c r="AJ307"/>
    </row>
    <row r="308" spans="1:36" hidden="1" outlineLevel="1" collapsed="1">
      <c r="A308" s="96">
        <v>45404</v>
      </c>
      <c r="B308" s="17" t="s">
        <v>18</v>
      </c>
      <c r="C308" s="18">
        <f>60</f>
        <v>60</v>
      </c>
      <c r="D308" s="23">
        <v>64</v>
      </c>
      <c r="E308" s="23">
        <f t="shared" si="35"/>
        <v>28</v>
      </c>
      <c r="G308" s="19"/>
      <c r="H308" s="62"/>
      <c r="I308" s="20"/>
      <c r="J308" s="21"/>
      <c r="K308" s="42"/>
      <c r="L308" s="23"/>
      <c r="M308" s="23"/>
      <c r="N308" s="23"/>
      <c r="O308" s="23"/>
      <c r="Q308" s="78">
        <v>3</v>
      </c>
      <c r="R308" s="62">
        <f>C304+S308</f>
        <v>54</v>
      </c>
      <c r="S308" s="20"/>
      <c r="T308" s="21"/>
      <c r="U308" s="57">
        <v>54</v>
      </c>
      <c r="V308" s="23">
        <f t="shared" si="36"/>
        <v>-5</v>
      </c>
      <c r="W308" s="23">
        <f t="shared" si="37"/>
        <v>-5</v>
      </c>
      <c r="X308" s="23"/>
      <c r="Y308" s="23">
        <v>8</v>
      </c>
      <c r="AA308" s="250"/>
      <c r="AB308" s="156"/>
      <c r="AC308"/>
      <c r="AD308"/>
      <c r="AE308" s="156"/>
      <c r="AF308"/>
      <c r="AG308"/>
    </row>
    <row r="309" spans="1:36" hidden="1" outlineLevel="1">
      <c r="A309" s="96">
        <v>45405</v>
      </c>
      <c r="B309" s="17" t="s">
        <v>19</v>
      </c>
      <c r="C309" s="18">
        <f>66</f>
        <v>66</v>
      </c>
      <c r="D309" s="23">
        <v>66</v>
      </c>
      <c r="E309" s="23">
        <f t="shared" si="35"/>
        <v>28</v>
      </c>
      <c r="G309" s="19"/>
      <c r="H309" s="62"/>
      <c r="I309" s="20"/>
      <c r="J309" s="21"/>
      <c r="K309" s="42"/>
      <c r="L309" s="23"/>
      <c r="M309" s="23"/>
      <c r="N309" s="23"/>
      <c r="O309" s="23"/>
      <c r="Q309" s="78">
        <v>66</v>
      </c>
      <c r="R309" s="62">
        <f>C305+S309</f>
        <v>60</v>
      </c>
      <c r="S309" s="20"/>
      <c r="T309" s="21"/>
      <c r="U309" s="57">
        <v>60</v>
      </c>
      <c r="V309" s="23">
        <f t="shared" si="36"/>
        <v>-11</v>
      </c>
      <c r="W309" s="23">
        <f t="shared" si="37"/>
        <v>-11</v>
      </c>
      <c r="X309" s="23"/>
      <c r="Y309" s="23">
        <v>14</v>
      </c>
      <c r="AA309" s="250"/>
      <c r="AB309" s="156"/>
      <c r="AC309"/>
      <c r="AD309"/>
      <c r="AE309" s="156"/>
      <c r="AF309"/>
      <c r="AG309"/>
    </row>
    <row r="310" spans="1:36" hidden="1" outlineLevel="1">
      <c r="A310" s="96">
        <v>45406</v>
      </c>
      <c r="B310" s="17" t="s">
        <v>20</v>
      </c>
      <c r="C310" s="18">
        <v>66</v>
      </c>
      <c r="D310" s="23">
        <v>66</v>
      </c>
      <c r="E310" s="23">
        <f t="shared" si="35"/>
        <v>28</v>
      </c>
      <c r="G310" s="19"/>
      <c r="H310" s="62"/>
      <c r="I310" s="20"/>
      <c r="J310" s="21"/>
      <c r="K310" s="42"/>
      <c r="L310" s="23"/>
      <c r="M310" s="23"/>
      <c r="N310" s="23"/>
      <c r="O310" s="23"/>
      <c r="Q310" s="78">
        <v>72</v>
      </c>
      <c r="R310" s="62">
        <f>C308+S310</f>
        <v>60</v>
      </c>
      <c r="S310" s="20"/>
      <c r="T310" s="21"/>
      <c r="U310" s="57">
        <v>60</v>
      </c>
      <c r="V310" s="23">
        <f t="shared" si="36"/>
        <v>-23</v>
      </c>
      <c r="W310" s="23">
        <f t="shared" si="37"/>
        <v>-23</v>
      </c>
      <c r="X310" s="23"/>
      <c r="Y310" s="23">
        <v>0</v>
      </c>
      <c r="AA310" s="250"/>
      <c r="AB310" s="156"/>
      <c r="AC310"/>
      <c r="AD310"/>
      <c r="AE310" s="156"/>
      <c r="AF310"/>
      <c r="AG310"/>
    </row>
    <row r="311" spans="1:36" hidden="1" outlineLevel="1">
      <c r="A311" s="96">
        <v>45407</v>
      </c>
      <c r="B311" s="17" t="s">
        <v>14</v>
      </c>
      <c r="C311" s="18">
        <v>66</v>
      </c>
      <c r="D311" s="23">
        <v>66</v>
      </c>
      <c r="E311" s="23">
        <f t="shared" si="35"/>
        <v>28</v>
      </c>
      <c r="G311" s="19"/>
      <c r="H311" s="62"/>
      <c r="I311" s="20"/>
      <c r="J311" s="21"/>
      <c r="K311" s="42"/>
      <c r="L311" s="23"/>
      <c r="M311" s="23"/>
      <c r="N311" s="23"/>
      <c r="O311" s="23"/>
      <c r="Q311" s="78">
        <v>51</v>
      </c>
      <c r="R311" s="62">
        <f>C309+S311</f>
        <v>66</v>
      </c>
      <c r="S311" s="20"/>
      <c r="T311" s="21"/>
      <c r="U311" s="57">
        <v>66</v>
      </c>
      <c r="V311" s="23">
        <f t="shared" si="36"/>
        <v>-8</v>
      </c>
      <c r="W311" s="23">
        <f t="shared" si="37"/>
        <v>-8</v>
      </c>
      <c r="X311" s="23"/>
      <c r="Y311" s="23">
        <v>0</v>
      </c>
      <c r="AA311" s="250"/>
      <c r="AB311" s="156"/>
      <c r="AC311"/>
      <c r="AD311"/>
      <c r="AE311" s="156"/>
      <c r="AF311"/>
      <c r="AG311"/>
    </row>
    <row r="312" spans="1:36" hidden="1" outlineLevel="1">
      <c r="A312" s="96">
        <v>45408</v>
      </c>
      <c r="B312" s="17" t="s">
        <v>15</v>
      </c>
      <c r="C312" s="18">
        <v>60</v>
      </c>
      <c r="D312" s="23">
        <v>58</v>
      </c>
      <c r="E312" s="23">
        <f t="shared" si="35"/>
        <v>26</v>
      </c>
      <c r="G312" s="19"/>
      <c r="H312" s="62"/>
      <c r="I312" s="20"/>
      <c r="J312" s="21"/>
      <c r="K312" s="42"/>
      <c r="L312" s="23"/>
      <c r="M312" s="23"/>
      <c r="N312" s="23"/>
      <c r="O312" s="23"/>
      <c r="Q312" s="78">
        <v>69</v>
      </c>
      <c r="R312" s="62">
        <f>C310+S312</f>
        <v>66</v>
      </c>
      <c r="S312" s="20"/>
      <c r="T312" s="21"/>
      <c r="U312" s="57">
        <v>66</v>
      </c>
      <c r="V312" s="23">
        <f t="shared" si="36"/>
        <v>-11</v>
      </c>
      <c r="W312" s="23">
        <f t="shared" si="37"/>
        <v>-11</v>
      </c>
      <c r="X312" s="23"/>
      <c r="Y312" s="23">
        <v>9</v>
      </c>
      <c r="Z312" s="1">
        <f t="shared" ref="Z312" si="41">AVERAGE(Q308:Q312)</f>
        <v>52.2</v>
      </c>
      <c r="AA312" s="250"/>
      <c r="AB312" s="156"/>
      <c r="AC312"/>
      <c r="AD312"/>
      <c r="AE312" s="156"/>
      <c r="AF312"/>
      <c r="AG312"/>
    </row>
    <row r="313" spans="1:36" s="12" customFormat="1" hidden="1" outlineLevel="1">
      <c r="A313" s="95">
        <v>45409</v>
      </c>
      <c r="B313" s="25" t="s">
        <v>16</v>
      </c>
      <c r="C313" s="26"/>
      <c r="D313" s="29"/>
      <c r="E313" s="29">
        <f t="shared" si="35"/>
        <v>26</v>
      </c>
      <c r="G313" s="64"/>
      <c r="H313" s="63"/>
      <c r="I313" s="27"/>
      <c r="J313" s="28"/>
      <c r="K313" s="43"/>
      <c r="L313" s="29"/>
      <c r="M313" s="29"/>
      <c r="N313" s="29"/>
      <c r="O313" s="29"/>
      <c r="Q313" s="64"/>
      <c r="R313" s="63"/>
      <c r="S313" s="27"/>
      <c r="T313" s="28"/>
      <c r="U313" s="43"/>
      <c r="V313" s="29">
        <f t="shared" si="36"/>
        <v>-11</v>
      </c>
      <c r="W313" s="29">
        <f t="shared" si="37"/>
        <v>-11</v>
      </c>
      <c r="X313" s="29"/>
      <c r="Y313" s="29"/>
      <c r="AA313"/>
      <c r="AB313" s="156"/>
      <c r="AC313"/>
      <c r="AD313"/>
      <c r="AE313" s="156"/>
      <c r="AF313"/>
      <c r="AG313"/>
      <c r="AH313"/>
      <c r="AI313"/>
      <c r="AJ313"/>
    </row>
    <row r="314" spans="1:36" s="12" customFormat="1" hidden="1" outlineLevel="1">
      <c r="A314" s="95">
        <v>45410</v>
      </c>
      <c r="B314" s="25" t="s">
        <v>17</v>
      </c>
      <c r="C314" s="26"/>
      <c r="D314" s="29"/>
      <c r="E314" s="29">
        <f t="shared" si="35"/>
        <v>26</v>
      </c>
      <c r="G314" s="64"/>
      <c r="H314" s="63"/>
      <c r="I314" s="27"/>
      <c r="J314" s="28"/>
      <c r="K314" s="43"/>
      <c r="L314" s="29"/>
      <c r="M314" s="29"/>
      <c r="N314" s="29"/>
      <c r="O314" s="29"/>
      <c r="Q314" s="64"/>
      <c r="R314" s="63"/>
      <c r="S314" s="27"/>
      <c r="T314" s="28"/>
      <c r="U314" s="43"/>
      <c r="V314" s="29">
        <f t="shared" si="36"/>
        <v>-11</v>
      </c>
      <c r="W314" s="29">
        <f t="shared" si="37"/>
        <v>-11</v>
      </c>
      <c r="X314" s="29"/>
      <c r="Y314" s="29"/>
      <c r="AA314"/>
      <c r="AB314" s="156"/>
      <c r="AC314"/>
      <c r="AD314"/>
      <c r="AE314" s="156"/>
      <c r="AF314"/>
      <c r="AG314"/>
      <c r="AH314"/>
      <c r="AI314"/>
      <c r="AJ314"/>
    </row>
    <row r="315" spans="1:36" s="12" customFormat="1" hidden="1" outlineLevel="1">
      <c r="A315" s="95">
        <v>45411</v>
      </c>
      <c r="B315" s="25" t="s">
        <v>18</v>
      </c>
      <c r="C315" s="26"/>
      <c r="D315" s="29"/>
      <c r="E315" s="29">
        <f t="shared" si="35"/>
        <v>26</v>
      </c>
      <c r="G315" s="64"/>
      <c r="H315" s="63"/>
      <c r="I315" s="27"/>
      <c r="J315" s="28"/>
      <c r="K315" s="43"/>
      <c r="L315" s="29"/>
      <c r="M315" s="29"/>
      <c r="N315" s="29"/>
      <c r="O315" s="29"/>
      <c r="Q315" s="64"/>
      <c r="R315" s="63"/>
      <c r="S315" s="27"/>
      <c r="T315" s="28"/>
      <c r="U315" s="43"/>
      <c r="V315" s="29">
        <f t="shared" si="36"/>
        <v>-11</v>
      </c>
      <c r="W315" s="29">
        <f t="shared" si="37"/>
        <v>-11</v>
      </c>
      <c r="X315" s="29"/>
      <c r="Y315" s="29"/>
      <c r="AA315"/>
      <c r="AB315" s="156"/>
      <c r="AC315"/>
      <c r="AD315"/>
      <c r="AE315" s="156"/>
      <c r="AF315"/>
      <c r="AG315"/>
      <c r="AH315"/>
      <c r="AI315"/>
      <c r="AJ315"/>
    </row>
    <row r="316" spans="1:36" s="12" customFormat="1" hidden="1" outlineLevel="1">
      <c r="A316" s="95">
        <v>45412</v>
      </c>
      <c r="B316" s="25" t="s">
        <v>19</v>
      </c>
      <c r="C316" s="26"/>
      <c r="D316" s="29"/>
      <c r="E316" s="29">
        <f t="shared" si="35"/>
        <v>26</v>
      </c>
      <c r="G316" s="64"/>
      <c r="H316" s="63"/>
      <c r="I316" s="27"/>
      <c r="J316" s="28"/>
      <c r="K316" s="43"/>
      <c r="L316" s="29"/>
      <c r="M316" s="29"/>
      <c r="N316" s="29"/>
      <c r="O316" s="29"/>
      <c r="Q316" s="64"/>
      <c r="R316" s="63"/>
      <c r="S316" s="27"/>
      <c r="T316" s="28"/>
      <c r="U316" s="43"/>
      <c r="V316" s="29">
        <f t="shared" si="36"/>
        <v>-11</v>
      </c>
      <c r="W316" s="29">
        <f t="shared" si="37"/>
        <v>-11</v>
      </c>
      <c r="X316" s="29"/>
      <c r="Y316" s="29"/>
      <c r="AA316"/>
      <c r="AB316" s="156"/>
      <c r="AC316"/>
      <c r="AD316"/>
      <c r="AE316" s="156"/>
      <c r="AF316"/>
      <c r="AG316"/>
      <c r="AH316"/>
      <c r="AI316"/>
      <c r="AJ316"/>
    </row>
    <row r="317" spans="1:36" s="12" customFormat="1" hidden="1" outlineLevel="1">
      <c r="A317" s="95">
        <v>45413</v>
      </c>
      <c r="B317" s="25" t="s">
        <v>20</v>
      </c>
      <c r="C317" s="26"/>
      <c r="D317" s="29"/>
      <c r="E317" s="29">
        <f t="shared" si="35"/>
        <v>26</v>
      </c>
      <c r="G317" s="64"/>
      <c r="H317" s="63"/>
      <c r="I317" s="27"/>
      <c r="J317" s="28"/>
      <c r="K317" s="43"/>
      <c r="L317" s="29"/>
      <c r="M317" s="29"/>
      <c r="N317" s="29"/>
      <c r="O317" s="29"/>
      <c r="Q317" s="64"/>
      <c r="R317" s="63"/>
      <c r="S317" s="27"/>
      <c r="T317" s="28"/>
      <c r="U317" s="43"/>
      <c r="V317" s="29">
        <f t="shared" ref="V317:V347" si="42">V316-Q317+U317</f>
        <v>-11</v>
      </c>
      <c r="W317" s="29">
        <f t="shared" ref="W317:W347" si="43">W316-Q317+R317</f>
        <v>-11</v>
      </c>
      <c r="X317" s="29"/>
      <c r="Y317" s="29"/>
      <c r="AA317"/>
      <c r="AB317" s="156"/>
      <c r="AC317"/>
      <c r="AD317"/>
      <c r="AE317" s="156"/>
      <c r="AF317"/>
      <c r="AG317"/>
      <c r="AH317"/>
      <c r="AI317"/>
      <c r="AJ317"/>
    </row>
    <row r="318" spans="1:36" s="12" customFormat="1" hidden="1" outlineLevel="1">
      <c r="A318" s="95">
        <v>45414</v>
      </c>
      <c r="B318" s="25" t="s">
        <v>14</v>
      </c>
      <c r="C318" s="26"/>
      <c r="D318" s="29"/>
      <c r="E318" s="29">
        <f t="shared" si="35"/>
        <v>26</v>
      </c>
      <c r="G318" s="64"/>
      <c r="H318" s="63"/>
      <c r="I318" s="27"/>
      <c r="J318" s="28"/>
      <c r="K318" s="43"/>
      <c r="L318" s="29"/>
      <c r="M318" s="29"/>
      <c r="N318" s="29"/>
      <c r="O318" s="29"/>
      <c r="Q318" s="64"/>
      <c r="R318" s="63"/>
      <c r="S318" s="27"/>
      <c r="T318" s="28"/>
      <c r="U318" s="43"/>
      <c r="V318" s="29">
        <f t="shared" si="42"/>
        <v>-11</v>
      </c>
      <c r="W318" s="29">
        <f t="shared" si="43"/>
        <v>-11</v>
      </c>
      <c r="X318" s="29"/>
      <c r="Y318" s="29"/>
      <c r="AA318"/>
      <c r="AB318" s="156"/>
      <c r="AC318"/>
      <c r="AD318"/>
      <c r="AE318" s="156"/>
      <c r="AF318"/>
      <c r="AG318"/>
      <c r="AH318"/>
      <c r="AI318"/>
      <c r="AJ318"/>
    </row>
    <row r="319" spans="1:36" s="12" customFormat="1" hidden="1" outlineLevel="1">
      <c r="A319" s="95">
        <v>45415</v>
      </c>
      <c r="B319" s="25" t="s">
        <v>15</v>
      </c>
      <c r="C319" s="26"/>
      <c r="D319" s="29"/>
      <c r="E319" s="29">
        <f t="shared" si="35"/>
        <v>26</v>
      </c>
      <c r="G319" s="64"/>
      <c r="H319" s="63"/>
      <c r="I319" s="27"/>
      <c r="J319" s="28"/>
      <c r="K319" s="43"/>
      <c r="L319" s="29"/>
      <c r="M319" s="29"/>
      <c r="N319" s="29"/>
      <c r="O319" s="29"/>
      <c r="Q319" s="64"/>
      <c r="R319" s="63"/>
      <c r="S319" s="27"/>
      <c r="T319" s="28"/>
      <c r="U319" s="43"/>
      <c r="V319" s="29">
        <f t="shared" si="42"/>
        <v>-11</v>
      </c>
      <c r="W319" s="29">
        <f t="shared" si="43"/>
        <v>-11</v>
      </c>
      <c r="X319" s="29"/>
      <c r="Y319" s="29"/>
      <c r="AA319"/>
      <c r="AB319" s="156"/>
      <c r="AC319"/>
      <c r="AD319"/>
      <c r="AE319" s="156"/>
      <c r="AF319"/>
      <c r="AG319"/>
      <c r="AH319"/>
      <c r="AI319"/>
      <c r="AJ319"/>
    </row>
    <row r="320" spans="1:36" s="12" customFormat="1" hidden="1" outlineLevel="1">
      <c r="A320" s="95">
        <v>45416</v>
      </c>
      <c r="B320" s="25" t="s">
        <v>16</v>
      </c>
      <c r="C320" s="26"/>
      <c r="D320" s="29"/>
      <c r="E320" s="29">
        <f t="shared" si="35"/>
        <v>26</v>
      </c>
      <c r="G320" s="64"/>
      <c r="H320" s="63"/>
      <c r="I320" s="27"/>
      <c r="J320" s="28"/>
      <c r="K320" s="43"/>
      <c r="L320" s="29"/>
      <c r="M320" s="29"/>
      <c r="N320" s="29"/>
      <c r="O320" s="29"/>
      <c r="Q320" s="64"/>
      <c r="R320" s="63"/>
      <c r="S320" s="27"/>
      <c r="T320" s="28"/>
      <c r="U320" s="43"/>
      <c r="V320" s="29">
        <f t="shared" si="42"/>
        <v>-11</v>
      </c>
      <c r="W320" s="29">
        <f t="shared" si="43"/>
        <v>-11</v>
      </c>
      <c r="X320" s="29"/>
      <c r="Y320" s="29"/>
      <c r="AA320"/>
      <c r="AB320" s="156"/>
      <c r="AC320"/>
      <c r="AD320"/>
      <c r="AE320" s="156"/>
      <c r="AF320"/>
      <c r="AG320"/>
      <c r="AH320"/>
      <c r="AI320"/>
      <c r="AJ320"/>
    </row>
    <row r="321" spans="1:36" s="12" customFormat="1" hidden="1" outlineLevel="1">
      <c r="A321" s="95">
        <v>45417</v>
      </c>
      <c r="B321" s="25" t="s">
        <v>17</v>
      </c>
      <c r="C321" s="26"/>
      <c r="D321" s="29"/>
      <c r="E321" s="29">
        <f t="shared" si="35"/>
        <v>26</v>
      </c>
      <c r="G321" s="64"/>
      <c r="H321" s="63"/>
      <c r="I321" s="27"/>
      <c r="J321" s="28"/>
      <c r="K321" s="43"/>
      <c r="L321" s="29"/>
      <c r="M321" s="29"/>
      <c r="N321" s="29"/>
      <c r="O321" s="29"/>
      <c r="Q321" s="64"/>
      <c r="R321" s="63"/>
      <c r="S321" s="27"/>
      <c r="T321" s="28"/>
      <c r="U321" s="43"/>
      <c r="V321" s="29">
        <f t="shared" si="42"/>
        <v>-11</v>
      </c>
      <c r="W321" s="29">
        <f t="shared" si="43"/>
        <v>-11</v>
      </c>
      <c r="X321" s="29"/>
      <c r="Y321" s="29"/>
      <c r="AA321"/>
      <c r="AB321" s="156"/>
      <c r="AC321"/>
      <c r="AD321"/>
      <c r="AE321" s="156"/>
      <c r="AF321"/>
      <c r="AG321"/>
      <c r="AH321"/>
      <c r="AI321"/>
      <c r="AJ321"/>
    </row>
    <row r="322" spans="1:36" hidden="1" outlineLevel="1" collapsed="1">
      <c r="A322" s="96">
        <v>45418</v>
      </c>
      <c r="B322" s="17" t="s">
        <v>18</v>
      </c>
      <c r="C322" s="18">
        <f>66-18</f>
        <v>48</v>
      </c>
      <c r="D322" s="23">
        <v>0</v>
      </c>
      <c r="E322" s="23">
        <f t="shared" si="35"/>
        <v>-22</v>
      </c>
      <c r="G322" s="19"/>
      <c r="H322" s="62"/>
      <c r="I322" s="20"/>
      <c r="J322" s="21"/>
      <c r="K322" s="42"/>
      <c r="L322" s="23"/>
      <c r="M322" s="23"/>
      <c r="N322" s="23"/>
      <c r="O322" s="23"/>
      <c r="Q322" s="78">
        <v>51</v>
      </c>
      <c r="R322" s="62">
        <f>C311</f>
        <v>66</v>
      </c>
      <c r="S322" s="20"/>
      <c r="T322" s="21"/>
      <c r="U322" s="57">
        <v>66</v>
      </c>
      <c r="V322" s="23">
        <f t="shared" si="42"/>
        <v>4</v>
      </c>
      <c r="W322" s="23">
        <f t="shared" si="43"/>
        <v>4</v>
      </c>
      <c r="X322" s="23"/>
      <c r="Y322" s="23">
        <v>13</v>
      </c>
      <c r="AA322" s="250"/>
      <c r="AB322" s="156"/>
      <c r="AC322"/>
      <c r="AD322"/>
      <c r="AE322" s="156"/>
      <c r="AF322"/>
      <c r="AG322"/>
    </row>
    <row r="323" spans="1:36" hidden="1" outlineLevel="1">
      <c r="A323" s="96">
        <v>45419</v>
      </c>
      <c r="B323" s="17" t="s">
        <v>19</v>
      </c>
      <c r="C323" s="18">
        <f>66-18</f>
        <v>48</v>
      </c>
      <c r="D323" s="23">
        <v>54</v>
      </c>
      <c r="E323" s="23">
        <f t="shared" si="35"/>
        <v>-16</v>
      </c>
      <c r="G323" s="19"/>
      <c r="H323" s="62"/>
      <c r="I323" s="20"/>
      <c r="J323" s="21"/>
      <c r="K323" s="42"/>
      <c r="L323" s="23"/>
      <c r="M323" s="23"/>
      <c r="N323" s="23"/>
      <c r="O323" s="23"/>
      <c r="Q323" s="78">
        <v>69</v>
      </c>
      <c r="R323" s="62">
        <f>C312</f>
        <v>60</v>
      </c>
      <c r="S323" s="20"/>
      <c r="T323" s="21"/>
      <c r="U323" s="57">
        <v>60</v>
      </c>
      <c r="V323" s="23">
        <f t="shared" si="42"/>
        <v>-5</v>
      </c>
      <c r="W323" s="23">
        <f t="shared" si="43"/>
        <v>-5</v>
      </c>
      <c r="X323" s="23"/>
      <c r="Y323" s="23">
        <v>0</v>
      </c>
      <c r="AA323" s="250"/>
      <c r="AB323" s="156"/>
      <c r="AC323"/>
      <c r="AD323"/>
      <c r="AE323" s="156"/>
      <c r="AF323"/>
      <c r="AG323"/>
    </row>
    <row r="324" spans="1:36" hidden="1" outlineLevel="1">
      <c r="A324" s="96">
        <v>45420</v>
      </c>
      <c r="B324" s="17" t="s">
        <v>20</v>
      </c>
      <c r="C324" s="18">
        <f>66-12</f>
        <v>54</v>
      </c>
      <c r="D324" s="23">
        <v>66</v>
      </c>
      <c r="E324" s="23">
        <f t="shared" si="35"/>
        <v>-4</v>
      </c>
      <c r="G324" s="19"/>
      <c r="H324" s="62"/>
      <c r="I324" s="20"/>
      <c r="J324" s="21"/>
      <c r="K324" s="42"/>
      <c r="L324" s="23"/>
      <c r="M324" s="23"/>
      <c r="N324" s="23"/>
      <c r="O324" s="23"/>
      <c r="Q324" s="78">
        <v>12</v>
      </c>
      <c r="R324" s="62">
        <f>C322+S324</f>
        <v>48</v>
      </c>
      <c r="S324" s="20"/>
      <c r="T324" s="21"/>
      <c r="U324" s="57">
        <v>48</v>
      </c>
      <c r="V324" s="23">
        <f t="shared" si="42"/>
        <v>31</v>
      </c>
      <c r="W324" s="23">
        <f t="shared" si="43"/>
        <v>31</v>
      </c>
      <c r="X324" s="23"/>
      <c r="Y324" s="23">
        <v>22</v>
      </c>
      <c r="AA324" s="250"/>
      <c r="AB324" s="156"/>
      <c r="AC324"/>
      <c r="AD324"/>
      <c r="AE324" s="156"/>
      <c r="AF324"/>
      <c r="AG324"/>
    </row>
    <row r="325" spans="1:36" hidden="1" outlineLevel="1">
      <c r="A325" s="96">
        <v>45421</v>
      </c>
      <c r="B325" s="17" t="s">
        <v>14</v>
      </c>
      <c r="C325" s="18">
        <f>66-18</f>
        <v>48</v>
      </c>
      <c r="D325" s="23">
        <v>62</v>
      </c>
      <c r="E325" s="23">
        <f t="shared" si="35"/>
        <v>10</v>
      </c>
      <c r="G325" s="19"/>
      <c r="H325" s="62"/>
      <c r="I325" s="20"/>
      <c r="J325" s="21"/>
      <c r="K325" s="42"/>
      <c r="L325" s="23"/>
      <c r="M325" s="23"/>
      <c r="N325" s="23"/>
      <c r="O325" s="23"/>
      <c r="Q325" s="78">
        <v>60</v>
      </c>
      <c r="R325" s="62">
        <f>C323+S325</f>
        <v>48</v>
      </c>
      <c r="S325" s="20"/>
      <c r="T325" s="21"/>
      <c r="U325" s="57">
        <v>48</v>
      </c>
      <c r="V325" s="23">
        <f t="shared" si="42"/>
        <v>19</v>
      </c>
      <c r="W325" s="23">
        <f t="shared" si="43"/>
        <v>19</v>
      </c>
      <c r="X325" s="23"/>
      <c r="Y325" s="23">
        <v>7</v>
      </c>
      <c r="AA325" s="250"/>
      <c r="AB325" s="156"/>
      <c r="AC325"/>
      <c r="AD325"/>
      <c r="AE325" s="156"/>
      <c r="AF325"/>
      <c r="AG325"/>
    </row>
    <row r="326" spans="1:36" hidden="1" outlineLevel="1">
      <c r="A326" s="96">
        <v>45422</v>
      </c>
      <c r="B326" s="17" t="s">
        <v>15</v>
      </c>
      <c r="C326" s="18">
        <f>66-12</f>
        <v>54</v>
      </c>
      <c r="D326" s="23">
        <v>48</v>
      </c>
      <c r="E326" s="23">
        <f t="shared" si="35"/>
        <v>4</v>
      </c>
      <c r="G326" s="19"/>
      <c r="H326" s="62"/>
      <c r="I326" s="20"/>
      <c r="J326" s="21"/>
      <c r="K326" s="42"/>
      <c r="L326" s="23"/>
      <c r="M326" s="23"/>
      <c r="N326" s="23"/>
      <c r="O326" s="23"/>
      <c r="Q326" s="78">
        <v>69</v>
      </c>
      <c r="R326" s="62">
        <f>C324+S326</f>
        <v>54</v>
      </c>
      <c r="S326" s="20"/>
      <c r="T326" s="21"/>
      <c r="U326" s="57">
        <v>54</v>
      </c>
      <c r="V326" s="23">
        <f t="shared" si="42"/>
        <v>4</v>
      </c>
      <c r="W326" s="23">
        <f t="shared" si="43"/>
        <v>4</v>
      </c>
      <c r="X326" s="23"/>
      <c r="Y326" s="23">
        <v>7</v>
      </c>
      <c r="Z326" s="1">
        <f t="shared" ref="Z326" si="44">AVERAGE(Q322:Q326)</f>
        <v>52.2</v>
      </c>
      <c r="AA326" s="250"/>
      <c r="AB326" s="156"/>
      <c r="AC326"/>
      <c r="AD326"/>
      <c r="AE326" s="156"/>
      <c r="AF326"/>
      <c r="AG326"/>
    </row>
    <row r="327" spans="1:36" s="12" customFormat="1" hidden="1" outlineLevel="1">
      <c r="A327" s="95">
        <v>45423</v>
      </c>
      <c r="B327" s="25" t="s">
        <v>16</v>
      </c>
      <c r="C327" s="26"/>
      <c r="D327" s="29"/>
      <c r="E327" s="29">
        <f t="shared" si="35"/>
        <v>4</v>
      </c>
      <c r="G327" s="64"/>
      <c r="H327" s="63"/>
      <c r="I327" s="27"/>
      <c r="J327" s="28"/>
      <c r="K327" s="43"/>
      <c r="L327" s="29"/>
      <c r="M327" s="29"/>
      <c r="N327" s="29"/>
      <c r="O327" s="29"/>
      <c r="Q327" s="79"/>
      <c r="R327" s="63"/>
      <c r="S327" s="27"/>
      <c r="T327" s="28"/>
      <c r="U327" s="43"/>
      <c r="V327" s="29">
        <f t="shared" si="42"/>
        <v>4</v>
      </c>
      <c r="W327" s="29">
        <f t="shared" si="43"/>
        <v>4</v>
      </c>
      <c r="X327" s="29"/>
      <c r="Y327" s="29"/>
      <c r="AA327" s="250"/>
      <c r="AB327" s="156"/>
      <c r="AC327"/>
      <c r="AD327"/>
      <c r="AE327" s="156"/>
      <c r="AF327"/>
      <c r="AG327"/>
      <c r="AH327"/>
      <c r="AI327"/>
      <c r="AJ327"/>
    </row>
    <row r="328" spans="1:36" s="12" customFormat="1" hidden="1" outlineLevel="1">
      <c r="A328" s="95">
        <v>45424</v>
      </c>
      <c r="B328" s="25" t="s">
        <v>17</v>
      </c>
      <c r="C328" s="26"/>
      <c r="D328" s="29"/>
      <c r="E328" s="29">
        <f t="shared" si="35"/>
        <v>4</v>
      </c>
      <c r="G328" s="64"/>
      <c r="H328" s="63"/>
      <c r="I328" s="27"/>
      <c r="J328" s="28"/>
      <c r="K328" s="43"/>
      <c r="L328" s="29"/>
      <c r="M328" s="29"/>
      <c r="N328" s="29"/>
      <c r="O328" s="29"/>
      <c r="Q328" s="79"/>
      <c r="R328" s="63"/>
      <c r="S328" s="27"/>
      <c r="T328" s="28"/>
      <c r="U328" s="43"/>
      <c r="V328" s="29">
        <f t="shared" si="42"/>
        <v>4</v>
      </c>
      <c r="W328" s="29">
        <f t="shared" si="43"/>
        <v>4</v>
      </c>
      <c r="X328" s="29"/>
      <c r="Y328" s="29"/>
      <c r="AA328" s="250"/>
      <c r="AB328" s="156"/>
      <c r="AC328"/>
      <c r="AD328"/>
      <c r="AE328" s="156"/>
      <c r="AF328"/>
      <c r="AG328"/>
      <c r="AH328"/>
      <c r="AI328"/>
      <c r="AJ328"/>
    </row>
    <row r="329" spans="1:36" hidden="1" outlineLevel="1" collapsed="1">
      <c r="A329" s="96">
        <v>45425</v>
      </c>
      <c r="B329" s="17" t="s">
        <v>18</v>
      </c>
      <c r="C329" s="18">
        <f>72-6</f>
        <v>66</v>
      </c>
      <c r="D329" s="23">
        <v>66</v>
      </c>
      <c r="E329" s="23">
        <f t="shared" si="35"/>
        <v>4</v>
      </c>
      <c r="G329" s="19"/>
      <c r="H329" s="62"/>
      <c r="I329" s="20"/>
      <c r="J329" s="21"/>
      <c r="K329" s="42"/>
      <c r="L329" s="23"/>
      <c r="M329" s="23"/>
      <c r="N329" s="23"/>
      <c r="O329" s="23"/>
      <c r="Q329" s="78">
        <v>66</v>
      </c>
      <c r="R329" s="62">
        <f>C325</f>
        <v>48</v>
      </c>
      <c r="S329" s="20"/>
      <c r="T329" s="21"/>
      <c r="U329" s="57">
        <v>48</v>
      </c>
      <c r="V329" s="23">
        <f t="shared" si="42"/>
        <v>-14</v>
      </c>
      <c r="W329" s="23">
        <f t="shared" si="43"/>
        <v>-14</v>
      </c>
      <c r="X329" s="23"/>
      <c r="Y329" s="23">
        <v>13</v>
      </c>
      <c r="AA329" s="250"/>
      <c r="AB329" s="156"/>
      <c r="AC329"/>
      <c r="AD329"/>
      <c r="AE329" s="156"/>
      <c r="AF329"/>
      <c r="AG329"/>
    </row>
    <row r="330" spans="1:36" hidden="1" outlineLevel="1">
      <c r="A330" s="96">
        <v>45426</v>
      </c>
      <c r="B330" s="17" t="s">
        <v>19</v>
      </c>
      <c r="C330" s="18">
        <f>72-6</f>
        <v>66</v>
      </c>
      <c r="D330" s="23">
        <v>66</v>
      </c>
      <c r="E330" s="23">
        <f t="shared" si="35"/>
        <v>4</v>
      </c>
      <c r="G330" s="19"/>
      <c r="H330" s="62"/>
      <c r="I330" s="20"/>
      <c r="J330" s="21"/>
      <c r="K330" s="42"/>
      <c r="L330" s="23"/>
      <c r="M330" s="23"/>
      <c r="N330" s="23"/>
      <c r="O330" s="23"/>
      <c r="Q330" s="78">
        <v>78</v>
      </c>
      <c r="R330" s="62">
        <f>C326</f>
        <v>54</v>
      </c>
      <c r="S330" s="20"/>
      <c r="T330" s="21"/>
      <c r="U330" s="57">
        <v>54</v>
      </c>
      <c r="V330" s="23">
        <f t="shared" si="42"/>
        <v>-38</v>
      </c>
      <c r="W330" s="23">
        <f t="shared" si="43"/>
        <v>-38</v>
      </c>
      <c r="X330" s="23"/>
      <c r="Y330" s="23">
        <v>11</v>
      </c>
      <c r="AA330" s="250"/>
      <c r="AB330" s="156"/>
      <c r="AC330"/>
      <c r="AD330"/>
      <c r="AE330" s="156"/>
      <c r="AF330"/>
      <c r="AG330"/>
    </row>
    <row r="331" spans="1:36" hidden="1" outlineLevel="1">
      <c r="A331" s="96">
        <v>45427</v>
      </c>
      <c r="B331" s="17" t="s">
        <v>20</v>
      </c>
      <c r="C331" s="18">
        <v>66</v>
      </c>
      <c r="D331" s="23">
        <v>66</v>
      </c>
      <c r="E331" s="23">
        <f t="shared" si="35"/>
        <v>4</v>
      </c>
      <c r="G331" s="19"/>
      <c r="H331" s="62"/>
      <c r="I331" s="20"/>
      <c r="J331" s="21"/>
      <c r="K331" s="42"/>
      <c r="L331" s="23"/>
      <c r="M331" s="23"/>
      <c r="N331" s="23"/>
      <c r="O331" s="23"/>
      <c r="Q331" s="78">
        <v>72</v>
      </c>
      <c r="R331" s="62">
        <f>C329+S331</f>
        <v>66</v>
      </c>
      <c r="S331" s="20"/>
      <c r="T331" s="21"/>
      <c r="U331" s="57">
        <v>66</v>
      </c>
      <c r="V331" s="23">
        <f t="shared" si="42"/>
        <v>-44</v>
      </c>
      <c r="W331" s="23">
        <f t="shared" si="43"/>
        <v>-44</v>
      </c>
      <c r="X331" s="23"/>
      <c r="Y331" s="23">
        <v>13</v>
      </c>
      <c r="AA331" s="250"/>
      <c r="AB331" s="156"/>
      <c r="AC331"/>
      <c r="AD331"/>
      <c r="AE331" s="156"/>
      <c r="AF331"/>
      <c r="AG331"/>
    </row>
    <row r="332" spans="1:36" hidden="1" outlineLevel="1">
      <c r="A332" s="96">
        <v>45428</v>
      </c>
      <c r="B332" s="17" t="s">
        <v>14</v>
      </c>
      <c r="C332" s="18">
        <v>66</v>
      </c>
      <c r="D332" s="23">
        <v>66</v>
      </c>
      <c r="E332" s="23">
        <f t="shared" si="35"/>
        <v>4</v>
      </c>
      <c r="G332" s="19"/>
      <c r="H332" s="62"/>
      <c r="I332" s="20"/>
      <c r="J332" s="21"/>
      <c r="K332" s="42"/>
      <c r="L332" s="23"/>
      <c r="M332" s="23"/>
      <c r="N332" s="23"/>
      <c r="O332" s="23"/>
      <c r="Q332" s="78">
        <v>66</v>
      </c>
      <c r="R332" s="62">
        <f>C330+S332</f>
        <v>66</v>
      </c>
      <c r="S332" s="20"/>
      <c r="T332" s="21"/>
      <c r="U332" s="57">
        <v>66</v>
      </c>
      <c r="V332" s="23">
        <f t="shared" si="42"/>
        <v>-44</v>
      </c>
      <c r="W332" s="23">
        <f t="shared" si="43"/>
        <v>-44</v>
      </c>
      <c r="X332" s="23"/>
      <c r="Y332" s="23">
        <v>12</v>
      </c>
      <c r="AA332" s="250"/>
      <c r="AB332" s="156"/>
      <c r="AC332"/>
      <c r="AD332"/>
      <c r="AE332" s="156"/>
      <c r="AF332"/>
      <c r="AG332"/>
    </row>
    <row r="333" spans="1:36" hidden="1" outlineLevel="1">
      <c r="A333" s="96">
        <v>45429</v>
      </c>
      <c r="B333" s="17" t="s">
        <v>15</v>
      </c>
      <c r="C333" s="18">
        <v>66</v>
      </c>
      <c r="D333" s="23">
        <v>66</v>
      </c>
      <c r="E333" s="23">
        <f t="shared" si="35"/>
        <v>4</v>
      </c>
      <c r="G333" s="19"/>
      <c r="H333" s="62"/>
      <c r="I333" s="20"/>
      <c r="J333" s="21"/>
      <c r="K333" s="42"/>
      <c r="L333" s="23"/>
      <c r="M333" s="23"/>
      <c r="N333" s="23"/>
      <c r="O333" s="23"/>
      <c r="Q333" s="78">
        <v>75</v>
      </c>
      <c r="R333" s="62">
        <f>C331+S333</f>
        <v>66</v>
      </c>
      <c r="S333" s="20"/>
      <c r="T333" s="21"/>
      <c r="U333" s="57">
        <v>66</v>
      </c>
      <c r="V333" s="23">
        <f t="shared" si="42"/>
        <v>-53</v>
      </c>
      <c r="W333" s="23">
        <f t="shared" si="43"/>
        <v>-53</v>
      </c>
      <c r="X333" s="23"/>
      <c r="Y333" s="23"/>
      <c r="Z333" s="1">
        <f t="shared" ref="Z333" si="45">AVERAGE(Q329:Q333)</f>
        <v>71.400000000000006</v>
      </c>
      <c r="AA333" s="250"/>
      <c r="AB333" s="156"/>
      <c r="AC333"/>
      <c r="AD333"/>
      <c r="AE333" s="156"/>
      <c r="AF333"/>
      <c r="AG333"/>
    </row>
    <row r="334" spans="1:36" s="12" customFormat="1" hidden="1" outlineLevel="1" collapsed="1">
      <c r="A334" s="95">
        <v>45430</v>
      </c>
      <c r="B334" s="25" t="s">
        <v>16</v>
      </c>
      <c r="C334" s="26"/>
      <c r="D334" s="29"/>
      <c r="E334" s="29">
        <f t="shared" si="35"/>
        <v>4</v>
      </c>
      <c r="G334" s="64"/>
      <c r="H334" s="63"/>
      <c r="I334" s="27"/>
      <c r="J334" s="28"/>
      <c r="K334" s="43"/>
      <c r="L334" s="29"/>
      <c r="M334" s="29"/>
      <c r="N334" s="29"/>
      <c r="O334" s="29"/>
      <c r="Q334" s="79"/>
      <c r="R334" s="63"/>
      <c r="S334" s="27"/>
      <c r="T334" s="28"/>
      <c r="U334" s="43"/>
      <c r="V334" s="29">
        <f t="shared" si="42"/>
        <v>-53</v>
      </c>
      <c r="W334" s="29">
        <f t="shared" si="43"/>
        <v>-53</v>
      </c>
      <c r="X334" s="29"/>
      <c r="Y334" s="29"/>
      <c r="AA334" s="250"/>
      <c r="AB334" s="156"/>
      <c r="AC334"/>
      <c r="AD334"/>
      <c r="AE334" s="156"/>
      <c r="AF334"/>
      <c r="AG334"/>
      <c r="AH334"/>
      <c r="AI334"/>
      <c r="AJ334"/>
    </row>
    <row r="335" spans="1:36" s="12" customFormat="1" hidden="1" outlineLevel="1">
      <c r="A335" s="95">
        <v>45431</v>
      </c>
      <c r="B335" s="25" t="s">
        <v>17</v>
      </c>
      <c r="C335" s="26"/>
      <c r="D335" s="29"/>
      <c r="E335" s="29">
        <f t="shared" si="35"/>
        <v>4</v>
      </c>
      <c r="G335" s="64"/>
      <c r="H335" s="63"/>
      <c r="I335" s="27"/>
      <c r="J335" s="28"/>
      <c r="K335" s="43"/>
      <c r="L335" s="29"/>
      <c r="M335" s="29"/>
      <c r="N335" s="29"/>
      <c r="O335" s="29"/>
      <c r="Q335" s="79"/>
      <c r="R335" s="63"/>
      <c r="S335" s="27"/>
      <c r="T335" s="28"/>
      <c r="U335" s="43"/>
      <c r="V335" s="29">
        <f t="shared" si="42"/>
        <v>-53</v>
      </c>
      <c r="W335" s="29">
        <f t="shared" si="43"/>
        <v>-53</v>
      </c>
      <c r="X335" s="29"/>
      <c r="Y335" s="29"/>
      <c r="AA335" s="250"/>
      <c r="AB335" s="156"/>
      <c r="AC335"/>
      <c r="AD335"/>
      <c r="AE335" s="156"/>
      <c r="AF335"/>
      <c r="AG335"/>
      <c r="AH335"/>
      <c r="AI335"/>
      <c r="AJ335"/>
    </row>
    <row r="336" spans="1:36" hidden="1" outlineLevel="1">
      <c r="A336" s="96">
        <v>45432</v>
      </c>
      <c r="B336" s="17" t="s">
        <v>18</v>
      </c>
      <c r="C336" s="18">
        <v>66</v>
      </c>
      <c r="D336" s="23">
        <v>66</v>
      </c>
      <c r="E336" s="23">
        <f t="shared" si="35"/>
        <v>4</v>
      </c>
      <c r="G336" s="19"/>
      <c r="H336" s="62"/>
      <c r="I336" s="20"/>
      <c r="J336" s="21"/>
      <c r="K336" s="42"/>
      <c r="L336" s="23"/>
      <c r="M336" s="23"/>
      <c r="N336" s="23"/>
      <c r="O336" s="23"/>
      <c r="Q336" s="78">
        <v>54</v>
      </c>
      <c r="R336" s="62">
        <f>C332</f>
        <v>66</v>
      </c>
      <c r="S336" s="20"/>
      <c r="T336" s="21"/>
      <c r="U336" s="57">
        <v>66</v>
      </c>
      <c r="V336" s="23">
        <f t="shared" si="42"/>
        <v>-41</v>
      </c>
      <c r="W336" s="23">
        <f t="shared" si="43"/>
        <v>-41</v>
      </c>
      <c r="X336" s="23"/>
      <c r="Y336" s="23"/>
      <c r="AA336" s="250"/>
      <c r="AB336" s="156"/>
      <c r="AC336"/>
      <c r="AD336"/>
      <c r="AE336" s="156"/>
      <c r="AF336"/>
      <c r="AG336"/>
    </row>
    <row r="337" spans="1:36" hidden="1" outlineLevel="1">
      <c r="A337" s="96">
        <v>45433</v>
      </c>
      <c r="B337" s="17" t="s">
        <v>19</v>
      </c>
      <c r="C337" s="18">
        <v>66</v>
      </c>
      <c r="D337" s="23">
        <v>70</v>
      </c>
      <c r="E337" s="23">
        <f t="shared" si="35"/>
        <v>8</v>
      </c>
      <c r="G337" s="19"/>
      <c r="H337" s="62"/>
      <c r="I337" s="20"/>
      <c r="J337" s="21"/>
      <c r="K337" s="42"/>
      <c r="L337" s="23"/>
      <c r="M337" s="23"/>
      <c r="N337" s="23"/>
      <c r="O337" s="23"/>
      <c r="Q337" s="78">
        <v>78</v>
      </c>
      <c r="R337" s="62">
        <f>C333</f>
        <v>66</v>
      </c>
      <c r="S337" s="20"/>
      <c r="T337" s="21"/>
      <c r="U337" s="57">
        <v>66</v>
      </c>
      <c r="V337" s="23">
        <f t="shared" si="42"/>
        <v>-53</v>
      </c>
      <c r="W337" s="23">
        <f t="shared" si="43"/>
        <v>-53</v>
      </c>
      <c r="X337" s="23"/>
      <c r="Y337" s="23"/>
      <c r="AA337" s="250"/>
      <c r="AB337" s="156"/>
      <c r="AC337"/>
      <c r="AD337"/>
      <c r="AE337" s="156"/>
      <c r="AF337"/>
      <c r="AG337"/>
    </row>
    <row r="338" spans="1:36" hidden="1" outlineLevel="1">
      <c r="A338" s="96">
        <v>45434</v>
      </c>
      <c r="B338" s="17" t="s">
        <v>20</v>
      </c>
      <c r="C338" s="18">
        <v>66</v>
      </c>
      <c r="D338" s="23">
        <v>66</v>
      </c>
      <c r="E338" s="23">
        <f t="shared" si="35"/>
        <v>8</v>
      </c>
      <c r="G338" s="19"/>
      <c r="H338" s="62"/>
      <c r="I338" s="20"/>
      <c r="J338" s="21"/>
      <c r="K338" s="42"/>
      <c r="L338" s="23"/>
      <c r="M338" s="23"/>
      <c r="N338" s="23"/>
      <c r="O338" s="23"/>
      <c r="Q338" s="78">
        <v>69</v>
      </c>
      <c r="R338" s="62">
        <f>C336+S338</f>
        <v>66</v>
      </c>
      <c r="S338" s="20"/>
      <c r="T338" s="21"/>
      <c r="U338" s="57">
        <v>66</v>
      </c>
      <c r="V338" s="23">
        <f t="shared" si="42"/>
        <v>-56</v>
      </c>
      <c r="W338" s="23">
        <f t="shared" si="43"/>
        <v>-56</v>
      </c>
      <c r="X338" s="23"/>
      <c r="Y338" s="23"/>
      <c r="AA338" s="250"/>
      <c r="AB338" s="156"/>
      <c r="AC338"/>
      <c r="AD338"/>
      <c r="AE338" s="156"/>
      <c r="AF338"/>
      <c r="AG338"/>
    </row>
    <row r="339" spans="1:36" hidden="1" outlineLevel="1">
      <c r="A339" s="96">
        <v>45435</v>
      </c>
      <c r="B339" s="17" t="s">
        <v>14</v>
      </c>
      <c r="C339" s="18">
        <v>66</v>
      </c>
      <c r="D339" s="23">
        <v>66</v>
      </c>
      <c r="E339" s="23">
        <f t="shared" si="35"/>
        <v>8</v>
      </c>
      <c r="G339" s="19"/>
      <c r="H339" s="62"/>
      <c r="I339" s="20"/>
      <c r="J339" s="21"/>
      <c r="K339" s="42"/>
      <c r="L339" s="23"/>
      <c r="M339" s="23"/>
      <c r="N339" s="23"/>
      <c r="O339" s="23"/>
      <c r="Q339" s="78">
        <v>78</v>
      </c>
      <c r="R339" s="62">
        <f>C337+S339</f>
        <v>66</v>
      </c>
      <c r="S339" s="20"/>
      <c r="T339" s="21"/>
      <c r="U339" s="57">
        <v>66</v>
      </c>
      <c r="V339" s="23">
        <f t="shared" si="42"/>
        <v>-68</v>
      </c>
      <c r="W339" s="23">
        <f t="shared" si="43"/>
        <v>-68</v>
      </c>
      <c r="X339" s="23"/>
      <c r="Y339" s="23">
        <v>5</v>
      </c>
      <c r="AA339" s="250"/>
      <c r="AB339" s="156"/>
      <c r="AC339"/>
      <c r="AD339"/>
      <c r="AE339" s="156"/>
      <c r="AF339"/>
      <c r="AG339"/>
    </row>
    <row r="340" spans="1:36" hidden="1" outlineLevel="1">
      <c r="A340" s="96">
        <v>45436</v>
      </c>
      <c r="B340" s="17" t="s">
        <v>15</v>
      </c>
      <c r="C340" s="18">
        <v>66</v>
      </c>
      <c r="D340" s="23">
        <v>50</v>
      </c>
      <c r="E340" s="23">
        <f t="shared" si="35"/>
        <v>-8</v>
      </c>
      <c r="G340" s="19"/>
      <c r="H340" s="62"/>
      <c r="I340" s="20"/>
      <c r="J340" s="21"/>
      <c r="K340" s="42"/>
      <c r="L340" s="23"/>
      <c r="M340" s="23"/>
      <c r="N340" s="23"/>
      <c r="O340" s="23"/>
      <c r="Q340" s="78">
        <v>57</v>
      </c>
      <c r="R340" s="62">
        <f>C338+S340</f>
        <v>66</v>
      </c>
      <c r="S340" s="20"/>
      <c r="T340" s="21"/>
      <c r="U340" s="57">
        <v>66</v>
      </c>
      <c r="V340" s="23">
        <f t="shared" si="42"/>
        <v>-59</v>
      </c>
      <c r="W340" s="23">
        <f t="shared" si="43"/>
        <v>-59</v>
      </c>
      <c r="X340" s="23"/>
      <c r="Y340" s="23">
        <v>18</v>
      </c>
      <c r="Z340" s="1">
        <f t="shared" ref="Z340" si="46">AVERAGE(Q336:Q340)</f>
        <v>67.2</v>
      </c>
      <c r="AA340" s="250"/>
      <c r="AB340" s="156"/>
      <c r="AC340"/>
      <c r="AD340"/>
      <c r="AE340" s="156"/>
      <c r="AF340"/>
      <c r="AG340"/>
    </row>
    <row r="341" spans="1:36" s="12" customFormat="1" hidden="1" outlineLevel="1">
      <c r="A341" s="95">
        <v>45437</v>
      </c>
      <c r="B341" s="25" t="s">
        <v>16</v>
      </c>
      <c r="C341" s="26"/>
      <c r="D341" s="29"/>
      <c r="E341" s="29">
        <f t="shared" si="35"/>
        <v>-8</v>
      </c>
      <c r="G341" s="64"/>
      <c r="H341" s="63"/>
      <c r="I341" s="27"/>
      <c r="J341" s="28"/>
      <c r="K341" s="43"/>
      <c r="L341" s="29"/>
      <c r="M341" s="29"/>
      <c r="N341" s="29"/>
      <c r="O341" s="29"/>
      <c r="Q341" s="79"/>
      <c r="R341" s="63"/>
      <c r="S341" s="27"/>
      <c r="T341" s="28"/>
      <c r="U341" s="43"/>
      <c r="V341" s="29">
        <f t="shared" si="42"/>
        <v>-59</v>
      </c>
      <c r="W341" s="29">
        <f t="shared" si="43"/>
        <v>-59</v>
      </c>
      <c r="X341" s="29"/>
      <c r="Y341" s="29"/>
      <c r="AA341" s="250"/>
      <c r="AB341" s="156"/>
      <c r="AC341"/>
      <c r="AD341"/>
      <c r="AE341" s="156"/>
      <c r="AF341"/>
      <c r="AG341"/>
      <c r="AH341"/>
      <c r="AI341"/>
      <c r="AJ341"/>
    </row>
    <row r="342" spans="1:36" s="12" customFormat="1" hidden="1" outlineLevel="1">
      <c r="A342" s="95">
        <v>45438</v>
      </c>
      <c r="B342" s="25" t="s">
        <v>17</v>
      </c>
      <c r="C342" s="26"/>
      <c r="D342" s="29"/>
      <c r="E342" s="29">
        <f t="shared" si="35"/>
        <v>-8</v>
      </c>
      <c r="G342" s="64"/>
      <c r="H342" s="63"/>
      <c r="I342" s="27"/>
      <c r="J342" s="28"/>
      <c r="K342" s="43"/>
      <c r="L342" s="29"/>
      <c r="M342" s="29"/>
      <c r="N342" s="29"/>
      <c r="O342" s="29"/>
      <c r="Q342" s="79"/>
      <c r="R342" s="63"/>
      <c r="S342" s="27"/>
      <c r="T342" s="28"/>
      <c r="U342" s="43"/>
      <c r="V342" s="29">
        <f t="shared" si="42"/>
        <v>-59</v>
      </c>
      <c r="W342" s="29">
        <f t="shared" si="43"/>
        <v>-59</v>
      </c>
      <c r="X342" s="29"/>
      <c r="Y342" s="29"/>
      <c r="AA342" s="250"/>
      <c r="AB342" s="156"/>
      <c r="AC342"/>
      <c r="AD342"/>
      <c r="AE342" s="156"/>
      <c r="AF342"/>
      <c r="AG342"/>
      <c r="AH342"/>
      <c r="AI342"/>
      <c r="AJ342"/>
    </row>
    <row r="343" spans="1:36" hidden="1" outlineLevel="1">
      <c r="A343" s="96">
        <v>45439</v>
      </c>
      <c r="B343" s="17" t="s">
        <v>18</v>
      </c>
      <c r="C343" s="18">
        <f>72-6</f>
        <v>66</v>
      </c>
      <c r="D343" s="23">
        <v>65</v>
      </c>
      <c r="E343" s="23">
        <f t="shared" si="35"/>
        <v>-9</v>
      </c>
      <c r="G343" s="19"/>
      <c r="H343" s="62"/>
      <c r="I343" s="20"/>
      <c r="J343" s="21"/>
      <c r="K343" s="42"/>
      <c r="L343" s="23"/>
      <c r="M343" s="23"/>
      <c r="N343" s="23"/>
      <c r="O343" s="23"/>
      <c r="Q343" s="78">
        <v>66</v>
      </c>
      <c r="R343" s="62">
        <f>C339</f>
        <v>66</v>
      </c>
      <c r="S343" s="20"/>
      <c r="T343" s="21"/>
      <c r="U343" s="57">
        <v>66</v>
      </c>
      <c r="V343" s="23">
        <f t="shared" si="42"/>
        <v>-59</v>
      </c>
      <c r="W343" s="23">
        <f t="shared" si="43"/>
        <v>-59</v>
      </c>
      <c r="X343" s="23"/>
      <c r="Y343" s="23">
        <v>10</v>
      </c>
      <c r="AA343" s="250"/>
      <c r="AB343" s="156"/>
      <c r="AC343"/>
      <c r="AD343"/>
      <c r="AE343" s="156"/>
      <c r="AF343"/>
      <c r="AG343"/>
    </row>
    <row r="344" spans="1:36" hidden="1" outlineLevel="1">
      <c r="A344" s="96">
        <v>45440</v>
      </c>
      <c r="B344" s="17" t="s">
        <v>19</v>
      </c>
      <c r="C344" s="18">
        <v>0</v>
      </c>
      <c r="D344" s="23">
        <v>55</v>
      </c>
      <c r="E344" s="23">
        <f t="shared" si="35"/>
        <v>46</v>
      </c>
      <c r="G344" s="19"/>
      <c r="H344" s="62"/>
      <c r="I344" s="20"/>
      <c r="J344" s="21"/>
      <c r="K344" s="42"/>
      <c r="L344" s="23"/>
      <c r="M344" s="23"/>
      <c r="N344" s="23"/>
      <c r="O344" s="23"/>
      <c r="Q344" s="78">
        <v>54</v>
      </c>
      <c r="R344" s="62">
        <f>C340</f>
        <v>66</v>
      </c>
      <c r="S344" s="20"/>
      <c r="T344" s="21"/>
      <c r="U344" s="57">
        <v>66</v>
      </c>
      <c r="V344" s="23">
        <f t="shared" si="42"/>
        <v>-47</v>
      </c>
      <c r="W344" s="23">
        <f t="shared" si="43"/>
        <v>-47</v>
      </c>
      <c r="X344" s="23"/>
      <c r="Y344" s="23">
        <v>11</v>
      </c>
      <c r="AA344" s="250"/>
      <c r="AB344" s="156"/>
      <c r="AC344"/>
      <c r="AD344"/>
      <c r="AE344" s="156"/>
      <c r="AF344"/>
      <c r="AG344"/>
    </row>
    <row r="345" spans="1:36" hidden="1" outlineLevel="1">
      <c r="A345" s="96">
        <v>45441</v>
      </c>
      <c r="B345" s="17" t="s">
        <v>20</v>
      </c>
      <c r="C345" s="18">
        <v>0</v>
      </c>
      <c r="D345" s="23">
        <v>62</v>
      </c>
      <c r="E345" s="23">
        <f t="shared" si="35"/>
        <v>108</v>
      </c>
      <c r="G345" s="19"/>
      <c r="H345" s="62"/>
      <c r="I345" s="20"/>
      <c r="J345" s="21"/>
      <c r="K345" s="42"/>
      <c r="L345" s="23"/>
      <c r="M345" s="23"/>
      <c r="N345" s="23"/>
      <c r="O345" s="23"/>
      <c r="Q345" s="78">
        <v>48</v>
      </c>
      <c r="R345" s="62">
        <f>C343+S345</f>
        <v>66</v>
      </c>
      <c r="S345" s="20"/>
      <c r="T345" s="21"/>
      <c r="U345" s="57">
        <v>66</v>
      </c>
      <c r="V345" s="23">
        <f t="shared" si="42"/>
        <v>-29</v>
      </c>
      <c r="W345" s="23">
        <f t="shared" si="43"/>
        <v>-29</v>
      </c>
      <c r="X345" s="23"/>
      <c r="Y345" s="23">
        <v>9</v>
      </c>
      <c r="AA345" s="250"/>
      <c r="AB345" s="156"/>
      <c r="AC345"/>
      <c r="AD345"/>
      <c r="AE345" s="156"/>
      <c r="AF345"/>
      <c r="AG345"/>
    </row>
    <row r="346" spans="1:36" hidden="1" outlineLevel="1">
      <c r="A346" s="96">
        <v>45442</v>
      </c>
      <c r="B346" s="17" t="s">
        <v>14</v>
      </c>
      <c r="C346" s="18">
        <f>72-6</f>
        <v>66</v>
      </c>
      <c r="D346" s="23">
        <v>16</v>
      </c>
      <c r="E346" s="23">
        <f t="shared" si="35"/>
        <v>58</v>
      </c>
      <c r="G346" s="19"/>
      <c r="H346" s="62"/>
      <c r="I346" s="20"/>
      <c r="J346" s="21"/>
      <c r="K346" s="42"/>
      <c r="L346" s="23"/>
      <c r="M346" s="23"/>
      <c r="N346" s="23"/>
      <c r="O346" s="23"/>
      <c r="Q346" s="211">
        <v>0</v>
      </c>
      <c r="R346" s="202">
        <f>C344+S346</f>
        <v>0</v>
      </c>
      <c r="S346" s="20"/>
      <c r="T346" s="21"/>
      <c r="U346" s="57">
        <v>0</v>
      </c>
      <c r="V346" s="23">
        <f t="shared" si="42"/>
        <v>-29</v>
      </c>
      <c r="W346" s="23">
        <f t="shared" si="43"/>
        <v>-29</v>
      </c>
      <c r="X346" s="23"/>
      <c r="Y346" s="23">
        <v>9</v>
      </c>
      <c r="AA346" s="250"/>
      <c r="AB346" s="156"/>
      <c r="AC346"/>
      <c r="AD346"/>
      <c r="AE346" s="156"/>
      <c r="AF346"/>
      <c r="AG346"/>
    </row>
    <row r="347" spans="1:36" hidden="1" outlineLevel="1">
      <c r="A347" s="96">
        <v>45443</v>
      </c>
      <c r="B347" s="17" t="s">
        <v>15</v>
      </c>
      <c r="C347" s="18">
        <f>72-6</f>
        <v>66</v>
      </c>
      <c r="D347" s="23">
        <v>0</v>
      </c>
      <c r="E347" s="23">
        <f t="shared" si="35"/>
        <v>-8</v>
      </c>
      <c r="G347" s="19"/>
      <c r="H347" s="62"/>
      <c r="I347" s="20"/>
      <c r="J347" s="21"/>
      <c r="K347" s="42"/>
      <c r="L347" s="23"/>
      <c r="M347" s="23"/>
      <c r="N347" s="23"/>
      <c r="O347" s="23"/>
      <c r="Q347" s="211">
        <v>0</v>
      </c>
      <c r="R347" s="202">
        <f>C345+S347</f>
        <v>0</v>
      </c>
      <c r="S347" s="20"/>
      <c r="T347" s="21"/>
      <c r="U347" s="57">
        <v>0</v>
      </c>
      <c r="V347" s="23">
        <f t="shared" si="42"/>
        <v>-29</v>
      </c>
      <c r="W347" s="23">
        <f t="shared" si="43"/>
        <v>-29</v>
      </c>
      <c r="X347" s="23"/>
      <c r="Y347" s="23">
        <v>0</v>
      </c>
      <c r="Z347" s="1">
        <f t="shared" ref="Z347" si="47">AVERAGE(Q343:Q347)</f>
        <v>33.6</v>
      </c>
      <c r="AA347" s="250"/>
      <c r="AB347" s="156"/>
      <c r="AC347"/>
      <c r="AD347"/>
      <c r="AE347" s="156"/>
      <c r="AF347"/>
      <c r="AG347"/>
    </row>
    <row r="348" spans="1:36" s="12" customFormat="1" hidden="1" outlineLevel="1" collapsed="1">
      <c r="A348" s="95">
        <v>45444</v>
      </c>
      <c r="B348" s="25" t="s">
        <v>16</v>
      </c>
      <c r="C348" s="26"/>
      <c r="D348" s="29"/>
      <c r="E348" s="29">
        <f t="shared" si="35"/>
        <v>-8</v>
      </c>
      <c r="G348" s="64"/>
      <c r="H348" s="63"/>
      <c r="I348" s="27"/>
      <c r="J348" s="28"/>
      <c r="K348" s="43"/>
      <c r="L348" s="29"/>
      <c r="M348" s="29"/>
      <c r="N348" s="29"/>
      <c r="O348" s="29"/>
      <c r="Q348" s="79"/>
      <c r="R348" s="63"/>
      <c r="S348" s="27"/>
      <c r="T348" s="28"/>
      <c r="U348" s="43"/>
      <c r="V348" s="29">
        <f t="shared" ref="V348:V378" si="48">V347-Q348+U348</f>
        <v>-29</v>
      </c>
      <c r="W348" s="29">
        <f t="shared" ref="W348:W378" si="49">W347-Q348+R348</f>
        <v>-29</v>
      </c>
      <c r="X348" s="29"/>
      <c r="Y348" s="29"/>
      <c r="AA348" s="250"/>
      <c r="AB348" s="156"/>
      <c r="AC348"/>
      <c r="AD348"/>
      <c r="AE348" s="156"/>
      <c r="AF348"/>
      <c r="AG348"/>
      <c r="AH348"/>
      <c r="AI348"/>
      <c r="AJ348"/>
    </row>
    <row r="349" spans="1:36" s="12" customFormat="1" hidden="1" outlineLevel="1">
      <c r="A349" s="95">
        <v>45445</v>
      </c>
      <c r="B349" s="25" t="s">
        <v>17</v>
      </c>
      <c r="C349" s="26"/>
      <c r="D349" s="29"/>
      <c r="E349" s="29">
        <f t="shared" si="35"/>
        <v>-8</v>
      </c>
      <c r="G349" s="64"/>
      <c r="H349" s="63"/>
      <c r="I349" s="27"/>
      <c r="J349" s="28"/>
      <c r="K349" s="43"/>
      <c r="L349" s="29"/>
      <c r="M349" s="29"/>
      <c r="N349" s="29"/>
      <c r="O349" s="29"/>
      <c r="Q349" s="79"/>
      <c r="R349" s="63"/>
      <c r="S349" s="27"/>
      <c r="T349" s="28"/>
      <c r="U349" s="43"/>
      <c r="V349" s="29">
        <f t="shared" si="48"/>
        <v>-29</v>
      </c>
      <c r="W349" s="29">
        <f t="shared" si="49"/>
        <v>-29</v>
      </c>
      <c r="X349" s="29"/>
      <c r="Y349" s="29"/>
      <c r="AA349" s="250"/>
      <c r="AB349" s="156"/>
      <c r="AC349"/>
      <c r="AD349"/>
      <c r="AE349" s="156"/>
      <c r="AF349"/>
      <c r="AG349"/>
      <c r="AH349"/>
      <c r="AI349"/>
      <c r="AJ349"/>
    </row>
    <row r="350" spans="1:36" hidden="1" outlineLevel="1">
      <c r="A350" s="96">
        <v>45446</v>
      </c>
      <c r="B350" s="17" t="s">
        <v>18</v>
      </c>
      <c r="C350" s="18">
        <f>66-6</f>
        <v>60</v>
      </c>
      <c r="D350" s="23">
        <v>60</v>
      </c>
      <c r="E350" s="23">
        <f t="shared" si="35"/>
        <v>-8</v>
      </c>
      <c r="G350" s="19"/>
      <c r="H350" s="62"/>
      <c r="I350" s="20"/>
      <c r="J350" s="21"/>
      <c r="K350" s="42"/>
      <c r="L350" s="23"/>
      <c r="M350" s="23"/>
      <c r="N350" s="23"/>
      <c r="O350" s="23"/>
      <c r="Q350" s="78">
        <v>57</v>
      </c>
      <c r="R350" s="62">
        <f>C346</f>
        <v>66</v>
      </c>
      <c r="S350" s="20"/>
      <c r="T350" s="21"/>
      <c r="U350" s="57">
        <v>66</v>
      </c>
      <c r="V350" s="23">
        <f t="shared" si="48"/>
        <v>-20</v>
      </c>
      <c r="W350" s="23">
        <f t="shared" si="49"/>
        <v>-20</v>
      </c>
      <c r="X350" s="23"/>
      <c r="Y350" s="23"/>
      <c r="AA350" s="250"/>
      <c r="AB350" s="156"/>
      <c r="AC350"/>
      <c r="AD350"/>
      <c r="AE350" s="156"/>
      <c r="AF350"/>
      <c r="AG350"/>
    </row>
    <row r="351" spans="1:36" hidden="1" outlineLevel="1">
      <c r="A351" s="96">
        <v>45447</v>
      </c>
      <c r="B351" s="17" t="s">
        <v>19</v>
      </c>
      <c r="C351" s="18">
        <f>66-6</f>
        <v>60</v>
      </c>
      <c r="D351" s="23">
        <v>62</v>
      </c>
      <c r="E351" s="23">
        <f t="shared" si="35"/>
        <v>-6</v>
      </c>
      <c r="G351" s="19"/>
      <c r="H351" s="62"/>
      <c r="I351" s="20"/>
      <c r="J351" s="21"/>
      <c r="K351" s="42"/>
      <c r="L351" s="23"/>
      <c r="M351" s="23"/>
      <c r="N351" s="23"/>
      <c r="O351" s="23"/>
      <c r="Q351" s="78">
        <v>48</v>
      </c>
      <c r="R351" s="62">
        <f>C347</f>
        <v>66</v>
      </c>
      <c r="S351" s="20"/>
      <c r="T351" s="21"/>
      <c r="U351" s="57">
        <v>66</v>
      </c>
      <c r="V351" s="23">
        <f t="shared" si="48"/>
        <v>-2</v>
      </c>
      <c r="W351" s="23">
        <f t="shared" si="49"/>
        <v>-2</v>
      </c>
      <c r="X351" s="23"/>
      <c r="Y351" s="23">
        <v>17</v>
      </c>
      <c r="AA351" s="250"/>
      <c r="AB351" s="156"/>
      <c r="AC351"/>
      <c r="AD351"/>
      <c r="AE351" s="156"/>
      <c r="AF351"/>
      <c r="AG351"/>
    </row>
    <row r="352" spans="1:36" hidden="1" outlineLevel="1">
      <c r="A352" s="96">
        <v>45448</v>
      </c>
      <c r="B352" s="17" t="s">
        <v>20</v>
      </c>
      <c r="C352" s="18">
        <f>66-6</f>
        <v>60</v>
      </c>
      <c r="D352" s="23">
        <v>60</v>
      </c>
      <c r="E352" s="23">
        <f t="shared" si="35"/>
        <v>-6</v>
      </c>
      <c r="G352" s="19"/>
      <c r="H352" s="62"/>
      <c r="I352" s="20"/>
      <c r="J352" s="21"/>
      <c r="K352" s="42"/>
      <c r="L352" s="23"/>
      <c r="M352" s="23"/>
      <c r="N352" s="23"/>
      <c r="O352" s="23"/>
      <c r="Q352" s="78">
        <v>75</v>
      </c>
      <c r="R352" s="62">
        <f>C350+S352</f>
        <v>60</v>
      </c>
      <c r="S352" s="20"/>
      <c r="T352" s="21"/>
      <c r="U352" s="57">
        <v>60</v>
      </c>
      <c r="V352" s="23">
        <f t="shared" si="48"/>
        <v>-17</v>
      </c>
      <c r="W352" s="23">
        <f t="shared" si="49"/>
        <v>-17</v>
      </c>
      <c r="X352" s="23"/>
      <c r="Y352" s="23">
        <v>8</v>
      </c>
      <c r="AA352" s="250"/>
      <c r="AB352" s="156"/>
      <c r="AC352"/>
      <c r="AD352"/>
      <c r="AE352" s="156"/>
      <c r="AF352"/>
      <c r="AG352"/>
    </row>
    <row r="353" spans="1:36" hidden="1" outlineLevel="1">
      <c r="A353" s="96">
        <v>45449</v>
      </c>
      <c r="B353" s="17" t="s">
        <v>14</v>
      </c>
      <c r="C353" s="18">
        <f>66-6</f>
        <v>60</v>
      </c>
      <c r="D353" s="23">
        <v>60</v>
      </c>
      <c r="E353" s="23">
        <f t="shared" ref="E353:E416" si="50">E352-C353+D353</f>
        <v>-6</v>
      </c>
      <c r="G353" s="19"/>
      <c r="H353" s="62"/>
      <c r="I353" s="20"/>
      <c r="J353" s="21"/>
      <c r="K353" s="42"/>
      <c r="L353" s="23"/>
      <c r="M353" s="23"/>
      <c r="N353" s="23"/>
      <c r="O353" s="23"/>
      <c r="Q353" s="78">
        <v>63</v>
      </c>
      <c r="R353" s="62">
        <f>C351+S353</f>
        <v>60</v>
      </c>
      <c r="S353" s="20"/>
      <c r="T353" s="21"/>
      <c r="U353" s="57">
        <v>60</v>
      </c>
      <c r="V353" s="23">
        <f t="shared" si="48"/>
        <v>-20</v>
      </c>
      <c r="W353" s="23">
        <f t="shared" si="49"/>
        <v>-20</v>
      </c>
      <c r="X353" s="23"/>
      <c r="Y353" s="23">
        <v>13</v>
      </c>
      <c r="AA353" s="250"/>
      <c r="AB353" s="156"/>
      <c r="AC353"/>
      <c r="AD353"/>
      <c r="AE353" s="156"/>
      <c r="AF353"/>
      <c r="AG353"/>
    </row>
    <row r="354" spans="1:36" hidden="1" outlineLevel="1">
      <c r="A354" s="96">
        <v>45450</v>
      </c>
      <c r="B354" s="17" t="s">
        <v>15</v>
      </c>
      <c r="C354" s="18">
        <f>66-6</f>
        <v>60</v>
      </c>
      <c r="D354" s="23">
        <v>60</v>
      </c>
      <c r="E354" s="23">
        <f t="shared" si="50"/>
        <v>-6</v>
      </c>
      <c r="G354" s="19"/>
      <c r="H354" s="62"/>
      <c r="I354" s="20"/>
      <c r="J354" s="21"/>
      <c r="K354" s="42"/>
      <c r="L354" s="23"/>
      <c r="M354" s="23"/>
      <c r="N354" s="23"/>
      <c r="O354" s="23"/>
      <c r="Q354" s="78">
        <v>186</v>
      </c>
      <c r="R354" s="62">
        <f>C352+S354</f>
        <v>60</v>
      </c>
      <c r="S354" s="20"/>
      <c r="T354" s="21"/>
      <c r="U354" s="57">
        <v>60</v>
      </c>
      <c r="V354" s="23">
        <f t="shared" si="48"/>
        <v>-146</v>
      </c>
      <c r="W354" s="23">
        <f t="shared" si="49"/>
        <v>-146</v>
      </c>
      <c r="X354" s="23"/>
      <c r="Y354" s="23">
        <v>10</v>
      </c>
      <c r="Z354" s="1">
        <f t="shared" ref="Z354" si="51">AVERAGE(Q350:Q354)</f>
        <v>85.8</v>
      </c>
      <c r="AA354" s="250"/>
      <c r="AB354" s="156"/>
      <c r="AC354"/>
      <c r="AD354"/>
      <c r="AE354" s="156"/>
      <c r="AF354"/>
      <c r="AG354"/>
    </row>
    <row r="355" spans="1:36" s="12" customFormat="1" hidden="1" outlineLevel="1">
      <c r="A355" s="95">
        <v>45451</v>
      </c>
      <c r="B355" s="25" t="s">
        <v>16</v>
      </c>
      <c r="C355" s="26"/>
      <c r="D355" s="29"/>
      <c r="E355" s="29">
        <f t="shared" si="50"/>
        <v>-6</v>
      </c>
      <c r="G355" s="64"/>
      <c r="H355" s="63"/>
      <c r="I355" s="27"/>
      <c r="J355" s="28"/>
      <c r="K355" s="43"/>
      <c r="L355" s="29"/>
      <c r="M355" s="29"/>
      <c r="N355" s="29"/>
      <c r="O355" s="29"/>
      <c r="Q355" s="64"/>
      <c r="R355" s="63"/>
      <c r="S355" s="27"/>
      <c r="T355" s="28"/>
      <c r="U355" s="43"/>
      <c r="V355" s="29">
        <f t="shared" si="48"/>
        <v>-146</v>
      </c>
      <c r="W355" s="29">
        <f t="shared" si="49"/>
        <v>-146</v>
      </c>
      <c r="X355" s="29"/>
      <c r="Y355" s="29"/>
      <c r="AA355"/>
      <c r="AB355" s="156"/>
      <c r="AC355"/>
      <c r="AD355"/>
      <c r="AE355" s="156"/>
      <c r="AF355"/>
      <c r="AG355"/>
      <c r="AH355"/>
      <c r="AI355"/>
      <c r="AJ355"/>
    </row>
    <row r="356" spans="1:36" s="12" customFormat="1" hidden="1" outlineLevel="1">
      <c r="A356" s="95">
        <v>45452</v>
      </c>
      <c r="B356" s="25" t="s">
        <v>17</v>
      </c>
      <c r="C356" s="26"/>
      <c r="D356" s="29"/>
      <c r="E356" s="29">
        <f t="shared" si="50"/>
        <v>-6</v>
      </c>
      <c r="G356" s="64"/>
      <c r="H356" s="63"/>
      <c r="I356" s="27"/>
      <c r="J356" s="28"/>
      <c r="K356" s="43"/>
      <c r="L356" s="29"/>
      <c r="M356" s="29"/>
      <c r="N356" s="29"/>
      <c r="O356" s="29"/>
      <c r="Q356" s="64"/>
      <c r="R356" s="63"/>
      <c r="S356" s="27"/>
      <c r="T356" s="28"/>
      <c r="U356" s="43"/>
      <c r="V356" s="29">
        <f t="shared" si="48"/>
        <v>-146</v>
      </c>
      <c r="W356" s="29">
        <f t="shared" si="49"/>
        <v>-146</v>
      </c>
      <c r="X356" s="29"/>
      <c r="Y356" s="29"/>
      <c r="AA356"/>
      <c r="AB356" s="156"/>
      <c r="AC356"/>
      <c r="AD356"/>
      <c r="AE356" s="156"/>
      <c r="AF356"/>
      <c r="AG356"/>
      <c r="AH356"/>
      <c r="AI356"/>
      <c r="AJ356"/>
    </row>
    <row r="357" spans="1:36" hidden="1" outlineLevel="1">
      <c r="A357" s="96">
        <v>45453</v>
      </c>
      <c r="B357" s="17" t="s">
        <v>18</v>
      </c>
      <c r="C357" s="18">
        <v>66</v>
      </c>
      <c r="D357" s="23">
        <v>54</v>
      </c>
      <c r="E357" s="23">
        <f t="shared" si="50"/>
        <v>-18</v>
      </c>
      <c r="G357" s="19"/>
      <c r="H357" s="62"/>
      <c r="I357" s="20"/>
      <c r="J357" s="21"/>
      <c r="K357" s="42"/>
      <c r="L357" s="23"/>
      <c r="M357" s="23"/>
      <c r="N357" s="23"/>
      <c r="O357" s="23"/>
      <c r="Q357" s="78">
        <v>72</v>
      </c>
      <c r="R357" s="62">
        <f>C353</f>
        <v>60</v>
      </c>
      <c r="S357" s="20"/>
      <c r="T357" s="21"/>
      <c r="U357" s="57">
        <v>60</v>
      </c>
      <c r="V357" s="23">
        <f t="shared" si="48"/>
        <v>-158</v>
      </c>
      <c r="W357" s="23">
        <f t="shared" si="49"/>
        <v>-158</v>
      </c>
      <c r="X357" s="23"/>
      <c r="Y357" s="23">
        <v>12</v>
      </c>
      <c r="AA357" s="250"/>
      <c r="AB357" s="156"/>
      <c r="AC357"/>
      <c r="AD357"/>
      <c r="AE357" s="156"/>
      <c r="AF357"/>
      <c r="AG357"/>
    </row>
    <row r="358" spans="1:36" hidden="1" outlineLevel="1">
      <c r="A358" s="96">
        <v>45454</v>
      </c>
      <c r="B358" s="17" t="s">
        <v>19</v>
      </c>
      <c r="C358" s="18">
        <v>66</v>
      </c>
      <c r="D358" s="23">
        <v>66</v>
      </c>
      <c r="E358" s="23">
        <f t="shared" si="50"/>
        <v>-18</v>
      </c>
      <c r="G358" s="19"/>
      <c r="H358" s="62"/>
      <c r="I358" s="20"/>
      <c r="J358" s="21"/>
      <c r="K358" s="42"/>
      <c r="L358" s="23"/>
      <c r="M358" s="23"/>
      <c r="N358" s="23"/>
      <c r="O358" s="23"/>
      <c r="Q358" s="78">
        <v>69</v>
      </c>
      <c r="R358" s="62">
        <f>C354</f>
        <v>60</v>
      </c>
      <c r="S358" s="20"/>
      <c r="T358" s="21"/>
      <c r="U358" s="57">
        <v>60</v>
      </c>
      <c r="V358" s="23">
        <f t="shared" si="48"/>
        <v>-167</v>
      </c>
      <c r="W358" s="23">
        <f t="shared" si="49"/>
        <v>-167</v>
      </c>
      <c r="X358" s="23"/>
      <c r="Y358" s="23">
        <f>9+5</f>
        <v>14</v>
      </c>
      <c r="AA358" s="250"/>
      <c r="AB358" s="156"/>
      <c r="AC358"/>
      <c r="AD358"/>
      <c r="AE358" s="156"/>
      <c r="AF358"/>
      <c r="AG358"/>
    </row>
    <row r="359" spans="1:36" hidden="1" outlineLevel="1">
      <c r="A359" s="96">
        <v>45455</v>
      </c>
      <c r="B359" s="17" t="s">
        <v>20</v>
      </c>
      <c r="C359" s="18">
        <v>66</v>
      </c>
      <c r="D359" s="23">
        <v>70</v>
      </c>
      <c r="E359" s="23">
        <f t="shared" si="50"/>
        <v>-14</v>
      </c>
      <c r="G359" s="19"/>
      <c r="H359" s="62"/>
      <c r="I359" s="20"/>
      <c r="J359" s="21"/>
      <c r="K359" s="42"/>
      <c r="L359" s="23"/>
      <c r="M359" s="23"/>
      <c r="N359" s="23"/>
      <c r="O359" s="23"/>
      <c r="Q359" s="78">
        <v>54</v>
      </c>
      <c r="R359" s="62">
        <f>C357+S359</f>
        <v>66</v>
      </c>
      <c r="S359" s="20"/>
      <c r="T359" s="21"/>
      <c r="U359" s="57">
        <v>66</v>
      </c>
      <c r="V359" s="23">
        <f t="shared" si="48"/>
        <v>-155</v>
      </c>
      <c r="W359" s="23">
        <f t="shared" si="49"/>
        <v>-155</v>
      </c>
      <c r="X359" s="23"/>
      <c r="Y359" s="23">
        <v>13</v>
      </c>
      <c r="AA359" s="250"/>
      <c r="AB359" s="156"/>
      <c r="AC359"/>
      <c r="AD359"/>
      <c r="AE359" s="156"/>
      <c r="AF359"/>
      <c r="AG359"/>
    </row>
    <row r="360" spans="1:36" hidden="1" outlineLevel="1">
      <c r="A360" s="96">
        <v>45456</v>
      </c>
      <c r="B360" s="17" t="s">
        <v>14</v>
      </c>
      <c r="C360" s="18">
        <v>66</v>
      </c>
      <c r="D360" s="23">
        <v>66</v>
      </c>
      <c r="E360" s="23">
        <f t="shared" si="50"/>
        <v>-14</v>
      </c>
      <c r="G360" s="19"/>
      <c r="H360" s="62"/>
      <c r="I360" s="20"/>
      <c r="J360" s="21"/>
      <c r="K360" s="42"/>
      <c r="L360" s="23"/>
      <c r="M360" s="23"/>
      <c r="N360" s="23"/>
      <c r="O360" s="23"/>
      <c r="Q360" s="78">
        <v>69</v>
      </c>
      <c r="R360" s="62">
        <f>C358+S360</f>
        <v>66</v>
      </c>
      <c r="S360" s="20"/>
      <c r="T360" s="21"/>
      <c r="U360" s="57">
        <v>66</v>
      </c>
      <c r="V360" s="23">
        <f t="shared" si="48"/>
        <v>-158</v>
      </c>
      <c r="W360" s="23">
        <f t="shared" si="49"/>
        <v>-158</v>
      </c>
      <c r="X360" s="23"/>
      <c r="Y360" s="23"/>
      <c r="AA360" s="250"/>
      <c r="AB360" s="156"/>
      <c r="AC360"/>
      <c r="AD360"/>
      <c r="AE360" s="156"/>
      <c r="AF360"/>
      <c r="AG360"/>
    </row>
    <row r="361" spans="1:36" hidden="1" outlineLevel="1">
      <c r="A361" s="96">
        <v>45457</v>
      </c>
      <c r="B361" s="17" t="s">
        <v>15</v>
      </c>
      <c r="C361" s="18">
        <v>66</v>
      </c>
      <c r="D361" s="23">
        <v>66</v>
      </c>
      <c r="E361" s="23">
        <f t="shared" si="50"/>
        <v>-14</v>
      </c>
      <c r="G361" s="19"/>
      <c r="H361" s="62"/>
      <c r="I361" s="20"/>
      <c r="J361" s="21"/>
      <c r="K361" s="42"/>
      <c r="L361" s="23"/>
      <c r="M361" s="23"/>
      <c r="N361" s="23"/>
      <c r="O361" s="23"/>
      <c r="Q361" s="83">
        <v>57</v>
      </c>
      <c r="R361" s="62">
        <f>C359+S361</f>
        <v>66</v>
      </c>
      <c r="S361" s="20"/>
      <c r="T361" s="21"/>
      <c r="U361" s="57">
        <v>66</v>
      </c>
      <c r="V361" s="23">
        <f t="shared" si="48"/>
        <v>-149</v>
      </c>
      <c r="W361" s="23">
        <f t="shared" si="49"/>
        <v>-149</v>
      </c>
      <c r="X361" s="23"/>
      <c r="Y361" s="23"/>
      <c r="Z361" s="1">
        <f t="shared" ref="Z361" si="52">AVERAGE(Q357:Q361)</f>
        <v>64.2</v>
      </c>
      <c r="AA361" s="255"/>
      <c r="AB361" s="156" t="s">
        <v>49</v>
      </c>
      <c r="AC361"/>
      <c r="AD361"/>
      <c r="AE361" s="156"/>
      <c r="AF361"/>
      <c r="AG361"/>
    </row>
    <row r="362" spans="1:36" s="12" customFormat="1" hidden="1" outlineLevel="1" collapsed="1">
      <c r="A362" s="95">
        <v>45458</v>
      </c>
      <c r="B362" s="25" t="s">
        <v>16</v>
      </c>
      <c r="C362" s="26"/>
      <c r="D362" s="29"/>
      <c r="E362" s="29">
        <f t="shared" si="50"/>
        <v>-14</v>
      </c>
      <c r="G362" s="64"/>
      <c r="H362" s="63"/>
      <c r="I362" s="27"/>
      <c r="J362" s="28"/>
      <c r="K362" s="43"/>
      <c r="L362" s="29"/>
      <c r="M362" s="29"/>
      <c r="N362" s="29"/>
      <c r="O362" s="29"/>
      <c r="Q362" s="64"/>
      <c r="R362" s="63"/>
      <c r="S362" s="27"/>
      <c r="T362" s="28"/>
      <c r="U362" s="43"/>
      <c r="V362" s="29">
        <f t="shared" si="48"/>
        <v>-149</v>
      </c>
      <c r="W362" s="29">
        <f t="shared" si="49"/>
        <v>-149</v>
      </c>
      <c r="X362" s="29"/>
      <c r="Y362" s="29"/>
      <c r="AA362"/>
      <c r="AB362" s="156"/>
      <c r="AC362"/>
      <c r="AD362"/>
      <c r="AE362" s="156"/>
      <c r="AF362"/>
      <c r="AG362"/>
      <c r="AH362"/>
      <c r="AI362"/>
      <c r="AJ362"/>
    </row>
    <row r="363" spans="1:36" s="12" customFormat="1" hidden="1" outlineLevel="1">
      <c r="A363" s="95">
        <v>45459</v>
      </c>
      <c r="B363" s="25" t="s">
        <v>17</v>
      </c>
      <c r="C363" s="26"/>
      <c r="D363" s="29"/>
      <c r="E363" s="29">
        <f t="shared" si="50"/>
        <v>-14</v>
      </c>
      <c r="G363" s="64"/>
      <c r="H363" s="63"/>
      <c r="I363" s="27"/>
      <c r="J363" s="28"/>
      <c r="K363" s="43"/>
      <c r="L363" s="29"/>
      <c r="M363" s="29"/>
      <c r="N363" s="29"/>
      <c r="O363" s="29"/>
      <c r="Q363" s="64"/>
      <c r="R363" s="63"/>
      <c r="S363" s="27"/>
      <c r="T363" s="28"/>
      <c r="U363" s="43"/>
      <c r="V363" s="29">
        <f t="shared" si="48"/>
        <v>-149</v>
      </c>
      <c r="W363" s="29">
        <f t="shared" si="49"/>
        <v>-149</v>
      </c>
      <c r="X363" s="29"/>
      <c r="Y363" s="29"/>
      <c r="AA363"/>
      <c r="AB363" s="156"/>
      <c r="AC363"/>
      <c r="AD363"/>
      <c r="AE363" s="156"/>
      <c r="AF363"/>
      <c r="AG363"/>
      <c r="AH363"/>
      <c r="AI363"/>
      <c r="AJ363"/>
    </row>
    <row r="364" spans="1:36" hidden="1" outlineLevel="1">
      <c r="A364" s="96">
        <v>45460</v>
      </c>
      <c r="B364" s="17" t="s">
        <v>18</v>
      </c>
      <c r="C364" s="18">
        <v>66</v>
      </c>
      <c r="D364" s="23">
        <v>66</v>
      </c>
      <c r="E364" s="23">
        <f t="shared" si="50"/>
        <v>-14</v>
      </c>
      <c r="G364" s="19"/>
      <c r="H364" s="62"/>
      <c r="I364" s="20"/>
      <c r="J364" s="21"/>
      <c r="K364" s="42"/>
      <c r="L364" s="23"/>
      <c r="M364" s="23"/>
      <c r="N364" s="23"/>
      <c r="O364" s="23"/>
      <c r="Q364" s="78">
        <v>72</v>
      </c>
      <c r="R364" s="62">
        <f>C360</f>
        <v>66</v>
      </c>
      <c r="S364" s="20"/>
      <c r="T364" s="21"/>
      <c r="U364" s="57">
        <v>66</v>
      </c>
      <c r="V364" s="23">
        <f t="shared" si="48"/>
        <v>-155</v>
      </c>
      <c r="W364" s="23">
        <f t="shared" si="49"/>
        <v>-155</v>
      </c>
      <c r="X364" s="23"/>
      <c r="Y364" s="23">
        <v>9</v>
      </c>
      <c r="AA364" s="250"/>
      <c r="AB364" s="156"/>
      <c r="AC364"/>
      <c r="AD364"/>
      <c r="AE364" s="156"/>
      <c r="AF364"/>
      <c r="AG364"/>
    </row>
    <row r="365" spans="1:36" hidden="1" outlineLevel="1">
      <c r="A365" s="96">
        <v>45461</v>
      </c>
      <c r="B365" s="17" t="s">
        <v>19</v>
      </c>
      <c r="C365" s="18">
        <v>66</v>
      </c>
      <c r="D365" s="23">
        <v>66</v>
      </c>
      <c r="E365" s="23">
        <f t="shared" si="50"/>
        <v>-14</v>
      </c>
      <c r="G365" s="19"/>
      <c r="H365" s="62"/>
      <c r="I365" s="20"/>
      <c r="J365" s="21"/>
      <c r="K365" s="42"/>
      <c r="L365" s="23"/>
      <c r="M365" s="23"/>
      <c r="N365" s="23"/>
      <c r="O365" s="23"/>
      <c r="Q365" s="78">
        <v>75</v>
      </c>
      <c r="R365" s="62">
        <f>C361</f>
        <v>66</v>
      </c>
      <c r="S365" s="20"/>
      <c r="T365" s="21"/>
      <c r="U365" s="57">
        <v>66</v>
      </c>
      <c r="V365" s="23">
        <f t="shared" si="48"/>
        <v>-164</v>
      </c>
      <c r="W365" s="23">
        <f t="shared" si="49"/>
        <v>-164</v>
      </c>
      <c r="X365" s="23"/>
      <c r="Y365" s="23"/>
      <c r="AA365" s="250"/>
      <c r="AB365" s="156"/>
      <c r="AC365"/>
      <c r="AD365"/>
      <c r="AE365" s="156"/>
      <c r="AF365"/>
      <c r="AG365"/>
    </row>
    <row r="366" spans="1:36" hidden="1" outlineLevel="1">
      <c r="A366" s="96">
        <v>45462</v>
      </c>
      <c r="B366" s="17" t="s">
        <v>20</v>
      </c>
      <c r="C366" s="18">
        <v>66</v>
      </c>
      <c r="D366" s="23">
        <v>66</v>
      </c>
      <c r="E366" s="23">
        <f t="shared" si="50"/>
        <v>-14</v>
      </c>
      <c r="G366" s="19"/>
      <c r="H366" s="62"/>
      <c r="I366" s="20"/>
      <c r="J366" s="21"/>
      <c r="K366" s="42"/>
      <c r="L366" s="23"/>
      <c r="M366" s="23"/>
      <c r="N366" s="23"/>
      <c r="O366" s="23"/>
      <c r="Q366" s="78">
        <v>54</v>
      </c>
      <c r="R366" s="62">
        <f>C364+S366</f>
        <v>66</v>
      </c>
      <c r="S366" s="20"/>
      <c r="T366" s="21"/>
      <c r="U366" s="57">
        <v>66</v>
      </c>
      <c r="V366" s="23">
        <f t="shared" si="48"/>
        <v>-152</v>
      </c>
      <c r="W366" s="23">
        <f t="shared" si="49"/>
        <v>-152</v>
      </c>
      <c r="X366" s="23"/>
      <c r="Y366" s="23">
        <v>13</v>
      </c>
      <c r="AA366" s="250"/>
      <c r="AB366" s="156"/>
      <c r="AC366"/>
      <c r="AD366"/>
      <c r="AE366" s="156"/>
      <c r="AF366"/>
      <c r="AG366"/>
    </row>
    <row r="367" spans="1:36" hidden="1" outlineLevel="1">
      <c r="A367" s="96">
        <v>45463</v>
      </c>
      <c r="B367" s="17" t="s">
        <v>14</v>
      </c>
      <c r="C367" s="18">
        <v>66</v>
      </c>
      <c r="D367" s="23">
        <v>66</v>
      </c>
      <c r="E367" s="23">
        <f t="shared" si="50"/>
        <v>-14</v>
      </c>
      <c r="G367" s="19"/>
      <c r="H367" s="62"/>
      <c r="I367" s="20"/>
      <c r="J367" s="21"/>
      <c r="K367" s="42"/>
      <c r="L367" s="23"/>
      <c r="M367" s="23"/>
      <c r="N367" s="23"/>
      <c r="O367" s="23"/>
      <c r="Q367" s="78">
        <v>72</v>
      </c>
      <c r="R367" s="62">
        <f>C365+S367</f>
        <v>66</v>
      </c>
      <c r="S367" s="20"/>
      <c r="T367" s="21"/>
      <c r="U367" s="57">
        <v>66</v>
      </c>
      <c r="V367" s="23">
        <f t="shared" si="48"/>
        <v>-158</v>
      </c>
      <c r="W367" s="23">
        <f t="shared" si="49"/>
        <v>-158</v>
      </c>
      <c r="X367" s="23"/>
      <c r="Y367" s="23">
        <v>11</v>
      </c>
      <c r="AA367" s="250"/>
      <c r="AB367" s="156"/>
      <c r="AC367"/>
      <c r="AD367"/>
      <c r="AE367" s="156"/>
      <c r="AF367"/>
      <c r="AG367"/>
    </row>
    <row r="368" spans="1:36" hidden="1" outlineLevel="1">
      <c r="A368" s="96">
        <v>45464</v>
      </c>
      <c r="B368" s="17" t="s">
        <v>15</v>
      </c>
      <c r="C368" s="18">
        <v>66</v>
      </c>
      <c r="D368" s="23">
        <v>68</v>
      </c>
      <c r="E368" s="23">
        <f t="shared" si="50"/>
        <v>-12</v>
      </c>
      <c r="G368" s="19"/>
      <c r="H368" s="62"/>
      <c r="I368" s="20"/>
      <c r="J368" s="21"/>
      <c r="K368" s="42"/>
      <c r="L368" s="23"/>
      <c r="M368" s="23"/>
      <c r="N368" s="23"/>
      <c r="O368" s="23"/>
      <c r="Q368" s="83">
        <v>3</v>
      </c>
      <c r="R368" s="62">
        <f>C366+S368</f>
        <v>66</v>
      </c>
      <c r="S368" s="20"/>
      <c r="T368" s="21"/>
      <c r="U368" s="57">
        <v>66</v>
      </c>
      <c r="V368" s="23">
        <f t="shared" si="48"/>
        <v>-95</v>
      </c>
      <c r="W368" s="23">
        <f t="shared" si="49"/>
        <v>-95</v>
      </c>
      <c r="X368" s="23"/>
      <c r="Y368" s="23"/>
      <c r="Z368" s="1">
        <f t="shared" ref="Z368" si="53">AVERAGE(Q364:Q368)</f>
        <v>55.2</v>
      </c>
      <c r="AA368" s="255"/>
      <c r="AB368" s="156"/>
      <c r="AC368"/>
      <c r="AD368"/>
      <c r="AE368" s="156"/>
      <c r="AF368"/>
      <c r="AG368"/>
    </row>
    <row r="369" spans="1:36" s="12" customFormat="1" hidden="1" outlineLevel="1" collapsed="1">
      <c r="A369" s="95">
        <v>45465</v>
      </c>
      <c r="B369" s="25" t="s">
        <v>16</v>
      </c>
      <c r="C369" s="26"/>
      <c r="D369" s="29"/>
      <c r="E369" s="29">
        <f t="shared" si="50"/>
        <v>-12</v>
      </c>
      <c r="G369" s="64"/>
      <c r="H369" s="63"/>
      <c r="I369" s="27"/>
      <c r="J369" s="28"/>
      <c r="K369" s="43"/>
      <c r="L369" s="29"/>
      <c r="M369" s="29"/>
      <c r="N369" s="29"/>
      <c r="O369" s="29"/>
      <c r="Q369" s="64"/>
      <c r="R369" s="63"/>
      <c r="S369" s="27"/>
      <c r="T369" s="28"/>
      <c r="U369" s="43"/>
      <c r="V369" s="29">
        <f t="shared" si="48"/>
        <v>-95</v>
      </c>
      <c r="W369" s="29">
        <f t="shared" si="49"/>
        <v>-95</v>
      </c>
      <c r="X369" s="29"/>
      <c r="Y369" s="29"/>
      <c r="AA369"/>
      <c r="AB369" s="156"/>
      <c r="AC369"/>
      <c r="AD369"/>
      <c r="AE369" s="156"/>
      <c r="AF369"/>
      <c r="AG369"/>
      <c r="AH369"/>
      <c r="AI369"/>
      <c r="AJ369"/>
    </row>
    <row r="370" spans="1:36" s="12" customFormat="1" hidden="1" outlineLevel="1">
      <c r="A370" s="95">
        <v>45466</v>
      </c>
      <c r="B370" s="25" t="s">
        <v>17</v>
      </c>
      <c r="C370" s="26"/>
      <c r="D370" s="29"/>
      <c r="E370" s="29">
        <f t="shared" si="50"/>
        <v>-12</v>
      </c>
      <c r="G370" s="64"/>
      <c r="H370" s="63"/>
      <c r="I370" s="27"/>
      <c r="J370" s="28"/>
      <c r="K370" s="43"/>
      <c r="L370" s="29"/>
      <c r="M370" s="29"/>
      <c r="N370" s="29"/>
      <c r="O370" s="29"/>
      <c r="Q370" s="64"/>
      <c r="R370" s="63"/>
      <c r="S370" s="27"/>
      <c r="T370" s="28"/>
      <c r="U370" s="43"/>
      <c r="V370" s="29">
        <f t="shared" si="48"/>
        <v>-95</v>
      </c>
      <c r="W370" s="29">
        <f t="shared" si="49"/>
        <v>-95</v>
      </c>
      <c r="X370" s="29"/>
      <c r="Y370" s="29"/>
      <c r="AA370"/>
      <c r="AB370" s="156"/>
      <c r="AC370"/>
      <c r="AD370"/>
      <c r="AE370" s="156"/>
      <c r="AF370"/>
      <c r="AG370"/>
      <c r="AH370"/>
      <c r="AI370"/>
      <c r="AJ370"/>
    </row>
    <row r="371" spans="1:36" hidden="1" outlineLevel="1">
      <c r="A371" s="96">
        <v>45467</v>
      </c>
      <c r="B371" s="17" t="s">
        <v>18</v>
      </c>
      <c r="C371" s="18">
        <v>72</v>
      </c>
      <c r="D371" s="23">
        <v>71</v>
      </c>
      <c r="E371" s="23">
        <f t="shared" si="50"/>
        <v>-13</v>
      </c>
      <c r="G371" s="19"/>
      <c r="H371" s="62"/>
      <c r="I371" s="20"/>
      <c r="J371" s="21"/>
      <c r="K371" s="42"/>
      <c r="L371" s="23"/>
      <c r="M371" s="23"/>
      <c r="N371" s="23"/>
      <c r="O371" s="23"/>
      <c r="Q371" s="83">
        <v>6</v>
      </c>
      <c r="R371" s="62">
        <f>C367</f>
        <v>66</v>
      </c>
      <c r="S371" s="20"/>
      <c r="T371" s="21"/>
      <c r="U371" s="57">
        <v>66</v>
      </c>
      <c r="V371" s="23">
        <f t="shared" si="48"/>
        <v>-35</v>
      </c>
      <c r="W371" s="23">
        <f t="shared" si="49"/>
        <v>-35</v>
      </c>
      <c r="X371" s="23"/>
      <c r="Y371" s="23">
        <v>11</v>
      </c>
      <c r="AA371" s="255"/>
      <c r="AB371" s="156"/>
      <c r="AC371"/>
      <c r="AD371"/>
      <c r="AE371" s="156"/>
      <c r="AF371"/>
      <c r="AG371"/>
    </row>
    <row r="372" spans="1:36" hidden="1" outlineLevel="1">
      <c r="A372" s="96">
        <v>45468</v>
      </c>
      <c r="B372" s="17" t="s">
        <v>19</v>
      </c>
      <c r="C372" s="18">
        <v>72</v>
      </c>
      <c r="D372" s="23">
        <v>72</v>
      </c>
      <c r="E372" s="23">
        <f t="shared" si="50"/>
        <v>-13</v>
      </c>
      <c r="G372" s="19"/>
      <c r="H372" s="62"/>
      <c r="I372" s="20"/>
      <c r="J372" s="21"/>
      <c r="K372" s="42"/>
      <c r="L372" s="23"/>
      <c r="M372" s="23"/>
      <c r="N372" s="23"/>
      <c r="O372" s="23"/>
      <c r="Q372" s="83">
        <v>78</v>
      </c>
      <c r="R372" s="62">
        <f>C368</f>
        <v>66</v>
      </c>
      <c r="S372" s="20"/>
      <c r="T372" s="21"/>
      <c r="U372" s="57">
        <v>66</v>
      </c>
      <c r="V372" s="23">
        <f t="shared" si="48"/>
        <v>-47</v>
      </c>
      <c r="W372" s="23">
        <f t="shared" si="49"/>
        <v>-47</v>
      </c>
      <c r="X372" s="23"/>
      <c r="Y372" s="23"/>
      <c r="AA372" s="255"/>
      <c r="AB372" s="156"/>
      <c r="AC372"/>
      <c r="AD372"/>
      <c r="AE372" s="156"/>
      <c r="AF372"/>
      <c r="AG372"/>
    </row>
    <row r="373" spans="1:36" hidden="1" outlineLevel="1">
      <c r="A373" s="96">
        <v>45469</v>
      </c>
      <c r="B373" s="17" t="s">
        <v>20</v>
      </c>
      <c r="C373" s="18">
        <v>72</v>
      </c>
      <c r="D373" s="23">
        <v>74</v>
      </c>
      <c r="E373" s="23">
        <f t="shared" si="50"/>
        <v>-11</v>
      </c>
      <c r="G373" s="19"/>
      <c r="H373" s="62"/>
      <c r="I373" s="20"/>
      <c r="J373" s="21"/>
      <c r="K373" s="42"/>
      <c r="L373" s="23"/>
      <c r="M373" s="23"/>
      <c r="N373" s="23"/>
      <c r="O373" s="23"/>
      <c r="Q373" s="78">
        <v>57</v>
      </c>
      <c r="R373" s="62">
        <f>C371+S373</f>
        <v>72</v>
      </c>
      <c r="S373" s="20"/>
      <c r="T373" s="21"/>
      <c r="U373" s="57">
        <v>72</v>
      </c>
      <c r="V373" s="23">
        <f t="shared" si="48"/>
        <v>-32</v>
      </c>
      <c r="W373" s="23">
        <f t="shared" si="49"/>
        <v>-32</v>
      </c>
      <c r="X373" s="23"/>
      <c r="Y373" s="23">
        <v>6</v>
      </c>
      <c r="AA373" s="250"/>
      <c r="AB373" s="156"/>
      <c r="AC373"/>
      <c r="AD373"/>
      <c r="AE373" s="156"/>
      <c r="AF373"/>
      <c r="AG373"/>
    </row>
    <row r="374" spans="1:36" hidden="1" outlineLevel="1">
      <c r="A374" s="96">
        <v>45470</v>
      </c>
      <c r="B374" s="17" t="s">
        <v>14</v>
      </c>
      <c r="C374" s="18">
        <v>72</v>
      </c>
      <c r="D374" s="23">
        <v>72</v>
      </c>
      <c r="E374" s="23">
        <f t="shared" si="50"/>
        <v>-11</v>
      </c>
      <c r="G374" s="19"/>
      <c r="H374" s="62"/>
      <c r="I374" s="20"/>
      <c r="J374" s="21"/>
      <c r="K374" s="42"/>
      <c r="L374" s="23"/>
      <c r="M374" s="23"/>
      <c r="N374" s="23"/>
      <c r="O374" s="23"/>
      <c r="Q374" s="78">
        <v>78</v>
      </c>
      <c r="R374" s="62">
        <f>C372+S374</f>
        <v>72</v>
      </c>
      <c r="S374" s="20"/>
      <c r="T374" s="21"/>
      <c r="U374" s="57">
        <v>72</v>
      </c>
      <c r="V374" s="23">
        <f t="shared" si="48"/>
        <v>-38</v>
      </c>
      <c r="W374" s="23">
        <f t="shared" si="49"/>
        <v>-38</v>
      </c>
      <c r="X374" s="23"/>
      <c r="Y374" s="23">
        <v>7</v>
      </c>
      <c r="AA374" s="250"/>
      <c r="AB374" s="156"/>
      <c r="AC374"/>
      <c r="AD374"/>
      <c r="AE374" s="156"/>
      <c r="AF374"/>
      <c r="AG374"/>
    </row>
    <row r="375" spans="1:36" hidden="1" outlineLevel="1">
      <c r="A375" s="96">
        <v>45471</v>
      </c>
      <c r="B375" s="17" t="s">
        <v>15</v>
      </c>
      <c r="C375" s="18">
        <v>72</v>
      </c>
      <c r="D375" s="23">
        <v>54</v>
      </c>
      <c r="E375" s="23">
        <f t="shared" si="50"/>
        <v>-29</v>
      </c>
      <c r="G375" s="19"/>
      <c r="H375" s="62"/>
      <c r="I375" s="20"/>
      <c r="J375" s="21"/>
      <c r="K375" s="42"/>
      <c r="L375" s="23"/>
      <c r="M375" s="23"/>
      <c r="N375" s="23"/>
      <c r="O375" s="23"/>
      <c r="Q375" s="78">
        <v>90</v>
      </c>
      <c r="R375" s="62">
        <f>C373+S375</f>
        <v>72</v>
      </c>
      <c r="S375" s="20"/>
      <c r="T375" s="21"/>
      <c r="U375" s="57">
        <v>72</v>
      </c>
      <c r="V375" s="23">
        <f t="shared" si="48"/>
        <v>-56</v>
      </c>
      <c r="W375" s="23">
        <f t="shared" si="49"/>
        <v>-56</v>
      </c>
      <c r="X375" s="23"/>
      <c r="Y375" s="23">
        <v>12</v>
      </c>
      <c r="Z375" s="1">
        <f t="shared" ref="Z375" si="54">AVERAGE(Q371:Q375)</f>
        <v>61.8</v>
      </c>
      <c r="AA375" s="250"/>
      <c r="AB375" s="156"/>
      <c r="AC375"/>
      <c r="AD375"/>
      <c r="AE375" s="156"/>
      <c r="AF375"/>
      <c r="AG375"/>
    </row>
    <row r="376" spans="1:36" s="12" customFormat="1" hidden="1" outlineLevel="1" collapsed="1">
      <c r="A376" s="95">
        <v>45472</v>
      </c>
      <c r="B376" s="25" t="s">
        <v>16</v>
      </c>
      <c r="C376" s="26"/>
      <c r="D376" s="29"/>
      <c r="E376" s="29">
        <f t="shared" si="50"/>
        <v>-29</v>
      </c>
      <c r="G376" s="64"/>
      <c r="H376" s="63"/>
      <c r="I376" s="27"/>
      <c r="J376" s="28"/>
      <c r="K376" s="43"/>
      <c r="L376" s="29"/>
      <c r="M376" s="29"/>
      <c r="N376" s="29"/>
      <c r="O376" s="29"/>
      <c r="Q376" s="64"/>
      <c r="R376" s="63"/>
      <c r="S376" s="27"/>
      <c r="T376" s="28"/>
      <c r="U376" s="43"/>
      <c r="V376" s="29">
        <f t="shared" si="48"/>
        <v>-56</v>
      </c>
      <c r="W376" s="29">
        <f t="shared" si="49"/>
        <v>-56</v>
      </c>
      <c r="X376" s="29"/>
      <c r="Y376" s="29"/>
      <c r="AA376"/>
      <c r="AB376" s="156"/>
      <c r="AC376"/>
      <c r="AD376"/>
      <c r="AE376" s="156"/>
      <c r="AF376"/>
      <c r="AG376"/>
      <c r="AH376"/>
      <c r="AI376"/>
      <c r="AJ376"/>
    </row>
    <row r="377" spans="1:36" s="12" customFormat="1" hidden="1" outlineLevel="1">
      <c r="A377" s="95">
        <v>45473</v>
      </c>
      <c r="B377" s="25" t="s">
        <v>17</v>
      </c>
      <c r="C377" s="26"/>
      <c r="D377" s="29"/>
      <c r="E377" s="29">
        <f t="shared" si="50"/>
        <v>-29</v>
      </c>
      <c r="G377" s="64"/>
      <c r="H377" s="63"/>
      <c r="I377" s="27"/>
      <c r="J377" s="28"/>
      <c r="K377" s="43"/>
      <c r="L377" s="29"/>
      <c r="M377" s="29"/>
      <c r="N377" s="29"/>
      <c r="O377" s="29"/>
      <c r="Q377" s="64"/>
      <c r="R377" s="63"/>
      <c r="S377" s="27"/>
      <c r="T377" s="28"/>
      <c r="U377" s="43"/>
      <c r="V377" s="29">
        <f t="shared" si="48"/>
        <v>-56</v>
      </c>
      <c r="W377" s="29">
        <f t="shared" si="49"/>
        <v>-56</v>
      </c>
      <c r="X377" s="29"/>
      <c r="Y377" s="29"/>
      <c r="AA377"/>
      <c r="AB377" s="156"/>
      <c r="AC377"/>
      <c r="AD377"/>
      <c r="AE377" s="156"/>
      <c r="AF377"/>
      <c r="AG377"/>
      <c r="AH377"/>
      <c r="AI377"/>
      <c r="AJ377"/>
    </row>
    <row r="378" spans="1:36" hidden="1" outlineLevel="1">
      <c r="A378" s="96">
        <v>45474</v>
      </c>
      <c r="B378" s="17" t="s">
        <v>18</v>
      </c>
      <c r="C378" s="18">
        <v>66</v>
      </c>
      <c r="D378" s="23">
        <v>66</v>
      </c>
      <c r="E378" s="23">
        <f t="shared" si="50"/>
        <v>-29</v>
      </c>
      <c r="G378" s="19"/>
      <c r="H378" s="62"/>
      <c r="I378" s="20"/>
      <c r="J378" s="21"/>
      <c r="K378" s="42"/>
      <c r="L378" s="23"/>
      <c r="M378" s="23"/>
      <c r="N378" s="23"/>
      <c r="O378" s="23"/>
      <c r="Q378" s="78">
        <v>90</v>
      </c>
      <c r="R378" s="62">
        <f>C374</f>
        <v>72</v>
      </c>
      <c r="S378" s="20"/>
      <c r="T378" s="21"/>
      <c r="U378" s="57">
        <v>72</v>
      </c>
      <c r="V378" s="23">
        <f t="shared" si="48"/>
        <v>-74</v>
      </c>
      <c r="W378" s="23">
        <f t="shared" si="49"/>
        <v>-74</v>
      </c>
      <c r="X378" s="23"/>
      <c r="Y378" s="23">
        <v>16</v>
      </c>
      <c r="AA378" s="250"/>
      <c r="AB378" s="156"/>
      <c r="AC378"/>
      <c r="AD378"/>
      <c r="AE378" s="156"/>
      <c r="AF378"/>
      <c r="AG378"/>
    </row>
    <row r="379" spans="1:36" hidden="1" outlineLevel="1">
      <c r="A379" s="96">
        <v>45475</v>
      </c>
      <c r="B379" s="17" t="s">
        <v>19</v>
      </c>
      <c r="C379" s="18">
        <v>66</v>
      </c>
      <c r="D379" s="23">
        <v>72</v>
      </c>
      <c r="E379" s="23">
        <f t="shared" si="50"/>
        <v>-23</v>
      </c>
      <c r="G379" s="19"/>
      <c r="H379" s="62"/>
      <c r="I379" s="20"/>
      <c r="J379" s="21"/>
      <c r="K379" s="42"/>
      <c r="L379" s="23"/>
      <c r="M379" s="23"/>
      <c r="N379" s="23"/>
      <c r="O379" s="23"/>
      <c r="Q379" s="78">
        <v>72</v>
      </c>
      <c r="R379" s="62">
        <f>C375</f>
        <v>72</v>
      </c>
      <c r="S379" s="20"/>
      <c r="T379" s="21"/>
      <c r="U379" s="57">
        <v>72</v>
      </c>
      <c r="V379" s="23">
        <f t="shared" ref="V379:V409" si="55">V378-Q379+U379</f>
        <v>-74</v>
      </c>
      <c r="W379" s="23">
        <f t="shared" ref="W379:W409" si="56">W378-Q379+R379</f>
        <v>-74</v>
      </c>
      <c r="X379" s="23"/>
      <c r="Y379" s="23">
        <v>14</v>
      </c>
      <c r="AA379" s="250"/>
      <c r="AB379" s="156"/>
      <c r="AC379"/>
      <c r="AD379"/>
      <c r="AE379" s="156"/>
      <c r="AF379"/>
      <c r="AG379"/>
    </row>
    <row r="380" spans="1:36" hidden="1" outlineLevel="1">
      <c r="A380" s="96">
        <v>45476</v>
      </c>
      <c r="B380" s="17" t="s">
        <v>20</v>
      </c>
      <c r="C380" s="18">
        <v>66</v>
      </c>
      <c r="D380" s="23">
        <v>72</v>
      </c>
      <c r="E380" s="23">
        <f t="shared" si="50"/>
        <v>-17</v>
      </c>
      <c r="G380" s="19"/>
      <c r="H380" s="62"/>
      <c r="I380" s="20"/>
      <c r="J380" s="21"/>
      <c r="K380" s="42"/>
      <c r="L380" s="23"/>
      <c r="M380" s="23"/>
      <c r="N380" s="23"/>
      <c r="O380" s="23"/>
      <c r="Q380" s="78">
        <v>90</v>
      </c>
      <c r="R380" s="62">
        <f>C378+S380</f>
        <v>66</v>
      </c>
      <c r="S380" s="20"/>
      <c r="T380" s="21"/>
      <c r="U380" s="57">
        <v>66</v>
      </c>
      <c r="V380" s="23">
        <f t="shared" si="55"/>
        <v>-98</v>
      </c>
      <c r="W380" s="23">
        <f t="shared" si="56"/>
        <v>-98</v>
      </c>
      <c r="X380" s="23"/>
      <c r="Y380" s="23">
        <v>12</v>
      </c>
      <c r="AA380" s="250"/>
      <c r="AB380" s="156"/>
      <c r="AC380"/>
      <c r="AD380"/>
      <c r="AE380" s="156"/>
      <c r="AF380"/>
      <c r="AG380"/>
    </row>
    <row r="381" spans="1:36" hidden="1" outlineLevel="1">
      <c r="A381" s="96">
        <v>45477</v>
      </c>
      <c r="B381" s="17" t="s">
        <v>14</v>
      </c>
      <c r="C381" s="18">
        <v>66</v>
      </c>
      <c r="D381" s="23">
        <v>72</v>
      </c>
      <c r="E381" s="23">
        <f t="shared" si="50"/>
        <v>-11</v>
      </c>
      <c r="G381" s="19"/>
      <c r="H381" s="62"/>
      <c r="I381" s="20"/>
      <c r="J381" s="21"/>
      <c r="K381" s="42"/>
      <c r="L381" s="23"/>
      <c r="M381" s="23"/>
      <c r="N381" s="23"/>
      <c r="O381" s="23"/>
      <c r="Q381" s="78">
        <v>72</v>
      </c>
      <c r="R381" s="62">
        <f>C379+S381</f>
        <v>66</v>
      </c>
      <c r="S381" s="20"/>
      <c r="T381" s="21"/>
      <c r="U381" s="57">
        <v>66</v>
      </c>
      <c r="V381" s="23">
        <f t="shared" si="55"/>
        <v>-104</v>
      </c>
      <c r="W381" s="23">
        <f t="shared" si="56"/>
        <v>-104</v>
      </c>
      <c r="X381" s="23"/>
      <c r="Y381" s="23">
        <v>15</v>
      </c>
      <c r="AA381" s="250"/>
      <c r="AB381" s="156"/>
      <c r="AC381"/>
      <c r="AD381"/>
      <c r="AE381" s="156"/>
      <c r="AF381"/>
      <c r="AG381"/>
    </row>
    <row r="382" spans="1:36" s="12" customFormat="1" hidden="1" outlineLevel="1" collapsed="1">
      <c r="A382" s="95">
        <v>45478</v>
      </c>
      <c r="B382" s="25" t="s">
        <v>15</v>
      </c>
      <c r="C382" s="18">
        <v>66</v>
      </c>
      <c r="D382" s="29">
        <v>44</v>
      </c>
      <c r="E382" s="29">
        <f t="shared" si="50"/>
        <v>-33</v>
      </c>
      <c r="G382" s="64"/>
      <c r="H382" s="63"/>
      <c r="I382" s="27"/>
      <c r="J382" s="28"/>
      <c r="K382" s="43"/>
      <c r="L382" s="29"/>
      <c r="M382" s="29"/>
      <c r="N382" s="29"/>
      <c r="O382" s="29"/>
      <c r="Q382" s="64">
        <v>0</v>
      </c>
      <c r="R382" s="63">
        <v>0</v>
      </c>
      <c r="S382" s="27"/>
      <c r="T382" s="28"/>
      <c r="U382" s="43">
        <v>0</v>
      </c>
      <c r="V382" s="29">
        <f t="shared" si="55"/>
        <v>-104</v>
      </c>
      <c r="W382" s="29">
        <f t="shared" si="56"/>
        <v>-104</v>
      </c>
      <c r="X382" s="29"/>
      <c r="Y382" s="29"/>
      <c r="Z382" s="12">
        <f t="shared" ref="Z382" si="57">AVERAGE(Q378:Q382)</f>
        <v>64.8</v>
      </c>
      <c r="AA382"/>
      <c r="AB382" s="156"/>
      <c r="AC382"/>
      <c r="AD382"/>
      <c r="AE382" s="156"/>
      <c r="AF382"/>
      <c r="AG382"/>
      <c r="AH382"/>
      <c r="AI382"/>
      <c r="AJ382"/>
    </row>
    <row r="383" spans="1:36" s="12" customFormat="1" hidden="1" outlineLevel="1">
      <c r="A383" s="95">
        <v>45479</v>
      </c>
      <c r="B383" s="25" t="s">
        <v>16</v>
      </c>
      <c r="C383" s="26"/>
      <c r="D383" s="29"/>
      <c r="E383" s="29">
        <f t="shared" si="50"/>
        <v>-33</v>
      </c>
      <c r="G383" s="64"/>
      <c r="H383" s="63"/>
      <c r="I383" s="27"/>
      <c r="J383" s="28"/>
      <c r="K383" s="43"/>
      <c r="L383" s="29"/>
      <c r="M383" s="29"/>
      <c r="N383" s="29"/>
      <c r="O383" s="29"/>
      <c r="Q383" s="64"/>
      <c r="R383" s="63"/>
      <c r="S383" s="27"/>
      <c r="T383" s="28"/>
      <c r="U383" s="43"/>
      <c r="V383" s="29">
        <f t="shared" si="55"/>
        <v>-104</v>
      </c>
      <c r="W383" s="29">
        <f t="shared" si="56"/>
        <v>-104</v>
      </c>
      <c r="X383" s="29"/>
      <c r="Y383" s="29"/>
      <c r="AA383"/>
      <c r="AB383" s="156"/>
      <c r="AC383"/>
      <c r="AD383"/>
      <c r="AE383" s="156"/>
      <c r="AF383"/>
      <c r="AG383"/>
      <c r="AH383"/>
      <c r="AI383"/>
      <c r="AJ383"/>
    </row>
    <row r="384" spans="1:36" s="12" customFormat="1" hidden="1" outlineLevel="1">
      <c r="A384" s="95">
        <v>45480</v>
      </c>
      <c r="B384" s="25" t="s">
        <v>17</v>
      </c>
      <c r="C384" s="26"/>
      <c r="D384" s="29"/>
      <c r="E384" s="29">
        <f t="shared" si="50"/>
        <v>-33</v>
      </c>
      <c r="G384" s="64"/>
      <c r="H384" s="63"/>
      <c r="I384" s="27"/>
      <c r="J384" s="28"/>
      <c r="K384" s="43"/>
      <c r="L384" s="29"/>
      <c r="M384" s="29"/>
      <c r="N384" s="29"/>
      <c r="O384" s="29"/>
      <c r="Q384" s="64"/>
      <c r="R384" s="63"/>
      <c r="S384" s="27"/>
      <c r="T384" s="28"/>
      <c r="U384" s="43"/>
      <c r="V384" s="29">
        <f t="shared" si="55"/>
        <v>-104</v>
      </c>
      <c r="W384" s="29">
        <f t="shared" si="56"/>
        <v>-104</v>
      </c>
      <c r="X384" s="29"/>
      <c r="Y384" s="29"/>
      <c r="AA384"/>
      <c r="AB384" s="156"/>
      <c r="AC384"/>
      <c r="AD384"/>
      <c r="AE384" s="156"/>
      <c r="AF384"/>
      <c r="AG384"/>
      <c r="AH384"/>
      <c r="AI384"/>
      <c r="AJ384"/>
    </row>
    <row r="385" spans="1:36" hidden="1" outlineLevel="1">
      <c r="A385" s="96">
        <v>45481</v>
      </c>
      <c r="B385" s="17" t="s">
        <v>18</v>
      </c>
      <c r="C385" s="18">
        <v>72</v>
      </c>
      <c r="D385" s="23">
        <v>72</v>
      </c>
      <c r="E385" s="23">
        <f t="shared" si="50"/>
        <v>-33</v>
      </c>
      <c r="G385" s="19"/>
      <c r="H385" s="62"/>
      <c r="I385" s="20"/>
      <c r="J385" s="21"/>
      <c r="K385" s="42"/>
      <c r="L385" s="23"/>
      <c r="M385" s="23"/>
      <c r="N385" s="23"/>
      <c r="O385" s="23"/>
      <c r="Q385" s="203">
        <v>81</v>
      </c>
      <c r="R385" s="62">
        <f>C380+S385</f>
        <v>78</v>
      </c>
      <c r="S385" s="20">
        <v>12</v>
      </c>
      <c r="T385" s="21"/>
      <c r="U385" s="57">
        <v>78</v>
      </c>
      <c r="V385" s="23">
        <f t="shared" si="55"/>
        <v>-107</v>
      </c>
      <c r="W385" s="23">
        <f t="shared" si="56"/>
        <v>-107</v>
      </c>
      <c r="X385" s="23"/>
      <c r="Y385" s="23"/>
      <c r="AA385" s="256"/>
      <c r="AB385" s="156"/>
      <c r="AC385"/>
      <c r="AD385"/>
      <c r="AE385" s="156"/>
      <c r="AF385"/>
      <c r="AG385"/>
    </row>
    <row r="386" spans="1:36" hidden="1" outlineLevel="1">
      <c r="A386" s="96">
        <v>45482</v>
      </c>
      <c r="B386" s="17" t="s">
        <v>19</v>
      </c>
      <c r="C386" s="18">
        <v>72</v>
      </c>
      <c r="D386" s="23">
        <v>74</v>
      </c>
      <c r="E386" s="23">
        <f t="shared" si="50"/>
        <v>-31</v>
      </c>
      <c r="G386" s="19"/>
      <c r="H386" s="62"/>
      <c r="I386" s="20"/>
      <c r="J386" s="21"/>
      <c r="K386" s="42"/>
      <c r="L386" s="23"/>
      <c r="M386" s="23"/>
      <c r="N386" s="23"/>
      <c r="O386" s="23"/>
      <c r="Q386" s="203">
        <v>66</v>
      </c>
      <c r="R386" s="62">
        <f>C381+S386</f>
        <v>84</v>
      </c>
      <c r="S386" s="20">
        <v>18</v>
      </c>
      <c r="T386" s="21"/>
      <c r="U386" s="57">
        <v>84</v>
      </c>
      <c r="V386" s="23">
        <f t="shared" si="55"/>
        <v>-89</v>
      </c>
      <c r="W386" s="23">
        <f t="shared" si="56"/>
        <v>-89</v>
      </c>
      <c r="X386" s="23"/>
      <c r="Y386" s="23">
        <v>26</v>
      </c>
      <c r="AA386" s="256"/>
      <c r="AB386" s="156"/>
      <c r="AC386"/>
      <c r="AD386"/>
      <c r="AE386" s="156"/>
      <c r="AF386"/>
      <c r="AG386"/>
    </row>
    <row r="387" spans="1:36" hidden="1" outlineLevel="1">
      <c r="A387" s="96">
        <v>45483</v>
      </c>
      <c r="B387" s="17" t="s">
        <v>20</v>
      </c>
      <c r="C387" s="18">
        <v>72</v>
      </c>
      <c r="D387" s="23">
        <v>72</v>
      </c>
      <c r="E387" s="23">
        <f t="shared" si="50"/>
        <v>-31</v>
      </c>
      <c r="G387" s="19"/>
      <c r="H387" s="62"/>
      <c r="I387" s="20"/>
      <c r="J387" s="21"/>
      <c r="K387" s="42"/>
      <c r="L387" s="23"/>
      <c r="M387" s="23"/>
      <c r="N387" s="23"/>
      <c r="O387" s="23"/>
      <c r="Q387" s="203">
        <v>81</v>
      </c>
      <c r="R387" s="62">
        <f>C385+S387</f>
        <v>84</v>
      </c>
      <c r="S387" s="20">
        <v>12</v>
      </c>
      <c r="T387" s="21"/>
      <c r="U387" s="57">
        <v>84</v>
      </c>
      <c r="V387" s="23">
        <f t="shared" si="55"/>
        <v>-86</v>
      </c>
      <c r="W387" s="23">
        <f t="shared" si="56"/>
        <v>-86</v>
      </c>
      <c r="X387" s="23"/>
      <c r="Y387" s="23">
        <v>11</v>
      </c>
      <c r="AA387" s="256"/>
      <c r="AB387" s="156"/>
      <c r="AC387"/>
      <c r="AD387"/>
      <c r="AE387" s="156"/>
      <c r="AF387"/>
      <c r="AG387"/>
    </row>
    <row r="388" spans="1:36" hidden="1" outlineLevel="1">
      <c r="A388" s="96">
        <v>45484</v>
      </c>
      <c r="B388" s="17" t="s">
        <v>14</v>
      </c>
      <c r="C388" s="18">
        <v>72</v>
      </c>
      <c r="D388" s="23">
        <v>72</v>
      </c>
      <c r="E388" s="23">
        <f t="shared" si="50"/>
        <v>-31</v>
      </c>
      <c r="G388" s="19"/>
      <c r="H388" s="62"/>
      <c r="I388" s="20"/>
      <c r="J388" s="21"/>
      <c r="K388" s="42"/>
      <c r="L388" s="23"/>
      <c r="M388" s="23"/>
      <c r="N388" s="23"/>
      <c r="O388" s="23"/>
      <c r="Q388" s="203">
        <v>63</v>
      </c>
      <c r="R388" s="62">
        <f>C386+S388</f>
        <v>84</v>
      </c>
      <c r="S388" s="20">
        <v>12</v>
      </c>
      <c r="T388" s="21"/>
      <c r="U388" s="61">
        <v>84</v>
      </c>
      <c r="V388" s="23">
        <f t="shared" si="55"/>
        <v>-65</v>
      </c>
      <c r="W388" s="23">
        <f t="shared" si="56"/>
        <v>-65</v>
      </c>
      <c r="X388" s="23"/>
      <c r="Y388" s="23">
        <v>6</v>
      </c>
      <c r="AA388" s="256"/>
      <c r="AB388" s="156"/>
      <c r="AC388"/>
      <c r="AD388"/>
      <c r="AE388" s="257"/>
      <c r="AF388"/>
      <c r="AG388"/>
    </row>
    <row r="389" spans="1:36" hidden="1" outlineLevel="1">
      <c r="A389" s="96">
        <v>45485</v>
      </c>
      <c r="B389" s="17" t="s">
        <v>15</v>
      </c>
      <c r="C389" s="18">
        <v>72</v>
      </c>
      <c r="D389" s="23">
        <v>72</v>
      </c>
      <c r="E389" s="23">
        <f t="shared" si="50"/>
        <v>-31</v>
      </c>
      <c r="G389" s="19"/>
      <c r="H389" s="62"/>
      <c r="I389" s="20"/>
      <c r="J389" s="21"/>
      <c r="K389" s="42"/>
      <c r="L389" s="23"/>
      <c r="M389" s="23"/>
      <c r="N389" s="23"/>
      <c r="O389" s="23"/>
      <c r="Q389" s="78">
        <v>81</v>
      </c>
      <c r="R389" s="62">
        <f>C387+S389</f>
        <v>84</v>
      </c>
      <c r="S389" s="20">
        <v>12</v>
      </c>
      <c r="T389" s="21"/>
      <c r="U389" s="57">
        <v>84</v>
      </c>
      <c r="V389" s="23">
        <f t="shared" si="55"/>
        <v>-62</v>
      </c>
      <c r="W389" s="23">
        <f t="shared" si="56"/>
        <v>-62</v>
      </c>
      <c r="X389" s="23"/>
      <c r="Y389" s="23">
        <v>18</v>
      </c>
      <c r="Z389" s="1">
        <f t="shared" ref="Z389" si="58">AVERAGE(Q385:Q389)</f>
        <v>74.400000000000006</v>
      </c>
      <c r="AA389" s="250"/>
      <c r="AB389" s="156"/>
      <c r="AC389"/>
      <c r="AD389"/>
      <c r="AE389" s="156"/>
      <c r="AF389"/>
      <c r="AG389"/>
    </row>
    <row r="390" spans="1:36" s="12" customFormat="1" hidden="1" outlineLevel="1">
      <c r="A390" s="95">
        <v>45486</v>
      </c>
      <c r="B390" s="25" t="s">
        <v>16</v>
      </c>
      <c r="C390" s="26"/>
      <c r="D390" s="29"/>
      <c r="E390" s="29">
        <f t="shared" si="50"/>
        <v>-31</v>
      </c>
      <c r="G390" s="64"/>
      <c r="H390" s="63"/>
      <c r="I390" s="27"/>
      <c r="J390" s="28"/>
      <c r="K390" s="43"/>
      <c r="L390" s="29"/>
      <c r="M390" s="29"/>
      <c r="N390" s="29"/>
      <c r="O390" s="29"/>
      <c r="Q390" s="64"/>
      <c r="R390" s="63"/>
      <c r="S390" s="27"/>
      <c r="T390" s="28"/>
      <c r="U390" s="43"/>
      <c r="V390" s="29">
        <f t="shared" si="55"/>
        <v>-62</v>
      </c>
      <c r="W390" s="29">
        <f t="shared" si="56"/>
        <v>-62</v>
      </c>
      <c r="X390" s="29"/>
      <c r="Y390" s="29"/>
      <c r="AA390"/>
      <c r="AB390" s="156"/>
      <c r="AC390"/>
      <c r="AD390"/>
      <c r="AE390" s="156"/>
      <c r="AF390"/>
      <c r="AG390"/>
      <c r="AH390"/>
      <c r="AI390"/>
      <c r="AJ390"/>
    </row>
    <row r="391" spans="1:36" s="12" customFormat="1" hidden="1" outlineLevel="1" collapsed="1">
      <c r="A391" s="95">
        <v>45487</v>
      </c>
      <c r="B391" s="25" t="s">
        <v>17</v>
      </c>
      <c r="C391" s="26"/>
      <c r="D391" s="29"/>
      <c r="E391" s="29">
        <f t="shared" si="50"/>
        <v>-31</v>
      </c>
      <c r="G391" s="64"/>
      <c r="H391" s="63"/>
      <c r="I391" s="27"/>
      <c r="J391" s="28"/>
      <c r="K391" s="43"/>
      <c r="L391" s="29"/>
      <c r="M391" s="29"/>
      <c r="N391" s="29"/>
      <c r="O391" s="29"/>
      <c r="Q391" s="64"/>
      <c r="R391" s="63"/>
      <c r="S391" s="27"/>
      <c r="T391" s="28"/>
      <c r="U391" s="43"/>
      <c r="V391" s="29">
        <f t="shared" si="55"/>
        <v>-62</v>
      </c>
      <c r="W391" s="29">
        <f t="shared" si="56"/>
        <v>-62</v>
      </c>
      <c r="X391" s="29"/>
      <c r="Y391" s="29"/>
      <c r="AA391"/>
      <c r="AB391" s="156"/>
      <c r="AC391"/>
      <c r="AD391"/>
      <c r="AE391" s="156"/>
      <c r="AF391"/>
      <c r="AG391"/>
      <c r="AH391"/>
      <c r="AI391"/>
      <c r="AJ391"/>
    </row>
    <row r="392" spans="1:36" s="12" customFormat="1" hidden="1" outlineLevel="1">
      <c r="A392" s="95">
        <v>45488</v>
      </c>
      <c r="B392" s="25" t="s">
        <v>18</v>
      </c>
      <c r="C392" s="26"/>
      <c r="D392" s="29"/>
      <c r="E392" s="29">
        <f t="shared" si="50"/>
        <v>-31</v>
      </c>
      <c r="G392" s="64"/>
      <c r="H392" s="63"/>
      <c r="I392" s="27"/>
      <c r="J392" s="28"/>
      <c r="K392" s="43"/>
      <c r="L392" s="29"/>
      <c r="M392" s="29"/>
      <c r="N392" s="29"/>
      <c r="O392" s="29"/>
      <c r="Q392" s="64"/>
      <c r="R392" s="63"/>
      <c r="S392" s="27"/>
      <c r="T392" s="28"/>
      <c r="U392" s="43"/>
      <c r="V392" s="29">
        <f t="shared" si="55"/>
        <v>-62</v>
      </c>
      <c r="W392" s="29">
        <f t="shared" si="56"/>
        <v>-62</v>
      </c>
      <c r="X392" s="29"/>
      <c r="Y392" s="29"/>
      <c r="AA392"/>
      <c r="AB392" s="156"/>
      <c r="AC392"/>
      <c r="AD392"/>
      <c r="AE392" s="156"/>
      <c r="AF392"/>
      <c r="AG392"/>
      <c r="AH392"/>
      <c r="AI392"/>
      <c r="AJ392"/>
    </row>
    <row r="393" spans="1:36" hidden="1" outlineLevel="1">
      <c r="A393" s="96">
        <v>45489</v>
      </c>
      <c r="B393" s="17" t="s">
        <v>19</v>
      </c>
      <c r="C393" s="18">
        <f>72-12</f>
        <v>60</v>
      </c>
      <c r="D393" s="23">
        <v>51</v>
      </c>
      <c r="E393" s="23">
        <f t="shared" si="50"/>
        <v>-40</v>
      </c>
      <c r="G393" s="19"/>
      <c r="H393" s="62"/>
      <c r="I393" s="20"/>
      <c r="J393" s="21"/>
      <c r="K393" s="42"/>
      <c r="L393" s="23"/>
      <c r="M393" s="23"/>
      <c r="N393" s="23"/>
      <c r="O393" s="23"/>
      <c r="Q393" s="78">
        <v>6</v>
      </c>
      <c r="R393" s="62">
        <f>C388+S393</f>
        <v>72</v>
      </c>
      <c r="S393" s="20">
        <v>0</v>
      </c>
      <c r="T393" s="21">
        <f>SUM(S385:S393)</f>
        <v>66</v>
      </c>
      <c r="U393" s="57">
        <v>72</v>
      </c>
      <c r="V393" s="23">
        <f t="shared" si="55"/>
        <v>4</v>
      </c>
      <c r="W393" s="23">
        <f t="shared" si="56"/>
        <v>4</v>
      </c>
      <c r="X393" s="23"/>
      <c r="Y393" s="23">
        <v>13</v>
      </c>
      <c r="AA393" s="250"/>
      <c r="AB393" s="156"/>
      <c r="AC393"/>
      <c r="AD393"/>
      <c r="AE393" s="156"/>
      <c r="AF393"/>
      <c r="AG393"/>
    </row>
    <row r="394" spans="1:36" hidden="1" outlineLevel="1">
      <c r="A394" s="96">
        <v>45490</v>
      </c>
      <c r="B394" s="17" t="s">
        <v>20</v>
      </c>
      <c r="C394" s="18">
        <f>72-12</f>
        <v>60</v>
      </c>
      <c r="D394" s="23">
        <v>75</v>
      </c>
      <c r="E394" s="23">
        <f t="shared" si="50"/>
        <v>-25</v>
      </c>
      <c r="G394" s="19"/>
      <c r="H394" s="62"/>
      <c r="I394" s="20"/>
      <c r="J394" s="21"/>
      <c r="K394" s="42"/>
      <c r="L394" s="23"/>
      <c r="M394" s="23"/>
      <c r="N394" s="23"/>
      <c r="O394" s="23"/>
      <c r="Q394" s="78">
        <v>63</v>
      </c>
      <c r="R394" s="62">
        <f>C389</f>
        <v>72</v>
      </c>
      <c r="S394" s="20"/>
      <c r="T394" s="21"/>
      <c r="U394" s="57">
        <v>72</v>
      </c>
      <c r="V394" s="23">
        <f t="shared" si="55"/>
        <v>13</v>
      </c>
      <c r="W394" s="23">
        <f t="shared" si="56"/>
        <v>13</v>
      </c>
      <c r="X394" s="23"/>
      <c r="Y394" s="23">
        <v>1</v>
      </c>
      <c r="AA394" s="250"/>
      <c r="AB394" s="156"/>
      <c r="AC394"/>
      <c r="AD394"/>
      <c r="AE394" s="156"/>
      <c r="AF394"/>
      <c r="AG394"/>
    </row>
    <row r="395" spans="1:36" hidden="1" outlineLevel="1">
      <c r="A395" s="96">
        <v>45491</v>
      </c>
      <c r="B395" s="17" t="s">
        <v>14</v>
      </c>
      <c r="C395" s="18">
        <f>72-12</f>
        <v>60</v>
      </c>
      <c r="D395" s="23">
        <v>60</v>
      </c>
      <c r="E395" s="23">
        <f t="shared" si="50"/>
        <v>-25</v>
      </c>
      <c r="G395" s="19"/>
      <c r="H395" s="62"/>
      <c r="I395" s="20"/>
      <c r="J395" s="21"/>
      <c r="K395" s="42"/>
      <c r="L395" s="23"/>
      <c r="M395" s="23"/>
      <c r="N395" s="23"/>
      <c r="O395" s="23"/>
      <c r="Q395" s="78">
        <v>78</v>
      </c>
      <c r="R395" s="62">
        <f>C393+S395</f>
        <v>60</v>
      </c>
      <c r="S395" s="20"/>
      <c r="T395" s="21"/>
      <c r="U395" s="57">
        <v>60</v>
      </c>
      <c r="V395" s="23">
        <f t="shared" si="55"/>
        <v>-5</v>
      </c>
      <c r="W395" s="23">
        <f t="shared" si="56"/>
        <v>-5</v>
      </c>
      <c r="X395" s="23"/>
      <c r="Y395" s="23">
        <v>11</v>
      </c>
      <c r="AA395" s="250"/>
      <c r="AB395" s="156"/>
      <c r="AC395"/>
      <c r="AD395"/>
      <c r="AE395" s="156"/>
      <c r="AF395"/>
      <c r="AG395"/>
    </row>
    <row r="396" spans="1:36" hidden="1" outlineLevel="1">
      <c r="A396" s="96">
        <v>45492</v>
      </c>
      <c r="B396" s="17" t="s">
        <v>15</v>
      </c>
      <c r="C396" s="18">
        <f>72-12</f>
        <v>60</v>
      </c>
      <c r="D396" s="23">
        <v>66</v>
      </c>
      <c r="E396" s="23">
        <f t="shared" si="50"/>
        <v>-19</v>
      </c>
      <c r="G396" s="19"/>
      <c r="H396" s="62"/>
      <c r="I396" s="20"/>
      <c r="J396" s="21"/>
      <c r="K396" s="42"/>
      <c r="L396" s="23"/>
      <c r="M396" s="23"/>
      <c r="N396" s="23"/>
      <c r="O396" s="23"/>
      <c r="Q396" s="78">
        <v>48</v>
      </c>
      <c r="R396" s="62">
        <f>C394+S396</f>
        <v>60</v>
      </c>
      <c r="S396" s="20"/>
      <c r="T396" s="21"/>
      <c r="U396" s="57">
        <v>60</v>
      </c>
      <c r="V396" s="23">
        <f t="shared" si="55"/>
        <v>7</v>
      </c>
      <c r="W396" s="23">
        <f t="shared" si="56"/>
        <v>7</v>
      </c>
      <c r="X396" s="23"/>
      <c r="Y396" s="23">
        <v>13</v>
      </c>
      <c r="Z396" s="1">
        <f>AVERAGE(Q393:Q396)</f>
        <v>48.75</v>
      </c>
      <c r="AA396" s="250"/>
      <c r="AB396" s="156"/>
      <c r="AC396"/>
      <c r="AD396"/>
      <c r="AE396" s="156"/>
      <c r="AF396"/>
      <c r="AG396"/>
    </row>
    <row r="397" spans="1:36" s="12" customFormat="1" hidden="1" outlineLevel="1" collapsed="1">
      <c r="A397" s="95">
        <v>45493</v>
      </c>
      <c r="B397" s="25" t="s">
        <v>16</v>
      </c>
      <c r="C397" s="26"/>
      <c r="D397" s="29"/>
      <c r="E397" s="29">
        <f t="shared" si="50"/>
        <v>-19</v>
      </c>
      <c r="G397" s="64"/>
      <c r="H397" s="63"/>
      <c r="I397" s="27"/>
      <c r="J397" s="28"/>
      <c r="K397" s="43"/>
      <c r="L397" s="29"/>
      <c r="M397" s="29"/>
      <c r="N397" s="29"/>
      <c r="O397" s="29"/>
      <c r="Q397" s="64"/>
      <c r="R397" s="63"/>
      <c r="S397" s="27"/>
      <c r="T397" s="28"/>
      <c r="U397" s="43"/>
      <c r="V397" s="29">
        <f t="shared" si="55"/>
        <v>7</v>
      </c>
      <c r="W397" s="29">
        <f t="shared" si="56"/>
        <v>7</v>
      </c>
      <c r="X397" s="29"/>
      <c r="Y397" s="29"/>
      <c r="AA397"/>
      <c r="AB397" s="156"/>
      <c r="AC397"/>
      <c r="AD397"/>
      <c r="AE397" s="156"/>
      <c r="AF397"/>
      <c r="AG397"/>
      <c r="AH397"/>
      <c r="AI397"/>
      <c r="AJ397"/>
    </row>
    <row r="398" spans="1:36" s="12" customFormat="1" hidden="1" outlineLevel="1">
      <c r="A398" s="95">
        <v>45494</v>
      </c>
      <c r="B398" s="25" t="s">
        <v>17</v>
      </c>
      <c r="C398" s="26"/>
      <c r="D398" s="29"/>
      <c r="E398" s="29">
        <f t="shared" si="50"/>
        <v>-19</v>
      </c>
      <c r="G398" s="64"/>
      <c r="H398" s="63"/>
      <c r="I398" s="27"/>
      <c r="J398" s="28"/>
      <c r="K398" s="43"/>
      <c r="L398" s="29"/>
      <c r="M398" s="29"/>
      <c r="N398" s="29"/>
      <c r="O398" s="29"/>
      <c r="Q398" s="64"/>
      <c r="R398" s="63"/>
      <c r="S398" s="27"/>
      <c r="T398" s="28"/>
      <c r="U398" s="43"/>
      <c r="V398" s="29">
        <f t="shared" si="55"/>
        <v>7</v>
      </c>
      <c r="W398" s="29">
        <f t="shared" si="56"/>
        <v>7</v>
      </c>
      <c r="X398" s="29"/>
      <c r="Y398" s="29"/>
      <c r="AA398"/>
      <c r="AB398" s="156"/>
      <c r="AC398"/>
      <c r="AD398"/>
      <c r="AE398" s="156"/>
      <c r="AF398"/>
      <c r="AG398"/>
      <c r="AH398"/>
      <c r="AI398"/>
      <c r="AJ398"/>
    </row>
    <row r="399" spans="1:36" hidden="1" outlineLevel="1">
      <c r="A399" s="96">
        <v>45495</v>
      </c>
      <c r="B399" s="17" t="s">
        <v>18</v>
      </c>
      <c r="C399" s="18">
        <v>66</v>
      </c>
      <c r="D399" s="23">
        <v>59</v>
      </c>
      <c r="E399" s="23">
        <f t="shared" si="50"/>
        <v>-26</v>
      </c>
      <c r="G399" s="19"/>
      <c r="H399" s="62"/>
      <c r="I399" s="20"/>
      <c r="J399" s="21"/>
      <c r="K399" s="42"/>
      <c r="L399" s="23"/>
      <c r="M399" s="23"/>
      <c r="N399" s="23"/>
      <c r="O399" s="23"/>
      <c r="Q399" s="78">
        <v>78</v>
      </c>
      <c r="R399" s="62">
        <f>C395</f>
        <v>60</v>
      </c>
      <c r="S399" s="20"/>
      <c r="T399" s="21"/>
      <c r="U399" s="57">
        <v>60</v>
      </c>
      <c r="V399" s="23">
        <f t="shared" si="55"/>
        <v>-11</v>
      </c>
      <c r="W399" s="23">
        <f t="shared" si="56"/>
        <v>-11</v>
      </c>
      <c r="X399" s="23"/>
      <c r="Y399" s="23">
        <v>8</v>
      </c>
      <c r="AA399" s="250"/>
      <c r="AB399" s="156"/>
      <c r="AC399"/>
      <c r="AD399"/>
      <c r="AE399" s="156"/>
      <c r="AF399"/>
      <c r="AG399"/>
    </row>
    <row r="400" spans="1:36" hidden="1" outlineLevel="1">
      <c r="A400" s="96">
        <v>45496</v>
      </c>
      <c r="B400" s="17" t="s">
        <v>19</v>
      </c>
      <c r="C400" s="18">
        <v>66</v>
      </c>
      <c r="D400" s="23">
        <v>74</v>
      </c>
      <c r="E400" s="23">
        <f t="shared" si="50"/>
        <v>-18</v>
      </c>
      <c r="G400" s="19"/>
      <c r="H400" s="62"/>
      <c r="I400" s="20"/>
      <c r="J400" s="21"/>
      <c r="K400" s="42"/>
      <c r="L400" s="23"/>
      <c r="M400" s="23"/>
      <c r="N400" s="23"/>
      <c r="O400" s="23"/>
      <c r="Q400" s="78">
        <v>75</v>
      </c>
      <c r="R400" s="62">
        <f>C396</f>
        <v>60</v>
      </c>
      <c r="S400" s="20"/>
      <c r="T400" s="21"/>
      <c r="U400" s="57">
        <v>60</v>
      </c>
      <c r="V400" s="23">
        <f t="shared" si="55"/>
        <v>-26</v>
      </c>
      <c r="W400" s="23">
        <f t="shared" si="56"/>
        <v>-26</v>
      </c>
      <c r="X400" s="23"/>
      <c r="Y400" s="23">
        <v>11</v>
      </c>
      <c r="AA400" s="250"/>
      <c r="AB400" s="156"/>
      <c r="AC400"/>
      <c r="AD400"/>
      <c r="AE400" s="156"/>
      <c r="AF400"/>
      <c r="AG400"/>
    </row>
    <row r="401" spans="1:36" hidden="1" outlineLevel="1">
      <c r="A401" s="96">
        <v>45497</v>
      </c>
      <c r="B401" s="17" t="s">
        <v>20</v>
      </c>
      <c r="C401" s="18">
        <v>66</v>
      </c>
      <c r="D401" s="23">
        <v>66</v>
      </c>
      <c r="E401" s="23">
        <f t="shared" si="50"/>
        <v>-18</v>
      </c>
      <c r="G401" s="19"/>
      <c r="H401" s="62"/>
      <c r="I401" s="20"/>
      <c r="J401" s="21"/>
      <c r="K401" s="42"/>
      <c r="L401" s="23"/>
      <c r="M401" s="23"/>
      <c r="N401" s="23"/>
      <c r="O401" s="23"/>
      <c r="Q401" s="78">
        <v>63</v>
      </c>
      <c r="R401" s="62">
        <f>C399+S401</f>
        <v>66</v>
      </c>
      <c r="S401" s="20"/>
      <c r="T401" s="21"/>
      <c r="U401" s="57">
        <v>66</v>
      </c>
      <c r="V401" s="23">
        <f t="shared" si="55"/>
        <v>-23</v>
      </c>
      <c r="W401" s="23">
        <f t="shared" si="56"/>
        <v>-23</v>
      </c>
      <c r="X401" s="23"/>
      <c r="Y401" s="23">
        <v>12</v>
      </c>
      <c r="AA401" s="250"/>
      <c r="AB401" s="156"/>
      <c r="AC401"/>
      <c r="AD401"/>
      <c r="AE401" s="156"/>
      <c r="AF401"/>
      <c r="AG401"/>
    </row>
    <row r="402" spans="1:36" hidden="1" outlineLevel="1">
      <c r="A402" s="96">
        <v>45498</v>
      </c>
      <c r="B402" s="17" t="s">
        <v>14</v>
      </c>
      <c r="C402" s="18">
        <v>66</v>
      </c>
      <c r="D402" s="23">
        <v>66</v>
      </c>
      <c r="E402" s="23">
        <f t="shared" si="50"/>
        <v>-18</v>
      </c>
      <c r="G402" s="19"/>
      <c r="H402" s="62"/>
      <c r="I402" s="20"/>
      <c r="J402" s="21"/>
      <c r="K402" s="42"/>
      <c r="L402" s="23"/>
      <c r="M402" s="23"/>
      <c r="N402" s="23"/>
      <c r="O402" s="23"/>
      <c r="Q402" s="78">
        <v>78</v>
      </c>
      <c r="R402" s="62">
        <f>C400+S402</f>
        <v>66</v>
      </c>
      <c r="S402" s="20"/>
      <c r="T402" s="21"/>
      <c r="U402" s="57">
        <v>66</v>
      </c>
      <c r="V402" s="23">
        <f t="shared" si="55"/>
        <v>-35</v>
      </c>
      <c r="W402" s="23">
        <f t="shared" si="56"/>
        <v>-35</v>
      </c>
      <c r="X402" s="23"/>
      <c r="Y402" s="23">
        <v>11</v>
      </c>
      <c r="AA402" s="250"/>
      <c r="AB402" s="156"/>
      <c r="AC402"/>
      <c r="AD402"/>
      <c r="AE402" s="156"/>
      <c r="AF402"/>
      <c r="AG402"/>
    </row>
    <row r="403" spans="1:36" hidden="1" outlineLevel="1">
      <c r="A403" s="96">
        <v>45499</v>
      </c>
      <c r="B403" s="17" t="s">
        <v>15</v>
      </c>
      <c r="C403" s="18">
        <v>66</v>
      </c>
      <c r="D403" s="23">
        <v>66</v>
      </c>
      <c r="E403" s="23">
        <f t="shared" si="50"/>
        <v>-18</v>
      </c>
      <c r="G403" s="19"/>
      <c r="H403" s="62"/>
      <c r="I403" s="20"/>
      <c r="J403" s="21"/>
      <c r="K403" s="42"/>
      <c r="L403" s="23"/>
      <c r="M403" s="23"/>
      <c r="N403" s="23"/>
      <c r="O403" s="23"/>
      <c r="Q403" s="78">
        <v>60</v>
      </c>
      <c r="R403" s="62">
        <f>C401+S403</f>
        <v>66</v>
      </c>
      <c r="S403" s="20"/>
      <c r="T403" s="21"/>
      <c r="U403" s="57">
        <v>66</v>
      </c>
      <c r="V403" s="23">
        <f t="shared" si="55"/>
        <v>-29</v>
      </c>
      <c r="W403" s="23">
        <f t="shared" si="56"/>
        <v>-29</v>
      </c>
      <c r="X403" s="23"/>
      <c r="Y403" s="23">
        <v>11</v>
      </c>
      <c r="Z403" s="1">
        <f>AVERAGE(Q399:Q403)</f>
        <v>70.8</v>
      </c>
      <c r="AA403" s="250"/>
      <c r="AB403" s="156"/>
      <c r="AC403"/>
      <c r="AD403"/>
      <c r="AE403" s="156"/>
      <c r="AF403"/>
      <c r="AG403"/>
    </row>
    <row r="404" spans="1:36" s="12" customFormat="1" hidden="1" outlineLevel="1" collapsed="1">
      <c r="A404" s="95">
        <v>45500</v>
      </c>
      <c r="B404" s="25" t="s">
        <v>16</v>
      </c>
      <c r="C404" s="26"/>
      <c r="D404" s="29"/>
      <c r="E404" s="29">
        <f t="shared" si="50"/>
        <v>-18</v>
      </c>
      <c r="G404" s="64"/>
      <c r="H404" s="63"/>
      <c r="I404" s="27"/>
      <c r="J404" s="28"/>
      <c r="K404" s="43"/>
      <c r="L404" s="29"/>
      <c r="M404" s="29"/>
      <c r="N404" s="29"/>
      <c r="O404" s="29"/>
      <c r="Q404" s="64"/>
      <c r="R404" s="63"/>
      <c r="S404" s="27"/>
      <c r="T404" s="28"/>
      <c r="U404" s="43"/>
      <c r="V404" s="29">
        <f t="shared" si="55"/>
        <v>-29</v>
      </c>
      <c r="W404" s="29">
        <f t="shared" si="56"/>
        <v>-29</v>
      </c>
      <c r="X404" s="29"/>
      <c r="Y404" s="29"/>
      <c r="AA404"/>
      <c r="AB404" s="156"/>
      <c r="AC404"/>
      <c r="AD404"/>
      <c r="AE404" s="156"/>
      <c r="AF404"/>
      <c r="AG404"/>
      <c r="AH404"/>
      <c r="AI404"/>
      <c r="AJ404"/>
    </row>
    <row r="405" spans="1:36" s="12" customFormat="1" hidden="1" outlineLevel="1">
      <c r="A405" s="95">
        <v>45501</v>
      </c>
      <c r="B405" s="25" t="s">
        <v>17</v>
      </c>
      <c r="C405" s="26"/>
      <c r="D405" s="29"/>
      <c r="E405" s="29">
        <f t="shared" si="50"/>
        <v>-18</v>
      </c>
      <c r="G405" s="64"/>
      <c r="H405" s="63"/>
      <c r="I405" s="27"/>
      <c r="J405" s="28"/>
      <c r="K405" s="43"/>
      <c r="L405" s="29"/>
      <c r="M405" s="29"/>
      <c r="N405" s="29"/>
      <c r="O405" s="29"/>
      <c r="Q405" s="64"/>
      <c r="R405" s="63"/>
      <c r="S405" s="27"/>
      <c r="T405" s="28"/>
      <c r="U405" s="43"/>
      <c r="V405" s="29">
        <f t="shared" si="55"/>
        <v>-29</v>
      </c>
      <c r="W405" s="29">
        <f t="shared" si="56"/>
        <v>-29</v>
      </c>
      <c r="X405" s="29"/>
      <c r="Y405" s="29"/>
      <c r="AA405"/>
      <c r="AB405" s="156"/>
      <c r="AC405"/>
      <c r="AD405"/>
      <c r="AE405" s="156"/>
      <c r="AF405"/>
      <c r="AG405"/>
      <c r="AH405"/>
      <c r="AI405"/>
      <c r="AJ405"/>
    </row>
    <row r="406" spans="1:36" hidden="1" outlineLevel="1">
      <c r="A406" s="96">
        <v>45502</v>
      </c>
      <c r="B406" s="17" t="s">
        <v>18</v>
      </c>
      <c r="C406" s="18">
        <v>72</v>
      </c>
      <c r="D406" s="23">
        <v>72</v>
      </c>
      <c r="E406" s="23">
        <f t="shared" si="50"/>
        <v>-18</v>
      </c>
      <c r="G406" s="19"/>
      <c r="H406" s="62"/>
      <c r="I406" s="20"/>
      <c r="J406" s="21"/>
      <c r="K406" s="42"/>
      <c r="L406" s="23"/>
      <c r="M406" s="23"/>
      <c r="N406" s="23"/>
      <c r="O406" s="23"/>
      <c r="Q406" s="78">
        <v>78</v>
      </c>
      <c r="R406" s="62">
        <f>C402</f>
        <v>66</v>
      </c>
      <c r="S406" s="20"/>
      <c r="T406" s="21"/>
      <c r="U406" s="57">
        <v>66</v>
      </c>
      <c r="V406" s="23">
        <f t="shared" si="55"/>
        <v>-41</v>
      </c>
      <c r="W406" s="23">
        <f t="shared" si="56"/>
        <v>-41</v>
      </c>
      <c r="X406" s="23"/>
      <c r="Y406" s="23">
        <v>10</v>
      </c>
      <c r="AA406" s="250"/>
      <c r="AB406" s="156"/>
      <c r="AC406"/>
      <c r="AD406"/>
      <c r="AE406" s="156"/>
      <c r="AF406"/>
      <c r="AG406"/>
    </row>
    <row r="407" spans="1:36" hidden="1" outlineLevel="1">
      <c r="A407" s="96">
        <v>45503</v>
      </c>
      <c r="B407" s="17" t="s">
        <v>19</v>
      </c>
      <c r="C407" s="18">
        <v>72</v>
      </c>
      <c r="D407" s="23">
        <v>67</v>
      </c>
      <c r="E407" s="23">
        <f t="shared" si="50"/>
        <v>-23</v>
      </c>
      <c r="G407" s="19"/>
      <c r="H407" s="62"/>
      <c r="I407" s="20"/>
      <c r="J407" s="21"/>
      <c r="K407" s="42"/>
      <c r="L407" s="23"/>
      <c r="M407" s="23"/>
      <c r="N407" s="23"/>
      <c r="O407" s="23"/>
      <c r="Q407" s="78">
        <v>81</v>
      </c>
      <c r="R407" s="62">
        <f>C403</f>
        <v>66</v>
      </c>
      <c r="S407" s="20"/>
      <c r="T407" s="21"/>
      <c r="U407" s="57">
        <v>66</v>
      </c>
      <c r="V407" s="23">
        <f t="shared" si="55"/>
        <v>-56</v>
      </c>
      <c r="W407" s="23">
        <f t="shared" si="56"/>
        <v>-56</v>
      </c>
      <c r="X407" s="23"/>
      <c r="Y407" s="23">
        <v>13</v>
      </c>
      <c r="AA407" s="250" t="s">
        <v>50</v>
      </c>
      <c r="AB407" s="156"/>
      <c r="AC407"/>
      <c r="AD407" t="s">
        <v>51</v>
      </c>
      <c r="AE407" s="156"/>
      <c r="AF407"/>
      <c r="AG407"/>
    </row>
    <row r="408" spans="1:36" hidden="1" outlineLevel="1">
      <c r="A408" s="96">
        <v>45504</v>
      </c>
      <c r="B408" s="17" t="s">
        <v>20</v>
      </c>
      <c r="C408" s="18">
        <v>72</v>
      </c>
      <c r="D408" s="23">
        <v>72</v>
      </c>
      <c r="E408" s="23">
        <f t="shared" si="50"/>
        <v>-23</v>
      </c>
      <c r="G408" s="19"/>
      <c r="H408" s="62"/>
      <c r="I408" s="20"/>
      <c r="J408" s="21"/>
      <c r="K408" s="42"/>
      <c r="L408" s="23"/>
      <c r="M408" s="23"/>
      <c r="N408" s="23"/>
      <c r="O408" s="23"/>
      <c r="Q408" s="78">
        <v>63</v>
      </c>
      <c r="R408" s="62">
        <f>C406+S408</f>
        <v>72</v>
      </c>
      <c r="S408" s="20"/>
      <c r="T408" s="21"/>
      <c r="U408" s="57">
        <v>72</v>
      </c>
      <c r="V408" s="23">
        <f t="shared" si="55"/>
        <v>-47</v>
      </c>
      <c r="W408" s="23">
        <f t="shared" si="56"/>
        <v>-47</v>
      </c>
      <c r="X408" s="23"/>
      <c r="Y408" s="23">
        <v>15</v>
      </c>
      <c r="AA408" s="250"/>
      <c r="AB408" s="156"/>
      <c r="AC408"/>
      <c r="AD408"/>
      <c r="AE408" s="156"/>
      <c r="AF408"/>
      <c r="AG408"/>
    </row>
    <row r="409" spans="1:36" hidden="1" outlineLevel="1">
      <c r="A409" s="96">
        <v>45505</v>
      </c>
      <c r="B409" s="17" t="s">
        <v>14</v>
      </c>
      <c r="C409" s="18">
        <v>72</v>
      </c>
      <c r="D409" s="23">
        <v>72</v>
      </c>
      <c r="E409" s="23">
        <f t="shared" si="50"/>
        <v>-23</v>
      </c>
      <c r="G409" s="19"/>
      <c r="H409" s="62"/>
      <c r="I409" s="20"/>
      <c r="J409" s="21"/>
      <c r="K409" s="42"/>
      <c r="L409" s="23"/>
      <c r="M409" s="23"/>
      <c r="N409" s="23"/>
      <c r="O409" s="23"/>
      <c r="Q409" s="78">
        <v>81</v>
      </c>
      <c r="R409" s="62">
        <f>C407+S409</f>
        <v>72</v>
      </c>
      <c r="S409" s="20"/>
      <c r="T409" s="21"/>
      <c r="U409" s="57">
        <v>72</v>
      </c>
      <c r="V409" s="23">
        <f t="shared" si="55"/>
        <v>-56</v>
      </c>
      <c r="W409" s="23">
        <f t="shared" si="56"/>
        <v>-56</v>
      </c>
      <c r="X409" s="23"/>
      <c r="Y409" s="23">
        <v>0</v>
      </c>
      <c r="AA409" s="250"/>
      <c r="AB409" s="156"/>
      <c r="AC409"/>
      <c r="AD409"/>
      <c r="AE409" s="156"/>
      <c r="AF409"/>
      <c r="AG409"/>
    </row>
    <row r="410" spans="1:36" hidden="1" outlineLevel="1">
      <c r="A410" s="96">
        <v>45506</v>
      </c>
      <c r="B410" s="17" t="s">
        <v>15</v>
      </c>
      <c r="C410" s="18">
        <v>72</v>
      </c>
      <c r="D410" s="23">
        <v>72</v>
      </c>
      <c r="E410" s="23">
        <f t="shared" si="50"/>
        <v>-23</v>
      </c>
      <c r="G410" s="19"/>
      <c r="H410" s="62"/>
      <c r="I410" s="20"/>
      <c r="J410" s="21"/>
      <c r="K410" s="42"/>
      <c r="L410" s="23"/>
      <c r="M410" s="23"/>
      <c r="N410" s="23"/>
      <c r="O410" s="23"/>
      <c r="Q410" s="78">
        <v>63</v>
      </c>
      <c r="R410" s="62">
        <f>C408+S410</f>
        <v>72</v>
      </c>
      <c r="S410" s="20"/>
      <c r="T410" s="21"/>
      <c r="U410" s="57">
        <v>72</v>
      </c>
      <c r="V410" s="23">
        <f t="shared" ref="V410:V440" si="59">V409-Q410+U410</f>
        <v>-47</v>
      </c>
      <c r="W410" s="23">
        <f t="shared" ref="W410:W440" si="60">W409-Q410+R410</f>
        <v>-47</v>
      </c>
      <c r="X410" s="23"/>
      <c r="Y410" s="23">
        <v>19</v>
      </c>
      <c r="Z410" s="1">
        <f>AVERAGE(Q406:Q410)</f>
        <v>73.2</v>
      </c>
      <c r="AA410" s="250" t="s">
        <v>52</v>
      </c>
      <c r="AB410" s="156"/>
      <c r="AC410"/>
      <c r="AD410"/>
      <c r="AE410" s="156"/>
      <c r="AF410"/>
      <c r="AG410"/>
    </row>
    <row r="411" spans="1:36" s="12" customFormat="1" hidden="1" outlineLevel="1" collapsed="1">
      <c r="A411" s="95">
        <v>45507</v>
      </c>
      <c r="B411" s="25" t="s">
        <v>16</v>
      </c>
      <c r="C411" s="26"/>
      <c r="D411" s="29"/>
      <c r="E411" s="29">
        <f t="shared" si="50"/>
        <v>-23</v>
      </c>
      <c r="G411" s="64"/>
      <c r="H411" s="63"/>
      <c r="I411" s="27"/>
      <c r="J411" s="28"/>
      <c r="K411" s="43"/>
      <c r="L411" s="29"/>
      <c r="M411" s="29"/>
      <c r="N411" s="29"/>
      <c r="O411" s="29"/>
      <c r="Q411" s="64"/>
      <c r="R411" s="63"/>
      <c r="S411" s="27"/>
      <c r="T411" s="28"/>
      <c r="U411" s="43"/>
      <c r="V411" s="29">
        <f t="shared" si="59"/>
        <v>-47</v>
      </c>
      <c r="W411" s="29">
        <f t="shared" si="60"/>
        <v>-47</v>
      </c>
      <c r="X411" s="29"/>
      <c r="Y411" s="29"/>
      <c r="AA411"/>
      <c r="AB411" s="156"/>
      <c r="AC411"/>
      <c r="AD411"/>
      <c r="AE411" s="156"/>
      <c r="AF411"/>
      <c r="AG411"/>
      <c r="AH411"/>
      <c r="AI411"/>
      <c r="AJ411"/>
    </row>
    <row r="412" spans="1:36" s="12" customFormat="1" hidden="1" outlineLevel="1">
      <c r="A412" s="95">
        <v>45508</v>
      </c>
      <c r="B412" s="25" t="s">
        <v>17</v>
      </c>
      <c r="C412" s="26"/>
      <c r="D412" s="29"/>
      <c r="E412" s="29">
        <f t="shared" si="50"/>
        <v>-23</v>
      </c>
      <c r="G412" s="64"/>
      <c r="H412" s="63"/>
      <c r="I412" s="27"/>
      <c r="J412" s="28"/>
      <c r="K412" s="43"/>
      <c r="L412" s="29"/>
      <c r="M412" s="29"/>
      <c r="N412" s="29"/>
      <c r="O412" s="29"/>
      <c r="Q412" s="64"/>
      <c r="R412" s="63"/>
      <c r="S412" s="27"/>
      <c r="T412" s="28"/>
      <c r="U412" s="43"/>
      <c r="V412" s="29">
        <f t="shared" si="59"/>
        <v>-47</v>
      </c>
      <c r="W412" s="29">
        <f t="shared" si="60"/>
        <v>-47</v>
      </c>
      <c r="X412" s="29"/>
      <c r="Y412" s="29"/>
      <c r="AA412"/>
      <c r="AB412" s="156"/>
      <c r="AC412"/>
      <c r="AD412"/>
      <c r="AE412" s="156"/>
      <c r="AF412"/>
      <c r="AG412"/>
      <c r="AH412"/>
      <c r="AI412"/>
      <c r="AJ412"/>
    </row>
    <row r="413" spans="1:36" hidden="1" outlineLevel="1">
      <c r="A413" s="96">
        <v>45509</v>
      </c>
      <c r="B413" s="17" t="s">
        <v>18</v>
      </c>
      <c r="C413" s="18">
        <v>72</v>
      </c>
      <c r="D413" s="23">
        <v>43</v>
      </c>
      <c r="E413" s="23">
        <f t="shared" si="50"/>
        <v>-52</v>
      </c>
      <c r="G413" s="19"/>
      <c r="H413" s="62"/>
      <c r="I413" s="20"/>
      <c r="J413" s="21"/>
      <c r="K413" s="42"/>
      <c r="L413" s="23"/>
      <c r="M413" s="23"/>
      <c r="N413" s="23"/>
      <c r="O413" s="23"/>
      <c r="Q413" s="78">
        <v>78</v>
      </c>
      <c r="R413" s="62">
        <f>C409</f>
        <v>72</v>
      </c>
      <c r="S413" s="20"/>
      <c r="T413" s="21"/>
      <c r="U413" s="57">
        <v>72</v>
      </c>
      <c r="V413" s="23">
        <f t="shared" si="59"/>
        <v>-53</v>
      </c>
      <c r="W413" s="23">
        <f t="shared" si="60"/>
        <v>-53</v>
      </c>
      <c r="X413" s="23"/>
      <c r="Y413" s="23">
        <v>9</v>
      </c>
      <c r="AA413" s="250"/>
      <c r="AB413" s="156"/>
      <c r="AC413"/>
      <c r="AD413"/>
      <c r="AE413" s="156"/>
      <c r="AF413"/>
      <c r="AG413"/>
    </row>
    <row r="414" spans="1:36" hidden="1" outlineLevel="1">
      <c r="A414" s="96">
        <v>45510</v>
      </c>
      <c r="B414" s="17" t="s">
        <v>19</v>
      </c>
      <c r="C414" s="18">
        <v>72</v>
      </c>
      <c r="D414" s="23">
        <v>77</v>
      </c>
      <c r="E414" s="23">
        <f t="shared" si="50"/>
        <v>-47</v>
      </c>
      <c r="G414" s="19"/>
      <c r="H414" s="62"/>
      <c r="I414" s="20"/>
      <c r="J414" s="21"/>
      <c r="K414" s="42"/>
      <c r="L414" s="23"/>
      <c r="M414" s="23"/>
      <c r="N414" s="23"/>
      <c r="O414" s="23"/>
      <c r="Q414" s="78">
        <v>78</v>
      </c>
      <c r="R414" s="62">
        <f>C410</f>
        <v>72</v>
      </c>
      <c r="S414" s="20"/>
      <c r="T414" s="21"/>
      <c r="U414" s="57">
        <v>72</v>
      </c>
      <c r="V414" s="23">
        <f t="shared" si="59"/>
        <v>-59</v>
      </c>
      <c r="W414" s="23">
        <f t="shared" si="60"/>
        <v>-59</v>
      </c>
      <c r="X414" s="23"/>
      <c r="Y414" s="23">
        <v>13</v>
      </c>
      <c r="AA414" s="250"/>
      <c r="AB414" s="156"/>
      <c r="AC414"/>
      <c r="AD414"/>
      <c r="AE414" s="156"/>
      <c r="AF414"/>
      <c r="AG414"/>
    </row>
    <row r="415" spans="1:36" hidden="1" outlineLevel="1">
      <c r="A415" s="96">
        <v>45511</v>
      </c>
      <c r="B415" s="17" t="s">
        <v>20</v>
      </c>
      <c r="C415" s="18">
        <v>72</v>
      </c>
      <c r="D415" s="23">
        <v>84</v>
      </c>
      <c r="E415" s="23">
        <f t="shared" si="50"/>
        <v>-35</v>
      </c>
      <c r="G415" s="19"/>
      <c r="H415" s="62"/>
      <c r="I415" s="20"/>
      <c r="J415" s="21"/>
      <c r="K415" s="42"/>
      <c r="L415" s="23"/>
      <c r="M415" s="23"/>
      <c r="N415" s="23"/>
      <c r="O415" s="23"/>
      <c r="Q415" s="78">
        <v>60</v>
      </c>
      <c r="R415" s="62">
        <f>C413+S415</f>
        <v>72</v>
      </c>
      <c r="S415" s="20"/>
      <c r="T415" s="21"/>
      <c r="U415" s="57">
        <v>72</v>
      </c>
      <c r="V415" s="23">
        <f t="shared" si="59"/>
        <v>-47</v>
      </c>
      <c r="W415" s="23">
        <f t="shared" si="60"/>
        <v>-47</v>
      </c>
      <c r="X415" s="23"/>
      <c r="Y415" s="23">
        <v>13</v>
      </c>
      <c r="AA415" s="250"/>
      <c r="AB415" s="156"/>
      <c r="AC415"/>
      <c r="AD415"/>
      <c r="AE415" s="156"/>
      <c r="AF415"/>
      <c r="AG415"/>
    </row>
    <row r="416" spans="1:36" hidden="1" outlineLevel="1">
      <c r="A416" s="96">
        <v>45512</v>
      </c>
      <c r="B416" s="17" t="s">
        <v>14</v>
      </c>
      <c r="C416" s="18">
        <v>72</v>
      </c>
      <c r="D416" s="23">
        <v>71</v>
      </c>
      <c r="E416" s="23">
        <f t="shared" si="50"/>
        <v>-36</v>
      </c>
      <c r="G416" s="19"/>
      <c r="H416" s="62"/>
      <c r="I416" s="20"/>
      <c r="J416" s="21"/>
      <c r="K416" s="42"/>
      <c r="L416" s="23"/>
      <c r="M416" s="23"/>
      <c r="N416" s="23"/>
      <c r="O416" s="23"/>
      <c r="Q416" s="78">
        <v>81</v>
      </c>
      <c r="R416" s="62">
        <f>C414+S416</f>
        <v>72</v>
      </c>
      <c r="S416" s="20"/>
      <c r="T416" s="21"/>
      <c r="U416" s="57">
        <v>72</v>
      </c>
      <c r="V416" s="23">
        <f t="shared" si="59"/>
        <v>-56</v>
      </c>
      <c r="W416" s="23">
        <f t="shared" si="60"/>
        <v>-56</v>
      </c>
      <c r="X416" s="23"/>
      <c r="Y416" s="23">
        <v>10</v>
      </c>
      <c r="AA416" s="250"/>
      <c r="AB416" s="156"/>
      <c r="AC416"/>
      <c r="AD416"/>
      <c r="AE416" s="156"/>
      <c r="AF416"/>
      <c r="AG416"/>
    </row>
    <row r="417" spans="1:36" hidden="1" outlineLevel="1">
      <c r="A417" s="96">
        <v>45513</v>
      </c>
      <c r="B417" s="17" t="s">
        <v>15</v>
      </c>
      <c r="C417" s="18">
        <v>72</v>
      </c>
      <c r="D417" s="23">
        <v>76</v>
      </c>
      <c r="E417" s="23">
        <f t="shared" ref="E417:E480" si="61">E416-C417+D417</f>
        <v>-32</v>
      </c>
      <c r="G417" s="19"/>
      <c r="H417" s="62"/>
      <c r="I417" s="20"/>
      <c r="J417" s="21"/>
      <c r="K417" s="42"/>
      <c r="L417" s="23"/>
      <c r="M417" s="23"/>
      <c r="N417" s="23"/>
      <c r="O417" s="23"/>
      <c r="Q417" s="78">
        <v>57</v>
      </c>
      <c r="R417" s="62">
        <f>C415+S417</f>
        <v>72</v>
      </c>
      <c r="S417" s="20"/>
      <c r="T417" s="21"/>
      <c r="U417" s="57">
        <v>72</v>
      </c>
      <c r="V417" s="23">
        <f t="shared" si="59"/>
        <v>-41</v>
      </c>
      <c r="W417" s="23">
        <f t="shared" si="60"/>
        <v>-41</v>
      </c>
      <c r="X417" s="23"/>
      <c r="Y417" s="23">
        <v>13</v>
      </c>
      <c r="Z417" s="1">
        <f>AVERAGE(Q413:Q417)</f>
        <v>70.8</v>
      </c>
      <c r="AA417" s="250"/>
      <c r="AB417" s="156"/>
      <c r="AC417"/>
      <c r="AD417"/>
      <c r="AE417" s="156"/>
      <c r="AF417"/>
      <c r="AG417"/>
    </row>
    <row r="418" spans="1:36" s="12" customFormat="1" hidden="1" outlineLevel="1">
      <c r="A418" s="95">
        <v>45514</v>
      </c>
      <c r="B418" s="25" t="s">
        <v>16</v>
      </c>
      <c r="C418" s="26"/>
      <c r="D418" s="29"/>
      <c r="E418" s="29">
        <f t="shared" si="61"/>
        <v>-32</v>
      </c>
      <c r="G418" s="64"/>
      <c r="H418" s="63"/>
      <c r="I418" s="27"/>
      <c r="J418" s="28"/>
      <c r="K418" s="43"/>
      <c r="L418" s="29"/>
      <c r="M418" s="29"/>
      <c r="N418" s="29"/>
      <c r="O418" s="29"/>
      <c r="Q418" s="64"/>
      <c r="R418" s="63"/>
      <c r="S418" s="27"/>
      <c r="T418" s="28"/>
      <c r="U418" s="43"/>
      <c r="V418" s="29">
        <f t="shared" si="59"/>
        <v>-41</v>
      </c>
      <c r="W418" s="29">
        <f t="shared" si="60"/>
        <v>-41</v>
      </c>
      <c r="X418" s="29"/>
      <c r="Y418" s="29"/>
      <c r="AA418"/>
      <c r="AB418" s="156"/>
      <c r="AC418"/>
      <c r="AD418"/>
      <c r="AE418" s="156"/>
      <c r="AF418"/>
      <c r="AG418"/>
      <c r="AH418"/>
      <c r="AI418"/>
      <c r="AJ418"/>
    </row>
    <row r="419" spans="1:36" s="12" customFormat="1" hidden="1" outlineLevel="1">
      <c r="A419" s="95">
        <v>45515</v>
      </c>
      <c r="B419" s="25" t="s">
        <v>17</v>
      </c>
      <c r="C419" s="26"/>
      <c r="D419" s="29"/>
      <c r="E419" s="29">
        <f t="shared" si="61"/>
        <v>-32</v>
      </c>
      <c r="G419" s="64"/>
      <c r="H419" s="63"/>
      <c r="I419" s="27"/>
      <c r="J419" s="28"/>
      <c r="K419" s="43"/>
      <c r="L419" s="29"/>
      <c r="M419" s="29"/>
      <c r="N419" s="29"/>
      <c r="O419" s="29"/>
      <c r="Q419" s="64"/>
      <c r="R419" s="63"/>
      <c r="S419" s="27"/>
      <c r="T419" s="28"/>
      <c r="U419" s="43"/>
      <c r="V419" s="29">
        <f t="shared" si="59"/>
        <v>-41</v>
      </c>
      <c r="W419" s="29">
        <f t="shared" si="60"/>
        <v>-41</v>
      </c>
      <c r="X419" s="29"/>
      <c r="Y419" s="29"/>
      <c r="AA419"/>
      <c r="AB419" s="156"/>
      <c r="AC419"/>
      <c r="AD419"/>
      <c r="AE419" s="156"/>
      <c r="AF419"/>
      <c r="AG419"/>
      <c r="AH419"/>
      <c r="AI419"/>
      <c r="AJ419"/>
    </row>
    <row r="420" spans="1:36" s="12" customFormat="1" hidden="1" outlineLevel="1">
      <c r="A420" s="95">
        <v>45516</v>
      </c>
      <c r="B420" s="25" t="s">
        <v>18</v>
      </c>
      <c r="C420" s="26"/>
      <c r="D420" s="29"/>
      <c r="E420" s="29">
        <f t="shared" si="61"/>
        <v>-32</v>
      </c>
      <c r="G420" s="64"/>
      <c r="H420" s="63"/>
      <c r="I420" s="27"/>
      <c r="J420" s="28"/>
      <c r="K420" s="43"/>
      <c r="L420" s="29"/>
      <c r="M420" s="29"/>
      <c r="N420" s="29"/>
      <c r="O420" s="29"/>
      <c r="Q420" s="64"/>
      <c r="R420" s="63"/>
      <c r="S420" s="27"/>
      <c r="T420" s="28"/>
      <c r="U420" s="43"/>
      <c r="V420" s="29">
        <f t="shared" si="59"/>
        <v>-41</v>
      </c>
      <c r="W420" s="29">
        <f t="shared" si="60"/>
        <v>-41</v>
      </c>
      <c r="X420" s="29"/>
      <c r="Y420" s="29"/>
      <c r="AA420"/>
      <c r="AB420" s="156"/>
      <c r="AC420"/>
      <c r="AD420"/>
      <c r="AE420" s="156"/>
      <c r="AF420"/>
      <c r="AG420"/>
      <c r="AH420"/>
      <c r="AI420"/>
      <c r="AJ420"/>
    </row>
    <row r="421" spans="1:36" s="12" customFormat="1" hidden="1" outlineLevel="1">
      <c r="A421" s="95">
        <v>45517</v>
      </c>
      <c r="B421" s="25" t="s">
        <v>19</v>
      </c>
      <c r="C421" s="26"/>
      <c r="D421" s="29"/>
      <c r="E421" s="29">
        <f t="shared" si="61"/>
        <v>-32</v>
      </c>
      <c r="G421" s="64"/>
      <c r="H421" s="63"/>
      <c r="I421" s="27"/>
      <c r="J421" s="28"/>
      <c r="K421" s="43"/>
      <c r="L421" s="29"/>
      <c r="M421" s="29"/>
      <c r="N421" s="29"/>
      <c r="O421" s="29"/>
      <c r="Q421" s="64"/>
      <c r="R421" s="63"/>
      <c r="S421" s="27"/>
      <c r="T421" s="28"/>
      <c r="U421" s="43"/>
      <c r="V421" s="29">
        <f t="shared" si="59"/>
        <v>-41</v>
      </c>
      <c r="W421" s="29">
        <f t="shared" si="60"/>
        <v>-41</v>
      </c>
      <c r="X421" s="29"/>
      <c r="Y421" s="29"/>
      <c r="AA421"/>
      <c r="AB421" s="156"/>
      <c r="AC421"/>
      <c r="AD421"/>
      <c r="AE421" s="156"/>
      <c r="AF421"/>
      <c r="AG421"/>
      <c r="AH421"/>
      <c r="AI421"/>
      <c r="AJ421"/>
    </row>
    <row r="422" spans="1:36" s="12" customFormat="1" hidden="1" outlineLevel="1">
      <c r="A422" s="95">
        <v>45518</v>
      </c>
      <c r="B422" s="25" t="s">
        <v>20</v>
      </c>
      <c r="C422" s="26"/>
      <c r="D422" s="29"/>
      <c r="E422" s="29">
        <f t="shared" si="61"/>
        <v>-32</v>
      </c>
      <c r="G422" s="64"/>
      <c r="H422" s="63"/>
      <c r="I422" s="27"/>
      <c r="J422" s="28"/>
      <c r="K422" s="43"/>
      <c r="L422" s="29"/>
      <c r="M422" s="29"/>
      <c r="N422" s="29"/>
      <c r="O422" s="29"/>
      <c r="Q422" s="64"/>
      <c r="R422" s="63"/>
      <c r="S422" s="27"/>
      <c r="T422" s="28"/>
      <c r="U422" s="43"/>
      <c r="V422" s="29">
        <f t="shared" si="59"/>
        <v>-41</v>
      </c>
      <c r="W422" s="29">
        <f t="shared" si="60"/>
        <v>-41</v>
      </c>
      <c r="X422" s="29"/>
      <c r="Y422" s="29"/>
      <c r="AA422"/>
      <c r="AB422" s="156"/>
      <c r="AC422"/>
      <c r="AD422"/>
      <c r="AE422" s="156"/>
      <c r="AF422"/>
      <c r="AG422"/>
      <c r="AH422"/>
      <c r="AI422"/>
      <c r="AJ422"/>
    </row>
    <row r="423" spans="1:36" s="12" customFormat="1" hidden="1" outlineLevel="1">
      <c r="A423" s="95">
        <v>45519</v>
      </c>
      <c r="B423" s="25" t="s">
        <v>14</v>
      </c>
      <c r="C423" s="26"/>
      <c r="D423" s="29"/>
      <c r="E423" s="29">
        <f t="shared" si="61"/>
        <v>-32</v>
      </c>
      <c r="G423" s="64"/>
      <c r="H423" s="63"/>
      <c r="I423" s="27"/>
      <c r="J423" s="28"/>
      <c r="K423" s="43"/>
      <c r="L423" s="29"/>
      <c r="M423" s="29"/>
      <c r="N423" s="29"/>
      <c r="O423" s="29"/>
      <c r="Q423" s="64"/>
      <c r="R423" s="63"/>
      <c r="S423" s="27"/>
      <c r="T423" s="28"/>
      <c r="U423" s="43"/>
      <c r="V423" s="29">
        <f t="shared" si="59"/>
        <v>-41</v>
      </c>
      <c r="W423" s="29">
        <f t="shared" si="60"/>
        <v>-41</v>
      </c>
      <c r="X423" s="29"/>
      <c r="Y423" s="29"/>
      <c r="AA423"/>
      <c r="AB423" s="156"/>
      <c r="AC423"/>
      <c r="AD423"/>
      <c r="AE423" s="156"/>
      <c r="AF423"/>
      <c r="AG423"/>
      <c r="AH423"/>
      <c r="AI423"/>
      <c r="AJ423"/>
    </row>
    <row r="424" spans="1:36" s="12" customFormat="1" hidden="1" outlineLevel="1">
      <c r="A424" s="95">
        <v>45520</v>
      </c>
      <c r="B424" s="25" t="s">
        <v>15</v>
      </c>
      <c r="C424" s="26"/>
      <c r="D424" s="29"/>
      <c r="E424" s="29">
        <f t="shared" si="61"/>
        <v>-32</v>
      </c>
      <c r="G424" s="64"/>
      <c r="H424" s="63"/>
      <c r="I424" s="27"/>
      <c r="J424" s="28"/>
      <c r="K424" s="43"/>
      <c r="L424" s="29"/>
      <c r="M424" s="29"/>
      <c r="N424" s="29"/>
      <c r="O424" s="29"/>
      <c r="Q424" s="64"/>
      <c r="R424" s="63"/>
      <c r="S424" s="27"/>
      <c r="T424" s="28"/>
      <c r="U424" s="43"/>
      <c r="V424" s="29">
        <f t="shared" si="59"/>
        <v>-41</v>
      </c>
      <c r="W424" s="29">
        <f t="shared" si="60"/>
        <v>-41</v>
      </c>
      <c r="X424" s="29"/>
      <c r="Y424" s="29"/>
      <c r="AA424"/>
      <c r="AB424" s="156"/>
      <c r="AC424"/>
      <c r="AD424"/>
      <c r="AE424" s="156"/>
      <c r="AF424"/>
      <c r="AG424"/>
      <c r="AH424"/>
      <c r="AI424"/>
      <c r="AJ424"/>
    </row>
    <row r="425" spans="1:36" s="12" customFormat="1" hidden="1" outlineLevel="1">
      <c r="A425" s="95">
        <v>45521</v>
      </c>
      <c r="B425" s="25" t="s">
        <v>16</v>
      </c>
      <c r="C425" s="26"/>
      <c r="D425" s="29"/>
      <c r="E425" s="29">
        <f t="shared" si="61"/>
        <v>-32</v>
      </c>
      <c r="G425" s="64"/>
      <c r="H425" s="63"/>
      <c r="I425" s="27"/>
      <c r="J425" s="28"/>
      <c r="K425" s="43"/>
      <c r="L425" s="29"/>
      <c r="M425" s="29"/>
      <c r="N425" s="29"/>
      <c r="O425" s="29"/>
      <c r="Q425" s="64"/>
      <c r="R425" s="63"/>
      <c r="S425" s="27"/>
      <c r="T425" s="28"/>
      <c r="U425" s="43"/>
      <c r="V425" s="29">
        <f t="shared" si="59"/>
        <v>-41</v>
      </c>
      <c r="W425" s="29">
        <f t="shared" si="60"/>
        <v>-41</v>
      </c>
      <c r="X425" s="29"/>
      <c r="Y425" s="29"/>
      <c r="AA425"/>
      <c r="AB425" s="156"/>
      <c r="AC425"/>
      <c r="AD425"/>
      <c r="AE425" s="156"/>
      <c r="AF425"/>
      <c r="AG425"/>
      <c r="AH425"/>
      <c r="AI425"/>
      <c r="AJ425"/>
    </row>
    <row r="426" spans="1:36" s="12" customFormat="1" hidden="1" outlineLevel="1" collapsed="1">
      <c r="A426" s="95">
        <v>45522</v>
      </c>
      <c r="B426" s="25" t="s">
        <v>17</v>
      </c>
      <c r="C426" s="26"/>
      <c r="D426" s="29"/>
      <c r="E426" s="29">
        <f t="shared" si="61"/>
        <v>-32</v>
      </c>
      <c r="G426" s="64"/>
      <c r="H426" s="63"/>
      <c r="I426" s="27"/>
      <c r="J426" s="28"/>
      <c r="K426" s="43"/>
      <c r="L426" s="29"/>
      <c r="M426" s="29"/>
      <c r="N426" s="29"/>
      <c r="O426" s="29"/>
      <c r="Q426" s="64"/>
      <c r="R426" s="63"/>
      <c r="S426" s="27"/>
      <c r="T426" s="28"/>
      <c r="U426" s="43"/>
      <c r="V426" s="29">
        <f t="shared" si="59"/>
        <v>-41</v>
      </c>
      <c r="W426" s="29">
        <f t="shared" si="60"/>
        <v>-41</v>
      </c>
      <c r="X426" s="29"/>
      <c r="Y426" s="29"/>
      <c r="AA426"/>
      <c r="AB426" s="156"/>
      <c r="AC426"/>
      <c r="AD426"/>
      <c r="AE426" s="156"/>
      <c r="AF426"/>
      <c r="AG426"/>
      <c r="AH426"/>
      <c r="AI426"/>
      <c r="AJ426"/>
    </row>
    <row r="427" spans="1:36" hidden="1" outlineLevel="1">
      <c r="A427" s="96">
        <v>45523</v>
      </c>
      <c r="B427" s="17" t="s">
        <v>18</v>
      </c>
      <c r="C427" s="18">
        <v>72</v>
      </c>
      <c r="D427" s="23">
        <v>72</v>
      </c>
      <c r="E427" s="23">
        <f t="shared" si="61"/>
        <v>-32</v>
      </c>
      <c r="G427" s="19"/>
      <c r="H427" s="62"/>
      <c r="I427" s="20"/>
      <c r="J427" s="21"/>
      <c r="K427" s="42"/>
      <c r="L427" s="23"/>
      <c r="M427" s="23"/>
      <c r="N427" s="23"/>
      <c r="O427" s="23"/>
      <c r="Q427" s="78">
        <v>81</v>
      </c>
      <c r="R427" s="62">
        <f>C416</f>
        <v>72</v>
      </c>
      <c r="S427" s="20"/>
      <c r="T427" s="21"/>
      <c r="U427" s="57">
        <v>72</v>
      </c>
      <c r="V427" s="23">
        <f t="shared" si="59"/>
        <v>-50</v>
      </c>
      <c r="W427" s="23">
        <f t="shared" si="60"/>
        <v>-50</v>
      </c>
      <c r="X427" s="23"/>
      <c r="Y427" s="23">
        <v>10</v>
      </c>
      <c r="AA427" s="250"/>
      <c r="AB427" s="156"/>
      <c r="AC427"/>
      <c r="AD427"/>
      <c r="AE427" s="156"/>
      <c r="AF427"/>
      <c r="AG427"/>
    </row>
    <row r="428" spans="1:36" hidden="1" outlineLevel="1">
      <c r="A428" s="96">
        <v>45524</v>
      </c>
      <c r="B428" s="17" t="s">
        <v>19</v>
      </c>
      <c r="C428" s="18">
        <v>72</v>
      </c>
      <c r="D428" s="23">
        <v>92</v>
      </c>
      <c r="E428" s="23">
        <f t="shared" si="61"/>
        <v>-12</v>
      </c>
      <c r="G428" s="19"/>
      <c r="H428" s="62"/>
      <c r="I428" s="20"/>
      <c r="J428" s="21"/>
      <c r="K428" s="42"/>
      <c r="L428" s="23"/>
      <c r="M428" s="23"/>
      <c r="N428" s="23"/>
      <c r="O428" s="23"/>
      <c r="Q428" s="78">
        <v>78</v>
      </c>
      <c r="R428" s="62">
        <f>C417</f>
        <v>72</v>
      </c>
      <c r="S428" s="20"/>
      <c r="T428" s="21"/>
      <c r="U428" s="57">
        <v>72</v>
      </c>
      <c r="V428" s="23">
        <f t="shared" si="59"/>
        <v>-56</v>
      </c>
      <c r="W428" s="23">
        <f t="shared" si="60"/>
        <v>-56</v>
      </c>
      <c r="X428" s="23"/>
      <c r="Y428" s="23">
        <v>13</v>
      </c>
      <c r="AA428" s="250"/>
      <c r="AB428" s="156"/>
      <c r="AC428"/>
      <c r="AD428"/>
      <c r="AE428" s="156"/>
      <c r="AF428"/>
      <c r="AG428"/>
    </row>
    <row r="429" spans="1:36" hidden="1" outlineLevel="1">
      <c r="A429" s="96">
        <v>45525</v>
      </c>
      <c r="B429" s="17" t="s">
        <v>20</v>
      </c>
      <c r="C429" s="18">
        <v>72</v>
      </c>
      <c r="D429" s="23">
        <v>73</v>
      </c>
      <c r="E429" s="23">
        <f t="shared" si="61"/>
        <v>-11</v>
      </c>
      <c r="G429" s="19"/>
      <c r="H429" s="62"/>
      <c r="I429" s="20"/>
      <c r="J429" s="21"/>
      <c r="K429" s="42"/>
      <c r="L429" s="23"/>
      <c r="M429" s="23"/>
      <c r="N429" s="23"/>
      <c r="O429" s="23"/>
      <c r="Q429" s="78">
        <v>69</v>
      </c>
      <c r="R429" s="62">
        <f>C427+S429</f>
        <v>72</v>
      </c>
      <c r="S429" s="20"/>
      <c r="T429" s="21"/>
      <c r="U429" s="57">
        <v>72</v>
      </c>
      <c r="V429" s="23">
        <f t="shared" si="59"/>
        <v>-53</v>
      </c>
      <c r="W429" s="23">
        <f t="shared" si="60"/>
        <v>-53</v>
      </c>
      <c r="X429" s="23"/>
      <c r="Y429" s="23">
        <v>13</v>
      </c>
      <c r="AA429" s="250"/>
      <c r="AB429" s="156"/>
      <c r="AC429"/>
      <c r="AD429"/>
      <c r="AE429" s="156"/>
      <c r="AF429"/>
      <c r="AG429"/>
    </row>
    <row r="430" spans="1:36" hidden="1" outlineLevel="1">
      <c r="A430" s="96">
        <v>45526</v>
      </c>
      <c r="B430" s="17" t="s">
        <v>14</v>
      </c>
      <c r="C430" s="18">
        <v>72</v>
      </c>
      <c r="D430" s="23">
        <v>72</v>
      </c>
      <c r="E430" s="23">
        <f t="shared" si="61"/>
        <v>-11</v>
      </c>
      <c r="G430" s="19"/>
      <c r="H430" s="62"/>
      <c r="I430" s="20"/>
      <c r="J430" s="21"/>
      <c r="K430" s="42"/>
      <c r="L430" s="23"/>
      <c r="M430" s="23"/>
      <c r="N430" s="23"/>
      <c r="O430" s="23"/>
      <c r="Q430" s="78">
        <v>84</v>
      </c>
      <c r="R430" s="62">
        <f>C428+S430</f>
        <v>72</v>
      </c>
      <c r="S430" s="20"/>
      <c r="T430" s="21"/>
      <c r="U430" s="57">
        <v>72</v>
      </c>
      <c r="V430" s="23">
        <f t="shared" si="59"/>
        <v>-65</v>
      </c>
      <c r="W430" s="23">
        <f t="shared" si="60"/>
        <v>-65</v>
      </c>
      <c r="X430" s="23"/>
      <c r="Y430" s="23">
        <v>12</v>
      </c>
      <c r="AA430" s="250"/>
      <c r="AB430" s="156"/>
      <c r="AC430"/>
      <c r="AD430"/>
      <c r="AE430" s="156"/>
      <c r="AF430"/>
      <c r="AG430"/>
    </row>
    <row r="431" spans="1:36" hidden="1" outlineLevel="1">
      <c r="A431" s="96">
        <v>45527</v>
      </c>
      <c r="B431" s="17" t="s">
        <v>15</v>
      </c>
      <c r="C431" s="18">
        <v>72</v>
      </c>
      <c r="D431" s="23">
        <v>72</v>
      </c>
      <c r="E431" s="23">
        <f t="shared" si="61"/>
        <v>-11</v>
      </c>
      <c r="G431" s="19"/>
      <c r="H431" s="62"/>
      <c r="I431" s="20"/>
      <c r="J431" s="21"/>
      <c r="K431" s="42"/>
      <c r="L431" s="23"/>
      <c r="M431" s="23"/>
      <c r="N431" s="23"/>
      <c r="O431" s="23"/>
      <c r="Q431" s="78">
        <v>69</v>
      </c>
      <c r="R431" s="62">
        <f>C429+S431</f>
        <v>72</v>
      </c>
      <c r="S431" s="20"/>
      <c r="T431" s="21"/>
      <c r="U431" s="57">
        <v>72</v>
      </c>
      <c r="V431" s="23">
        <f t="shared" si="59"/>
        <v>-62</v>
      </c>
      <c r="W431" s="23">
        <f t="shared" si="60"/>
        <v>-62</v>
      </c>
      <c r="X431" s="23"/>
      <c r="Y431" s="23">
        <v>14</v>
      </c>
      <c r="Z431" s="1">
        <f>AVERAGE(Q427:Q431)</f>
        <v>76.2</v>
      </c>
      <c r="AA431" s="250"/>
      <c r="AB431" s="156"/>
      <c r="AC431"/>
      <c r="AD431"/>
      <c r="AE431" s="156"/>
      <c r="AF431"/>
      <c r="AG431"/>
    </row>
    <row r="432" spans="1:36" s="12" customFormat="1" hidden="1" outlineLevel="1">
      <c r="A432" s="95">
        <v>45528</v>
      </c>
      <c r="B432" s="25" t="s">
        <v>16</v>
      </c>
      <c r="C432" s="26"/>
      <c r="D432" s="29"/>
      <c r="E432" s="29">
        <f t="shared" si="61"/>
        <v>-11</v>
      </c>
      <c r="G432" s="64"/>
      <c r="H432" s="63"/>
      <c r="I432" s="27"/>
      <c r="J432" s="28"/>
      <c r="K432" s="43"/>
      <c r="L432" s="29"/>
      <c r="M432" s="29"/>
      <c r="N432" s="29"/>
      <c r="O432" s="29"/>
      <c r="Q432" s="64"/>
      <c r="R432" s="63"/>
      <c r="S432" s="27"/>
      <c r="T432" s="28"/>
      <c r="U432" s="43"/>
      <c r="V432" s="29">
        <f t="shared" si="59"/>
        <v>-62</v>
      </c>
      <c r="W432" s="29">
        <f t="shared" si="60"/>
        <v>-62</v>
      </c>
      <c r="X432" s="29"/>
      <c r="Y432" s="29"/>
      <c r="AA432"/>
      <c r="AB432" s="156"/>
      <c r="AC432"/>
      <c r="AD432"/>
      <c r="AE432" s="156"/>
      <c r="AF432"/>
      <c r="AG432"/>
      <c r="AH432"/>
      <c r="AI432"/>
      <c r="AJ432"/>
    </row>
    <row r="433" spans="1:36" s="12" customFormat="1" hidden="1" outlineLevel="1">
      <c r="A433" s="95">
        <v>45529</v>
      </c>
      <c r="B433" s="25" t="s">
        <v>17</v>
      </c>
      <c r="C433" s="26"/>
      <c r="D433" s="29"/>
      <c r="E433" s="29">
        <f t="shared" si="61"/>
        <v>-11</v>
      </c>
      <c r="G433" s="64"/>
      <c r="H433" s="63"/>
      <c r="I433" s="27"/>
      <c r="J433" s="28"/>
      <c r="K433" s="43"/>
      <c r="L433" s="29"/>
      <c r="M433" s="29"/>
      <c r="N433" s="29"/>
      <c r="O433" s="29"/>
      <c r="Q433" s="64"/>
      <c r="R433" s="63"/>
      <c r="S433" s="27"/>
      <c r="T433" s="28"/>
      <c r="U433" s="43"/>
      <c r="V433" s="29">
        <f t="shared" si="59"/>
        <v>-62</v>
      </c>
      <c r="W433" s="29">
        <f t="shared" si="60"/>
        <v>-62</v>
      </c>
      <c r="X433" s="29"/>
      <c r="Y433" s="29"/>
      <c r="AA433"/>
      <c r="AB433" s="156"/>
      <c r="AC433"/>
      <c r="AD433"/>
      <c r="AE433" s="156"/>
      <c r="AF433"/>
      <c r="AG433"/>
      <c r="AH433"/>
      <c r="AI433"/>
      <c r="AJ433"/>
    </row>
    <row r="434" spans="1:36" hidden="1" outlineLevel="1" collapsed="1">
      <c r="A434" s="96">
        <v>45530</v>
      </c>
      <c r="B434" s="17" t="s">
        <v>18</v>
      </c>
      <c r="C434" s="18">
        <v>84</v>
      </c>
      <c r="D434" s="23">
        <v>84</v>
      </c>
      <c r="E434" s="23">
        <f t="shared" si="61"/>
        <v>-11</v>
      </c>
      <c r="G434" s="19"/>
      <c r="H434" s="62"/>
      <c r="I434" s="20"/>
      <c r="J434" s="21"/>
      <c r="K434" s="42"/>
      <c r="L434" s="23"/>
      <c r="M434" s="23"/>
      <c r="N434" s="23"/>
      <c r="O434" s="23"/>
      <c r="Q434" s="78">
        <v>81</v>
      </c>
      <c r="R434" s="62">
        <f>C430</f>
        <v>72</v>
      </c>
      <c r="S434" s="20"/>
      <c r="T434" s="21"/>
      <c r="U434" s="57">
        <v>72</v>
      </c>
      <c r="V434" s="23">
        <f t="shared" si="59"/>
        <v>-71</v>
      </c>
      <c r="W434" s="23">
        <f t="shared" si="60"/>
        <v>-71</v>
      </c>
      <c r="X434" s="23"/>
      <c r="Y434" s="23">
        <v>11</v>
      </c>
      <c r="AA434" s="250"/>
      <c r="AB434" s="156"/>
      <c r="AC434"/>
      <c r="AD434"/>
      <c r="AE434" s="156"/>
      <c r="AF434"/>
      <c r="AG434"/>
    </row>
    <row r="435" spans="1:36" hidden="1" outlineLevel="1">
      <c r="A435" s="96">
        <v>45531</v>
      </c>
      <c r="B435" s="17" t="s">
        <v>32</v>
      </c>
      <c r="C435" s="18">
        <v>84</v>
      </c>
      <c r="D435" s="23">
        <v>84</v>
      </c>
      <c r="E435" s="23">
        <f t="shared" si="61"/>
        <v>-11</v>
      </c>
      <c r="G435" s="19"/>
      <c r="H435" s="62"/>
      <c r="I435" s="20"/>
      <c r="J435" s="21"/>
      <c r="K435" s="42"/>
      <c r="L435" s="23"/>
      <c r="M435" s="23"/>
      <c r="N435" s="23"/>
      <c r="O435" s="23"/>
      <c r="Q435" s="78">
        <v>84</v>
      </c>
      <c r="R435" s="62">
        <f>C431</f>
        <v>72</v>
      </c>
      <c r="S435" s="20"/>
      <c r="T435" s="21"/>
      <c r="U435" s="57">
        <v>72</v>
      </c>
      <c r="V435" s="23">
        <f t="shared" si="59"/>
        <v>-83</v>
      </c>
      <c r="W435" s="23">
        <f t="shared" si="60"/>
        <v>-83</v>
      </c>
      <c r="X435" s="23"/>
      <c r="Y435" s="23">
        <v>14</v>
      </c>
      <c r="AA435" s="250"/>
      <c r="AB435" s="156"/>
      <c r="AC435"/>
      <c r="AD435"/>
      <c r="AE435" s="156"/>
      <c r="AF435"/>
      <c r="AG435"/>
    </row>
    <row r="436" spans="1:36" hidden="1" outlineLevel="1">
      <c r="A436" s="96">
        <v>45532</v>
      </c>
      <c r="B436" s="17" t="s">
        <v>20</v>
      </c>
      <c r="C436" s="18">
        <v>84</v>
      </c>
      <c r="D436" s="23">
        <v>84</v>
      </c>
      <c r="E436" s="23">
        <f t="shared" si="61"/>
        <v>-11</v>
      </c>
      <c r="G436" s="19"/>
      <c r="H436" s="62"/>
      <c r="I436" s="20"/>
      <c r="J436" s="21"/>
      <c r="K436" s="42"/>
      <c r="L436" s="23"/>
      <c r="M436" s="23"/>
      <c r="N436" s="23"/>
      <c r="O436" s="23"/>
      <c r="Q436" s="78">
        <v>63</v>
      </c>
      <c r="R436" s="62">
        <f>C434+S436</f>
        <v>84</v>
      </c>
      <c r="S436" s="20"/>
      <c r="T436" s="21"/>
      <c r="U436" s="57">
        <v>84</v>
      </c>
      <c r="V436" s="23">
        <f t="shared" si="59"/>
        <v>-62</v>
      </c>
      <c r="W436" s="23">
        <f t="shared" si="60"/>
        <v>-62</v>
      </c>
      <c r="X436" s="23"/>
      <c r="Y436" s="23">
        <v>14</v>
      </c>
      <c r="AA436" s="250"/>
      <c r="AB436" s="156"/>
      <c r="AC436"/>
      <c r="AD436"/>
      <c r="AE436" s="156"/>
      <c r="AF436"/>
      <c r="AG436"/>
    </row>
    <row r="437" spans="1:36" hidden="1" outlineLevel="1">
      <c r="A437" s="96">
        <v>45533</v>
      </c>
      <c r="B437" s="17" t="s">
        <v>14</v>
      </c>
      <c r="C437" s="18">
        <v>84</v>
      </c>
      <c r="D437" s="23">
        <v>84</v>
      </c>
      <c r="E437" s="23">
        <f t="shared" si="61"/>
        <v>-11</v>
      </c>
      <c r="G437" s="19"/>
      <c r="H437" s="62"/>
      <c r="I437" s="20"/>
      <c r="J437" s="21"/>
      <c r="K437" s="42"/>
      <c r="L437" s="23"/>
      <c r="M437" s="23"/>
      <c r="N437" s="23"/>
      <c r="O437" s="23"/>
      <c r="Q437" s="78">
        <v>81</v>
      </c>
      <c r="R437" s="62">
        <f>C435+S437</f>
        <v>84</v>
      </c>
      <c r="S437" s="20"/>
      <c r="T437" s="21"/>
      <c r="U437" s="57">
        <v>84</v>
      </c>
      <c r="V437" s="23">
        <f t="shared" si="59"/>
        <v>-59</v>
      </c>
      <c r="W437" s="23">
        <f t="shared" si="60"/>
        <v>-59</v>
      </c>
      <c r="X437" s="23"/>
      <c r="Y437" s="23">
        <v>14</v>
      </c>
      <c r="AA437" s="250"/>
      <c r="AB437" s="156"/>
      <c r="AC437"/>
      <c r="AD437"/>
      <c r="AE437" s="156"/>
      <c r="AF437"/>
      <c r="AG437"/>
    </row>
    <row r="438" spans="1:36" hidden="1" outlineLevel="1">
      <c r="A438" s="96">
        <v>45534</v>
      </c>
      <c r="B438" s="17" t="s">
        <v>15</v>
      </c>
      <c r="C438" s="18">
        <v>84</v>
      </c>
      <c r="D438" s="23">
        <v>84</v>
      </c>
      <c r="E438" s="23">
        <f t="shared" si="61"/>
        <v>-11</v>
      </c>
      <c r="G438" s="19"/>
      <c r="H438" s="62"/>
      <c r="I438" s="20"/>
      <c r="J438" s="21"/>
      <c r="K438" s="42"/>
      <c r="L438" s="23"/>
      <c r="M438" s="23"/>
      <c r="N438" s="23"/>
      <c r="O438" s="23"/>
      <c r="Q438" s="78">
        <v>66</v>
      </c>
      <c r="R438" s="62">
        <f>C436+S438</f>
        <v>84</v>
      </c>
      <c r="S438" s="20"/>
      <c r="T438" s="21"/>
      <c r="U438" s="57">
        <v>84</v>
      </c>
      <c r="V438" s="23">
        <f t="shared" si="59"/>
        <v>-41</v>
      </c>
      <c r="W438" s="23">
        <f t="shared" si="60"/>
        <v>-41</v>
      </c>
      <c r="X438" s="23"/>
      <c r="Y438" s="23">
        <v>14</v>
      </c>
      <c r="Z438" s="1">
        <f>AVERAGE(Q434:Q438)</f>
        <v>75</v>
      </c>
      <c r="AA438" s="250"/>
      <c r="AB438" s="156"/>
      <c r="AC438"/>
      <c r="AD438"/>
      <c r="AE438" s="156"/>
      <c r="AF438"/>
      <c r="AG438"/>
    </row>
    <row r="439" spans="1:36" s="12" customFormat="1" hidden="1" outlineLevel="1">
      <c r="A439" s="95">
        <v>45535</v>
      </c>
      <c r="B439" s="25" t="s">
        <v>16</v>
      </c>
      <c r="C439" s="26"/>
      <c r="D439" s="29"/>
      <c r="E439" s="29">
        <f t="shared" si="61"/>
        <v>-11</v>
      </c>
      <c r="G439" s="64"/>
      <c r="H439" s="63"/>
      <c r="I439" s="27"/>
      <c r="J439" s="28"/>
      <c r="K439" s="43"/>
      <c r="L439" s="29"/>
      <c r="M439" s="29"/>
      <c r="N439" s="29"/>
      <c r="O439" s="29"/>
      <c r="Q439" s="79"/>
      <c r="R439" s="63"/>
      <c r="S439" s="27"/>
      <c r="T439" s="28"/>
      <c r="U439" s="43"/>
      <c r="V439" s="29">
        <f t="shared" si="59"/>
        <v>-41</v>
      </c>
      <c r="W439" s="29">
        <f t="shared" si="60"/>
        <v>-41</v>
      </c>
      <c r="X439" s="29"/>
      <c r="Y439" s="29"/>
      <c r="AA439" s="250"/>
      <c r="AB439" s="156"/>
      <c r="AC439"/>
      <c r="AD439"/>
      <c r="AE439" s="156"/>
      <c r="AF439"/>
      <c r="AG439"/>
      <c r="AH439"/>
      <c r="AI439"/>
      <c r="AJ439"/>
    </row>
    <row r="440" spans="1:36" s="12" customFormat="1" hidden="1" outlineLevel="1">
      <c r="A440" s="95">
        <v>45536</v>
      </c>
      <c r="B440" s="25" t="s">
        <v>17</v>
      </c>
      <c r="C440" s="26"/>
      <c r="D440" s="29"/>
      <c r="E440" s="29">
        <f t="shared" si="61"/>
        <v>-11</v>
      </c>
      <c r="G440" s="64"/>
      <c r="H440" s="63"/>
      <c r="I440" s="27"/>
      <c r="J440" s="28"/>
      <c r="K440" s="43"/>
      <c r="L440" s="29"/>
      <c r="M440" s="29"/>
      <c r="N440" s="29"/>
      <c r="O440" s="29"/>
      <c r="Q440" s="79"/>
      <c r="R440" s="63"/>
      <c r="S440" s="27"/>
      <c r="T440" s="28"/>
      <c r="U440" s="43"/>
      <c r="V440" s="29">
        <f t="shared" si="59"/>
        <v>-41</v>
      </c>
      <c r="W440" s="29">
        <f t="shared" si="60"/>
        <v>-41</v>
      </c>
      <c r="X440" s="29"/>
      <c r="Y440" s="29"/>
      <c r="AA440" s="250"/>
      <c r="AB440" s="156"/>
      <c r="AC440"/>
      <c r="AD440"/>
      <c r="AE440" s="156"/>
      <c r="AF440"/>
      <c r="AG440"/>
      <c r="AH440"/>
      <c r="AI440"/>
      <c r="AJ440"/>
    </row>
    <row r="441" spans="1:36" hidden="1" outlineLevel="1" collapsed="1">
      <c r="A441" s="96">
        <v>45537</v>
      </c>
      <c r="B441" s="17" t="s">
        <v>18</v>
      </c>
      <c r="C441" s="18">
        <v>84</v>
      </c>
      <c r="D441" s="23">
        <v>84</v>
      </c>
      <c r="E441" s="23">
        <f t="shared" si="61"/>
        <v>-11</v>
      </c>
      <c r="G441" s="19"/>
      <c r="H441" s="62"/>
      <c r="I441" s="20"/>
      <c r="J441" s="21"/>
      <c r="K441" s="42"/>
      <c r="L441" s="23"/>
      <c r="M441" s="23"/>
      <c r="N441" s="23"/>
      <c r="O441" s="23"/>
      <c r="Q441" s="78">
        <v>87</v>
      </c>
      <c r="R441" s="62">
        <f>C437</f>
        <v>84</v>
      </c>
      <c r="S441" s="20"/>
      <c r="T441" s="21"/>
      <c r="U441" s="57">
        <v>84</v>
      </c>
      <c r="V441" s="23">
        <f t="shared" ref="V441:V504" si="62">V440-Q441+U441</f>
        <v>-44</v>
      </c>
      <c r="W441" s="23">
        <f t="shared" ref="W441:W504" si="63">W440-Q441+R441</f>
        <v>-44</v>
      </c>
      <c r="X441" s="23"/>
      <c r="Y441" s="23">
        <v>11</v>
      </c>
      <c r="AA441" s="250"/>
      <c r="AB441" s="156"/>
      <c r="AC441"/>
      <c r="AD441"/>
      <c r="AE441" s="156"/>
      <c r="AF441"/>
      <c r="AG441"/>
    </row>
    <row r="442" spans="1:36" hidden="1" outlineLevel="1">
      <c r="A442" s="96">
        <v>45538</v>
      </c>
      <c r="B442" s="17" t="s">
        <v>19</v>
      </c>
      <c r="C442" s="18">
        <v>84</v>
      </c>
      <c r="D442" s="23">
        <v>84</v>
      </c>
      <c r="E442" s="23">
        <f t="shared" si="61"/>
        <v>-11</v>
      </c>
      <c r="G442" s="19"/>
      <c r="H442" s="62"/>
      <c r="I442" s="20"/>
      <c r="J442" s="21"/>
      <c r="K442" s="42"/>
      <c r="L442" s="23"/>
      <c r="M442" s="23"/>
      <c r="N442" s="23"/>
      <c r="O442" s="23"/>
      <c r="Q442" s="78">
        <v>81</v>
      </c>
      <c r="R442" s="62">
        <f>C438</f>
        <v>84</v>
      </c>
      <c r="S442" s="20"/>
      <c r="T442" s="21"/>
      <c r="U442" s="57">
        <v>84</v>
      </c>
      <c r="V442" s="23">
        <f t="shared" si="62"/>
        <v>-41</v>
      </c>
      <c r="W442" s="23">
        <f t="shared" si="63"/>
        <v>-41</v>
      </c>
      <c r="X442" s="23"/>
      <c r="Y442" s="23">
        <v>14</v>
      </c>
      <c r="AA442" s="250"/>
      <c r="AB442" s="156"/>
      <c r="AC442"/>
      <c r="AD442"/>
      <c r="AE442" s="156"/>
      <c r="AF442"/>
      <c r="AG442"/>
    </row>
    <row r="443" spans="1:36" hidden="1" outlineLevel="1">
      <c r="A443" s="96">
        <v>45539</v>
      </c>
      <c r="B443" s="17" t="s">
        <v>20</v>
      </c>
      <c r="C443" s="18">
        <v>84</v>
      </c>
      <c r="D443" s="23">
        <v>83</v>
      </c>
      <c r="E443" s="23">
        <f t="shared" si="61"/>
        <v>-12</v>
      </c>
      <c r="G443" s="19"/>
      <c r="H443" s="62"/>
      <c r="I443" s="20"/>
      <c r="J443" s="21"/>
      <c r="K443" s="42"/>
      <c r="L443" s="23"/>
      <c r="M443" s="23"/>
      <c r="N443" s="23"/>
      <c r="O443" s="23"/>
      <c r="Q443" s="78">
        <v>84</v>
      </c>
      <c r="R443" s="62">
        <f>C441+S443</f>
        <v>84</v>
      </c>
      <c r="S443" s="20"/>
      <c r="T443" s="21"/>
      <c r="U443" s="57">
        <v>84</v>
      </c>
      <c r="V443" s="23">
        <f t="shared" si="62"/>
        <v>-41</v>
      </c>
      <c r="W443" s="23">
        <f t="shared" si="63"/>
        <v>-41</v>
      </c>
      <c r="X443" s="23"/>
      <c r="Y443" s="23">
        <v>14</v>
      </c>
      <c r="AA443" s="250"/>
      <c r="AB443" s="156"/>
      <c r="AC443"/>
      <c r="AD443"/>
      <c r="AE443" s="156"/>
      <c r="AF443"/>
      <c r="AG443"/>
    </row>
    <row r="444" spans="1:36" hidden="1" outlineLevel="1">
      <c r="A444" s="96">
        <v>45540</v>
      </c>
      <c r="B444" s="17" t="s">
        <v>14</v>
      </c>
      <c r="C444" s="18">
        <v>84</v>
      </c>
      <c r="D444" s="23">
        <v>85</v>
      </c>
      <c r="E444" s="23">
        <f t="shared" si="61"/>
        <v>-11</v>
      </c>
      <c r="G444" s="19"/>
      <c r="H444" s="62"/>
      <c r="I444" s="20"/>
      <c r="J444" s="21"/>
      <c r="K444" s="42"/>
      <c r="L444" s="23"/>
      <c r="M444" s="23"/>
      <c r="N444" s="23"/>
      <c r="O444" s="23"/>
      <c r="Q444" s="78">
        <v>102</v>
      </c>
      <c r="R444" s="62">
        <f>C442+S444</f>
        <v>84</v>
      </c>
      <c r="S444" s="20"/>
      <c r="T444" s="21"/>
      <c r="U444" s="57">
        <v>84</v>
      </c>
      <c r="V444" s="23">
        <f t="shared" si="62"/>
        <v>-59</v>
      </c>
      <c r="W444" s="23">
        <f t="shared" si="63"/>
        <v>-59</v>
      </c>
      <c r="X444" s="23"/>
      <c r="Y444" s="23">
        <v>15</v>
      </c>
      <c r="AA444" s="250"/>
      <c r="AB444" s="156"/>
      <c r="AC444"/>
      <c r="AD444"/>
      <c r="AE444" s="156"/>
      <c r="AF444"/>
      <c r="AG444"/>
    </row>
    <row r="445" spans="1:36" hidden="1" outlineLevel="1">
      <c r="A445" s="96">
        <v>45541</v>
      </c>
      <c r="B445" s="17" t="s">
        <v>15</v>
      </c>
      <c r="C445" s="18">
        <v>84</v>
      </c>
      <c r="D445" s="23">
        <v>84</v>
      </c>
      <c r="E445" s="23">
        <f t="shared" si="61"/>
        <v>-11</v>
      </c>
      <c r="G445" s="19"/>
      <c r="H445" s="62"/>
      <c r="I445" s="20"/>
      <c r="J445" s="21"/>
      <c r="K445" s="42"/>
      <c r="L445" s="23"/>
      <c r="M445" s="23"/>
      <c r="N445" s="23"/>
      <c r="O445" s="23"/>
      <c r="Q445" s="78">
        <v>93</v>
      </c>
      <c r="R445" s="62">
        <f>C443+S445</f>
        <v>84</v>
      </c>
      <c r="S445" s="20"/>
      <c r="T445" s="21"/>
      <c r="U445" s="57">
        <v>84</v>
      </c>
      <c r="V445" s="23">
        <f t="shared" si="62"/>
        <v>-68</v>
      </c>
      <c r="W445" s="23">
        <f t="shared" si="63"/>
        <v>-68</v>
      </c>
      <c r="X445" s="23"/>
      <c r="Y445" s="23">
        <v>16</v>
      </c>
      <c r="Z445" s="1">
        <f>AVERAGE(Q441:Q445)</f>
        <v>89.4</v>
      </c>
      <c r="AA445" s="250"/>
      <c r="AB445" s="156"/>
      <c r="AC445"/>
      <c r="AD445"/>
      <c r="AE445" s="156"/>
      <c r="AF445"/>
      <c r="AG445"/>
    </row>
    <row r="446" spans="1:36" s="12" customFormat="1" hidden="1" outlineLevel="1">
      <c r="A446" s="95">
        <v>45542</v>
      </c>
      <c r="B446" s="25" t="s">
        <v>16</v>
      </c>
      <c r="C446" s="26"/>
      <c r="D446" s="29"/>
      <c r="E446" s="29">
        <f t="shared" si="61"/>
        <v>-11</v>
      </c>
      <c r="G446" s="64"/>
      <c r="H446" s="63"/>
      <c r="I446" s="27"/>
      <c r="J446" s="28"/>
      <c r="K446" s="43"/>
      <c r="L446" s="29"/>
      <c r="M446" s="29"/>
      <c r="N446" s="29"/>
      <c r="O446" s="29"/>
      <c r="Q446" s="64"/>
      <c r="R446" s="63"/>
      <c r="S446" s="27"/>
      <c r="T446" s="28"/>
      <c r="U446" s="43"/>
      <c r="V446" s="29">
        <f t="shared" si="62"/>
        <v>-68</v>
      </c>
      <c r="W446" s="29">
        <f t="shared" si="63"/>
        <v>-68</v>
      </c>
      <c r="X446" s="29"/>
      <c r="Y446" s="29"/>
      <c r="AA446"/>
      <c r="AB446" s="156"/>
      <c r="AC446"/>
      <c r="AD446"/>
      <c r="AE446" s="156"/>
      <c r="AF446"/>
      <c r="AG446"/>
      <c r="AH446"/>
      <c r="AI446"/>
      <c r="AJ446"/>
    </row>
    <row r="447" spans="1:36" s="12" customFormat="1" hidden="1" outlineLevel="1">
      <c r="A447" s="95">
        <v>45543</v>
      </c>
      <c r="B447" s="25" t="s">
        <v>17</v>
      </c>
      <c r="C447" s="26"/>
      <c r="D447" s="29"/>
      <c r="E447" s="29">
        <f t="shared" si="61"/>
        <v>-11</v>
      </c>
      <c r="G447" s="64"/>
      <c r="H447" s="63"/>
      <c r="I447" s="27"/>
      <c r="J447" s="28"/>
      <c r="K447" s="43"/>
      <c r="L447" s="29"/>
      <c r="M447" s="29"/>
      <c r="N447" s="29"/>
      <c r="O447" s="29"/>
      <c r="Q447" s="64"/>
      <c r="R447" s="63"/>
      <c r="S447" s="27"/>
      <c r="T447" s="28"/>
      <c r="U447" s="43"/>
      <c r="V447" s="29">
        <f t="shared" si="62"/>
        <v>-68</v>
      </c>
      <c r="W447" s="29">
        <f t="shared" si="63"/>
        <v>-68</v>
      </c>
      <c r="X447" s="29"/>
      <c r="Y447" s="29"/>
      <c r="AA447"/>
      <c r="AB447" s="156"/>
      <c r="AC447"/>
      <c r="AD447"/>
      <c r="AE447" s="156"/>
      <c r="AF447"/>
      <c r="AG447"/>
      <c r="AH447"/>
      <c r="AI447"/>
      <c r="AJ447"/>
    </row>
    <row r="448" spans="1:36" hidden="1" outlineLevel="1">
      <c r="A448" s="96">
        <v>45544</v>
      </c>
      <c r="B448" s="17" t="s">
        <v>18</v>
      </c>
      <c r="C448" s="18">
        <v>78</v>
      </c>
      <c r="D448" s="23">
        <v>78</v>
      </c>
      <c r="E448" s="23">
        <f t="shared" si="61"/>
        <v>-11</v>
      </c>
      <c r="G448" s="19"/>
      <c r="H448" s="62"/>
      <c r="I448" s="20"/>
      <c r="J448" s="21"/>
      <c r="K448" s="42"/>
      <c r="L448" s="23"/>
      <c r="M448" s="23"/>
      <c r="N448" s="23"/>
      <c r="O448" s="23"/>
      <c r="Q448" s="78">
        <v>57</v>
      </c>
      <c r="R448" s="62">
        <f>C444</f>
        <v>84</v>
      </c>
      <c r="S448" s="20"/>
      <c r="T448" s="21"/>
      <c r="U448" s="57">
        <v>84</v>
      </c>
      <c r="V448" s="23">
        <f t="shared" si="62"/>
        <v>-41</v>
      </c>
      <c r="W448" s="23">
        <f t="shared" si="63"/>
        <v>-41</v>
      </c>
      <c r="X448" s="23"/>
      <c r="Y448" s="23">
        <v>15</v>
      </c>
      <c r="AA448" s="250"/>
      <c r="AB448" s="156"/>
      <c r="AC448"/>
      <c r="AD448"/>
      <c r="AE448" s="156"/>
      <c r="AF448"/>
      <c r="AG448"/>
    </row>
    <row r="449" spans="1:36" hidden="1" outlineLevel="1">
      <c r="A449" s="96">
        <v>45545</v>
      </c>
      <c r="B449" s="17" t="s">
        <v>19</v>
      </c>
      <c r="C449" s="18">
        <f>78-6</f>
        <v>72</v>
      </c>
      <c r="D449" s="23">
        <v>72</v>
      </c>
      <c r="E449" s="23">
        <f t="shared" si="61"/>
        <v>-11</v>
      </c>
      <c r="G449" s="19"/>
      <c r="H449" s="62"/>
      <c r="I449" s="20"/>
      <c r="J449" s="21"/>
      <c r="K449" s="42"/>
      <c r="L449" s="23"/>
      <c r="M449" s="23"/>
      <c r="N449" s="23"/>
      <c r="O449" s="23"/>
      <c r="Q449" s="78">
        <v>90</v>
      </c>
      <c r="R449" s="62">
        <f>C445</f>
        <v>84</v>
      </c>
      <c r="S449" s="20"/>
      <c r="T449" s="21"/>
      <c r="U449" s="57">
        <v>84</v>
      </c>
      <c r="V449" s="23">
        <f t="shared" si="62"/>
        <v>-47</v>
      </c>
      <c r="W449" s="23">
        <f t="shared" si="63"/>
        <v>-47</v>
      </c>
      <c r="X449" s="23"/>
      <c r="Y449" s="23">
        <v>0</v>
      </c>
      <c r="AA449" s="250"/>
      <c r="AB449" s="156"/>
      <c r="AC449"/>
      <c r="AD449"/>
      <c r="AE449" s="156"/>
      <c r="AF449"/>
      <c r="AG449"/>
    </row>
    <row r="450" spans="1:36" hidden="1" outlineLevel="1">
      <c r="A450" s="96">
        <v>45546</v>
      </c>
      <c r="B450" s="17" t="s">
        <v>20</v>
      </c>
      <c r="C450" s="18">
        <v>72</v>
      </c>
      <c r="D450" s="23">
        <v>72</v>
      </c>
      <c r="E450" s="23">
        <f t="shared" si="61"/>
        <v>-11</v>
      </c>
      <c r="G450" s="19"/>
      <c r="H450" s="62"/>
      <c r="I450" s="20"/>
      <c r="J450" s="21"/>
      <c r="K450" s="42"/>
      <c r="L450" s="23"/>
      <c r="M450" s="23"/>
      <c r="N450" s="23"/>
      <c r="O450" s="23"/>
      <c r="Q450" s="78">
        <v>84</v>
      </c>
      <c r="R450" s="62">
        <f>C448+S450</f>
        <v>78</v>
      </c>
      <c r="S450" s="20"/>
      <c r="T450" s="21"/>
      <c r="U450" s="57">
        <v>78</v>
      </c>
      <c r="V450" s="23">
        <f t="shared" si="62"/>
        <v>-53</v>
      </c>
      <c r="W450" s="23">
        <f t="shared" si="63"/>
        <v>-53</v>
      </c>
      <c r="X450" s="23"/>
      <c r="Y450" s="23">
        <v>19</v>
      </c>
      <c r="AA450" s="250"/>
      <c r="AB450" s="156"/>
      <c r="AC450"/>
      <c r="AD450"/>
      <c r="AE450" s="156"/>
      <c r="AF450"/>
      <c r="AG450"/>
    </row>
    <row r="451" spans="1:36" hidden="1" outlineLevel="1">
      <c r="A451" s="96">
        <v>45547</v>
      </c>
      <c r="B451" s="17" t="s">
        <v>14</v>
      </c>
      <c r="C451" s="18">
        <v>72</v>
      </c>
      <c r="D451" s="23">
        <v>78</v>
      </c>
      <c r="E451" s="23">
        <f t="shared" si="61"/>
        <v>-5</v>
      </c>
      <c r="G451" s="19"/>
      <c r="H451" s="62"/>
      <c r="I451" s="20"/>
      <c r="J451" s="21"/>
      <c r="K451" s="42"/>
      <c r="L451" s="23"/>
      <c r="M451" s="23"/>
      <c r="N451" s="23"/>
      <c r="O451" s="23"/>
      <c r="Q451" s="78">
        <v>66</v>
      </c>
      <c r="R451" s="62">
        <f>C449+S451</f>
        <v>72</v>
      </c>
      <c r="S451" s="20"/>
      <c r="T451" s="21"/>
      <c r="U451" s="57">
        <v>72</v>
      </c>
      <c r="V451" s="23">
        <f t="shared" si="62"/>
        <v>-47</v>
      </c>
      <c r="W451" s="23">
        <f t="shared" si="63"/>
        <v>-47</v>
      </c>
      <c r="X451" s="23"/>
      <c r="Y451" s="23">
        <v>20</v>
      </c>
      <c r="AA451" s="250"/>
      <c r="AB451" s="156"/>
      <c r="AC451"/>
      <c r="AD451"/>
      <c r="AE451" s="156"/>
      <c r="AF451"/>
      <c r="AG451"/>
    </row>
    <row r="452" spans="1:36" hidden="1" outlineLevel="1">
      <c r="A452" s="96">
        <v>45548</v>
      </c>
      <c r="B452" s="17" t="s">
        <v>15</v>
      </c>
      <c r="C452" s="18">
        <v>72</v>
      </c>
      <c r="D452" s="23">
        <v>66</v>
      </c>
      <c r="E452" s="23">
        <f t="shared" si="61"/>
        <v>-11</v>
      </c>
      <c r="G452" s="19"/>
      <c r="H452" s="62"/>
      <c r="I452" s="20"/>
      <c r="J452" s="21"/>
      <c r="K452" s="42"/>
      <c r="L452" s="23"/>
      <c r="M452" s="23"/>
      <c r="N452" s="23"/>
      <c r="O452" s="23"/>
      <c r="Q452" s="78">
        <v>81</v>
      </c>
      <c r="R452" s="62">
        <f>C450+S452</f>
        <v>72</v>
      </c>
      <c r="S452" s="20"/>
      <c r="T452" s="21"/>
      <c r="U452" s="57">
        <v>72</v>
      </c>
      <c r="V452" s="23">
        <f t="shared" si="62"/>
        <v>-56</v>
      </c>
      <c r="W452" s="23">
        <f t="shared" si="63"/>
        <v>-56</v>
      </c>
      <c r="X452" s="23"/>
      <c r="Y452" s="23">
        <v>11</v>
      </c>
      <c r="Z452" s="1">
        <f>AVERAGE(Q448:Q452)</f>
        <v>75.599999999999994</v>
      </c>
      <c r="AA452" s="250"/>
      <c r="AB452" s="156"/>
      <c r="AC452"/>
      <c r="AD452"/>
      <c r="AE452" s="156"/>
      <c r="AF452"/>
      <c r="AG452"/>
    </row>
    <row r="453" spans="1:36" s="12" customFormat="1" hidden="1" outlineLevel="1">
      <c r="A453" s="95">
        <v>45549</v>
      </c>
      <c r="B453" s="25" t="s">
        <v>16</v>
      </c>
      <c r="C453" s="26"/>
      <c r="D453" s="29"/>
      <c r="E453" s="29">
        <f t="shared" si="61"/>
        <v>-11</v>
      </c>
      <c r="G453" s="64"/>
      <c r="H453" s="63"/>
      <c r="I453" s="27"/>
      <c r="J453" s="28"/>
      <c r="K453" s="43"/>
      <c r="L453" s="29"/>
      <c r="M453" s="29"/>
      <c r="N453" s="29"/>
      <c r="O453" s="29"/>
      <c r="Q453" s="64"/>
      <c r="R453" s="63"/>
      <c r="S453" s="27"/>
      <c r="T453" s="28"/>
      <c r="U453" s="43"/>
      <c r="V453" s="29">
        <f t="shared" si="62"/>
        <v>-56</v>
      </c>
      <c r="W453" s="29">
        <f t="shared" si="63"/>
        <v>-56</v>
      </c>
      <c r="X453" s="29"/>
      <c r="Y453" s="29"/>
      <c r="AA453"/>
      <c r="AB453" s="156"/>
      <c r="AC453"/>
      <c r="AD453"/>
      <c r="AE453" s="156"/>
      <c r="AF453"/>
      <c r="AG453"/>
      <c r="AH453"/>
      <c r="AI453"/>
      <c r="AJ453"/>
    </row>
    <row r="454" spans="1:36" s="12" customFormat="1" hidden="1" outlineLevel="1">
      <c r="A454" s="95">
        <v>45550</v>
      </c>
      <c r="B454" s="25" t="s">
        <v>17</v>
      </c>
      <c r="C454" s="26"/>
      <c r="D454" s="29"/>
      <c r="E454" s="29">
        <f t="shared" si="61"/>
        <v>-11</v>
      </c>
      <c r="G454" s="64"/>
      <c r="H454" s="63"/>
      <c r="I454" s="27"/>
      <c r="J454" s="28"/>
      <c r="K454" s="43"/>
      <c r="L454" s="29"/>
      <c r="M454" s="29"/>
      <c r="N454" s="29"/>
      <c r="O454" s="29"/>
      <c r="Q454" s="64"/>
      <c r="R454" s="63"/>
      <c r="S454" s="27"/>
      <c r="T454" s="28"/>
      <c r="U454" s="43"/>
      <c r="V454" s="29">
        <f t="shared" si="62"/>
        <v>-56</v>
      </c>
      <c r="W454" s="29">
        <f t="shared" si="63"/>
        <v>-56</v>
      </c>
      <c r="X454" s="29"/>
      <c r="Y454" s="29"/>
      <c r="AA454"/>
      <c r="AB454" s="156"/>
      <c r="AC454"/>
      <c r="AD454"/>
      <c r="AE454" s="156"/>
      <c r="AF454"/>
      <c r="AG454"/>
      <c r="AH454"/>
      <c r="AI454"/>
      <c r="AJ454"/>
    </row>
    <row r="455" spans="1:36" s="12" customFormat="1" hidden="1" outlineLevel="1" collapsed="1">
      <c r="A455" s="95">
        <v>45551</v>
      </c>
      <c r="B455" s="25" t="s">
        <v>18</v>
      </c>
      <c r="C455" s="26"/>
      <c r="D455" s="29"/>
      <c r="E455" s="29">
        <f t="shared" si="61"/>
        <v>-11</v>
      </c>
      <c r="G455" s="64"/>
      <c r="H455" s="63"/>
      <c r="I455" s="27"/>
      <c r="J455" s="28"/>
      <c r="K455" s="43"/>
      <c r="L455" s="29"/>
      <c r="M455" s="29"/>
      <c r="N455" s="29"/>
      <c r="O455" s="29"/>
      <c r="Q455" s="64"/>
      <c r="R455" s="63"/>
      <c r="S455" s="27"/>
      <c r="T455" s="28"/>
      <c r="U455" s="43"/>
      <c r="V455" s="29">
        <f t="shared" si="62"/>
        <v>-56</v>
      </c>
      <c r="W455" s="29">
        <f t="shared" si="63"/>
        <v>-56</v>
      </c>
      <c r="X455" s="29"/>
      <c r="Y455" s="29"/>
      <c r="AA455"/>
      <c r="AB455" s="156"/>
      <c r="AC455"/>
      <c r="AD455"/>
      <c r="AE455" s="156"/>
      <c r="AF455"/>
      <c r="AG455"/>
      <c r="AH455"/>
      <c r="AI455"/>
      <c r="AJ455"/>
    </row>
    <row r="456" spans="1:36" hidden="1" outlineLevel="1">
      <c r="A456" s="96">
        <v>45552</v>
      </c>
      <c r="B456" s="17" t="s">
        <v>19</v>
      </c>
      <c r="C456" s="18">
        <f>72-30</f>
        <v>42</v>
      </c>
      <c r="D456" s="23">
        <v>58</v>
      </c>
      <c r="E456" s="23">
        <f t="shared" si="61"/>
        <v>5</v>
      </c>
      <c r="G456" s="19"/>
      <c r="H456" s="62"/>
      <c r="I456" s="20"/>
      <c r="J456" s="21"/>
      <c r="K456" s="42"/>
      <c r="L456" s="23"/>
      <c r="M456" s="23"/>
      <c r="N456" s="23"/>
      <c r="O456" s="23"/>
      <c r="Q456" s="78">
        <v>63</v>
      </c>
      <c r="R456" s="62">
        <f>C451</f>
        <v>72</v>
      </c>
      <c r="S456" s="20"/>
      <c r="T456" s="21"/>
      <c r="U456" s="57">
        <v>72</v>
      </c>
      <c r="V456" s="23">
        <f t="shared" si="62"/>
        <v>-47</v>
      </c>
      <c r="W456" s="23">
        <f t="shared" si="63"/>
        <v>-47</v>
      </c>
      <c r="X456" s="23"/>
      <c r="Y456" s="23">
        <v>11</v>
      </c>
      <c r="AA456" s="250"/>
      <c r="AB456" s="156"/>
      <c r="AC456"/>
      <c r="AD456"/>
      <c r="AE456" s="156"/>
      <c r="AF456"/>
      <c r="AG456"/>
    </row>
    <row r="457" spans="1:36" hidden="1" outlineLevel="1">
      <c r="A457" s="96">
        <v>45553</v>
      </c>
      <c r="B457" s="17" t="s">
        <v>20</v>
      </c>
      <c r="C457" s="18">
        <f>72-30</f>
        <v>42</v>
      </c>
      <c r="D457" s="23">
        <v>69</v>
      </c>
      <c r="E457" s="23">
        <f t="shared" si="61"/>
        <v>32</v>
      </c>
      <c r="G457" s="19"/>
      <c r="H457" s="62"/>
      <c r="I457" s="20"/>
      <c r="J457" s="21"/>
      <c r="K457" s="42"/>
      <c r="L457" s="23"/>
      <c r="M457" s="23"/>
      <c r="N457" s="23"/>
      <c r="O457" s="23"/>
      <c r="Q457" s="78">
        <v>66</v>
      </c>
      <c r="R457" s="62">
        <f>C452</f>
        <v>72</v>
      </c>
      <c r="S457" s="20"/>
      <c r="T457" s="21"/>
      <c r="U457" s="57">
        <v>72</v>
      </c>
      <c r="V457" s="23">
        <f t="shared" si="62"/>
        <v>-41</v>
      </c>
      <c r="W457" s="23">
        <f t="shared" si="63"/>
        <v>-41</v>
      </c>
      <c r="X457" s="23"/>
      <c r="Y457" s="23">
        <v>11</v>
      </c>
      <c r="AA457" s="250"/>
      <c r="AB457" s="156"/>
      <c r="AC457"/>
      <c r="AD457"/>
      <c r="AE457" s="156"/>
      <c r="AF457"/>
      <c r="AG457"/>
    </row>
    <row r="458" spans="1:36" hidden="1" outlineLevel="1">
      <c r="A458" s="96">
        <v>45554</v>
      </c>
      <c r="B458" s="17" t="s">
        <v>14</v>
      </c>
      <c r="C458" s="18">
        <f>72-24</f>
        <v>48</v>
      </c>
      <c r="D458" s="23">
        <v>62</v>
      </c>
      <c r="E458" s="23">
        <f t="shared" si="61"/>
        <v>46</v>
      </c>
      <c r="G458" s="19"/>
      <c r="H458" s="62"/>
      <c r="I458" s="20"/>
      <c r="J458" s="21"/>
      <c r="K458" s="42"/>
      <c r="L458" s="23"/>
      <c r="M458" s="23"/>
      <c r="N458" s="23"/>
      <c r="O458" s="23"/>
      <c r="Q458" s="78">
        <v>0</v>
      </c>
      <c r="R458" s="62">
        <f>C456+S458</f>
        <v>72</v>
      </c>
      <c r="S458" s="20">
        <v>30</v>
      </c>
      <c r="T458" s="21"/>
      <c r="U458" s="268">
        <v>72</v>
      </c>
      <c r="V458" s="23">
        <f t="shared" si="62"/>
        <v>31</v>
      </c>
      <c r="W458" s="23">
        <f t="shared" si="63"/>
        <v>31</v>
      </c>
      <c r="X458" s="23"/>
      <c r="Y458" s="23">
        <v>11</v>
      </c>
      <c r="AA458" s="250"/>
      <c r="AB458" s="156">
        <v>-6</v>
      </c>
      <c r="AC458">
        <v>72</v>
      </c>
      <c r="AD458"/>
      <c r="AE458" s="156"/>
      <c r="AF458"/>
      <c r="AG458"/>
    </row>
    <row r="459" spans="1:36" hidden="1" outlineLevel="1">
      <c r="A459" s="96">
        <v>45555</v>
      </c>
      <c r="B459" s="17" t="s">
        <v>15</v>
      </c>
      <c r="C459" s="18">
        <f>72-24</f>
        <v>48</v>
      </c>
      <c r="D459" s="23">
        <v>66</v>
      </c>
      <c r="E459" s="23">
        <f t="shared" si="61"/>
        <v>64</v>
      </c>
      <c r="G459" s="19"/>
      <c r="H459" s="62"/>
      <c r="I459" s="20"/>
      <c r="J459" s="21"/>
      <c r="K459" s="42"/>
      <c r="L459" s="23"/>
      <c r="M459" s="23"/>
      <c r="N459" s="23"/>
      <c r="O459" s="23"/>
      <c r="Q459" s="78">
        <v>51</v>
      </c>
      <c r="R459" s="62">
        <f>C457+S459</f>
        <v>48</v>
      </c>
      <c r="S459" s="20">
        <v>6</v>
      </c>
      <c r="T459" s="21"/>
      <c r="U459" s="57">
        <v>48</v>
      </c>
      <c r="V459" s="23">
        <f t="shared" si="62"/>
        <v>28</v>
      </c>
      <c r="W459" s="23">
        <f t="shared" si="63"/>
        <v>28</v>
      </c>
      <c r="X459" s="23"/>
      <c r="Y459" s="23">
        <v>8</v>
      </c>
      <c r="Z459" s="1">
        <f>AVERAGE(Q456:Q459)</f>
        <v>45</v>
      </c>
      <c r="AA459" s="250"/>
      <c r="AB459" s="156"/>
      <c r="AC459"/>
      <c r="AD459"/>
      <c r="AE459" s="156"/>
      <c r="AF459"/>
      <c r="AG459"/>
    </row>
    <row r="460" spans="1:36" s="12" customFormat="1" hidden="1" outlineLevel="1">
      <c r="A460" s="95">
        <v>45556</v>
      </c>
      <c r="B460" s="25" t="s">
        <v>16</v>
      </c>
      <c r="C460" s="26"/>
      <c r="D460" s="29"/>
      <c r="E460" s="29">
        <f t="shared" si="61"/>
        <v>64</v>
      </c>
      <c r="G460" s="64"/>
      <c r="H460" s="63"/>
      <c r="I460" s="27"/>
      <c r="J460" s="28"/>
      <c r="K460" s="43"/>
      <c r="L460" s="29"/>
      <c r="M460" s="29"/>
      <c r="N460" s="29"/>
      <c r="O460" s="29"/>
      <c r="Q460" s="64"/>
      <c r="R460" s="63"/>
      <c r="S460" s="27"/>
      <c r="T460" s="28"/>
      <c r="U460" s="43"/>
      <c r="V460" s="29">
        <f t="shared" si="62"/>
        <v>28</v>
      </c>
      <c r="W460" s="29">
        <f t="shared" si="63"/>
        <v>28</v>
      </c>
      <c r="X460" s="29"/>
      <c r="Y460" s="29"/>
      <c r="AA460"/>
      <c r="AB460" s="156"/>
      <c r="AC460"/>
      <c r="AD460"/>
      <c r="AE460" s="156"/>
      <c r="AF460"/>
      <c r="AG460"/>
      <c r="AH460"/>
      <c r="AI460"/>
      <c r="AJ460"/>
    </row>
    <row r="461" spans="1:36" s="12" customFormat="1" hidden="1" outlineLevel="1">
      <c r="A461" s="95">
        <v>45557</v>
      </c>
      <c r="B461" s="25" t="s">
        <v>17</v>
      </c>
      <c r="C461" s="26"/>
      <c r="D461" s="29"/>
      <c r="E461" s="29">
        <f t="shared" si="61"/>
        <v>64</v>
      </c>
      <c r="G461" s="64"/>
      <c r="H461" s="63"/>
      <c r="I461" s="27"/>
      <c r="J461" s="28"/>
      <c r="K461" s="43"/>
      <c r="L461" s="29"/>
      <c r="M461" s="29"/>
      <c r="N461" s="29"/>
      <c r="O461" s="29"/>
      <c r="Q461" s="64"/>
      <c r="R461" s="63"/>
      <c r="S461" s="27"/>
      <c r="T461" s="28"/>
      <c r="U461" s="43"/>
      <c r="V461" s="29">
        <f t="shared" si="62"/>
        <v>28</v>
      </c>
      <c r="W461" s="29">
        <f t="shared" si="63"/>
        <v>28</v>
      </c>
      <c r="X461" s="29"/>
      <c r="Y461" s="29"/>
      <c r="AA461"/>
      <c r="AB461" s="156"/>
      <c r="AC461"/>
      <c r="AD461"/>
      <c r="AE461" s="156"/>
      <c r="AF461"/>
      <c r="AG461"/>
      <c r="AH461"/>
      <c r="AI461"/>
      <c r="AJ461"/>
    </row>
    <row r="462" spans="1:36" hidden="1" outlineLevel="1" collapsed="1">
      <c r="A462" s="96">
        <v>45558</v>
      </c>
      <c r="B462" s="17" t="s">
        <v>18</v>
      </c>
      <c r="C462" s="18">
        <v>78</v>
      </c>
      <c r="D462" s="23">
        <v>66</v>
      </c>
      <c r="E462" s="23">
        <f t="shared" si="61"/>
        <v>52</v>
      </c>
      <c r="G462" s="19"/>
      <c r="H462" s="62"/>
      <c r="I462" s="20"/>
      <c r="J462" s="21"/>
      <c r="K462" s="42"/>
      <c r="L462" s="23"/>
      <c r="M462" s="23"/>
      <c r="N462" s="23"/>
      <c r="O462" s="23"/>
      <c r="Q462" s="78">
        <v>81</v>
      </c>
      <c r="R462" s="62">
        <f>C458</f>
        <v>48</v>
      </c>
      <c r="S462" s="20"/>
      <c r="T462" s="21"/>
      <c r="U462" s="57">
        <v>48</v>
      </c>
      <c r="V462" s="23">
        <f t="shared" si="62"/>
        <v>-5</v>
      </c>
      <c r="W462" s="23">
        <f t="shared" si="63"/>
        <v>-5</v>
      </c>
      <c r="X462" s="23"/>
      <c r="Y462" s="23">
        <v>14</v>
      </c>
      <c r="AA462" s="250"/>
      <c r="AB462" s="156"/>
      <c r="AC462"/>
      <c r="AD462"/>
      <c r="AE462" s="156"/>
      <c r="AF462"/>
      <c r="AG462"/>
    </row>
    <row r="463" spans="1:36" hidden="1" outlineLevel="1">
      <c r="A463" s="96">
        <v>45559</v>
      </c>
      <c r="B463" s="17" t="s">
        <v>19</v>
      </c>
      <c r="C463" s="18">
        <v>78</v>
      </c>
      <c r="D463" s="23">
        <v>74</v>
      </c>
      <c r="E463" s="23">
        <f t="shared" si="61"/>
        <v>48</v>
      </c>
      <c r="G463" s="19"/>
      <c r="H463" s="62"/>
      <c r="I463" s="20"/>
      <c r="J463" s="21"/>
      <c r="K463" s="42"/>
      <c r="L463" s="23"/>
      <c r="M463" s="23"/>
      <c r="N463" s="23"/>
      <c r="O463" s="23"/>
      <c r="Q463" s="78">
        <v>84</v>
      </c>
      <c r="R463" s="62">
        <f>C459</f>
        <v>48</v>
      </c>
      <c r="S463" s="20"/>
      <c r="T463" s="21"/>
      <c r="U463" s="57">
        <v>48</v>
      </c>
      <c r="V463" s="23">
        <f t="shared" si="62"/>
        <v>-41</v>
      </c>
      <c r="W463" s="23">
        <f t="shared" si="63"/>
        <v>-41</v>
      </c>
      <c r="X463" s="23"/>
      <c r="Y463" s="23">
        <v>14</v>
      </c>
      <c r="AA463" s="250"/>
      <c r="AB463" s="156"/>
      <c r="AC463"/>
      <c r="AD463"/>
      <c r="AE463" s="156"/>
      <c r="AF463"/>
      <c r="AG463"/>
    </row>
    <row r="464" spans="1:36" hidden="1" outlineLevel="1">
      <c r="A464" s="96">
        <v>45560</v>
      </c>
      <c r="B464" s="17" t="s">
        <v>20</v>
      </c>
      <c r="C464" s="18">
        <v>78</v>
      </c>
      <c r="D464" s="23">
        <v>70</v>
      </c>
      <c r="E464" s="23">
        <f t="shared" si="61"/>
        <v>40</v>
      </c>
      <c r="G464" s="19"/>
      <c r="H464" s="62"/>
      <c r="I464" s="20"/>
      <c r="J464" s="21"/>
      <c r="K464" s="42"/>
      <c r="L464" s="23"/>
      <c r="M464" s="23"/>
      <c r="N464" s="23"/>
      <c r="O464" s="23"/>
      <c r="Q464" s="78">
        <v>66</v>
      </c>
      <c r="R464" s="62">
        <f>C462+S464</f>
        <v>66</v>
      </c>
      <c r="S464" s="20">
        <v>-12</v>
      </c>
      <c r="T464" s="21"/>
      <c r="U464" s="57">
        <v>66</v>
      </c>
      <c r="V464" s="23">
        <f t="shared" si="62"/>
        <v>-41</v>
      </c>
      <c r="W464" s="23">
        <f t="shared" si="63"/>
        <v>-41</v>
      </c>
      <c r="X464" s="23"/>
      <c r="Y464" s="23">
        <v>8</v>
      </c>
      <c r="AA464" s="250"/>
      <c r="AB464" s="156"/>
      <c r="AC464"/>
      <c r="AD464"/>
      <c r="AE464" s="156"/>
      <c r="AF464"/>
      <c r="AG464"/>
    </row>
    <row r="465" spans="1:36" hidden="1" outlineLevel="1">
      <c r="A465" s="96">
        <v>45561</v>
      </c>
      <c r="B465" s="17" t="s">
        <v>14</v>
      </c>
      <c r="C465" s="18">
        <v>78</v>
      </c>
      <c r="D465" s="23">
        <v>74</v>
      </c>
      <c r="E465" s="23">
        <f t="shared" si="61"/>
        <v>36</v>
      </c>
      <c r="G465" s="19"/>
      <c r="H465" s="62"/>
      <c r="I465" s="20"/>
      <c r="J465" s="21"/>
      <c r="K465" s="42"/>
      <c r="L465" s="23"/>
      <c r="M465" s="23"/>
      <c r="N465" s="23"/>
      <c r="O465" s="23"/>
      <c r="Q465" s="78">
        <v>75</v>
      </c>
      <c r="R465" s="62">
        <f>C463+S465</f>
        <v>90</v>
      </c>
      <c r="S465" s="20">
        <v>12</v>
      </c>
      <c r="T465" s="21"/>
      <c r="U465" s="57">
        <v>90</v>
      </c>
      <c r="V465" s="23">
        <f t="shared" si="62"/>
        <v>-26</v>
      </c>
      <c r="W465" s="23">
        <f t="shared" si="63"/>
        <v>-26</v>
      </c>
      <c r="X465" s="23"/>
      <c r="Y465" s="23">
        <v>11</v>
      </c>
      <c r="AA465" s="250"/>
      <c r="AB465" s="156">
        <v>12</v>
      </c>
      <c r="AC465">
        <v>90</v>
      </c>
      <c r="AD465"/>
      <c r="AE465" s="156"/>
      <c r="AF465"/>
      <c r="AG465"/>
    </row>
    <row r="466" spans="1:36" hidden="1" outlineLevel="1">
      <c r="A466" s="96">
        <v>45562</v>
      </c>
      <c r="B466" s="17" t="s">
        <v>15</v>
      </c>
      <c r="C466" s="18">
        <v>78</v>
      </c>
      <c r="D466" s="23">
        <v>65</v>
      </c>
      <c r="E466" s="23">
        <f t="shared" si="61"/>
        <v>23</v>
      </c>
      <c r="G466" s="19"/>
      <c r="H466" s="62"/>
      <c r="I466" s="20"/>
      <c r="J466" s="21"/>
      <c r="K466" s="42"/>
      <c r="L466" s="23"/>
      <c r="M466" s="23"/>
      <c r="N466" s="23"/>
      <c r="O466" s="23"/>
      <c r="Q466" s="78">
        <v>54</v>
      </c>
      <c r="R466" s="62">
        <f>C464+S466</f>
        <v>78</v>
      </c>
      <c r="S466" s="20"/>
      <c r="T466" s="21"/>
      <c r="U466" s="57">
        <v>78</v>
      </c>
      <c r="V466" s="23">
        <f t="shared" si="62"/>
        <v>-2</v>
      </c>
      <c r="W466" s="23">
        <f t="shared" si="63"/>
        <v>-2</v>
      </c>
      <c r="X466" s="23"/>
      <c r="Y466" s="23">
        <v>18</v>
      </c>
      <c r="Z466" s="1">
        <f>AVERAGE(Q462:Q466)</f>
        <v>72</v>
      </c>
      <c r="AA466" s="250"/>
      <c r="AB466" s="156"/>
      <c r="AC466">
        <v>78</v>
      </c>
      <c r="AD466"/>
      <c r="AE466" s="156"/>
      <c r="AF466"/>
      <c r="AG466"/>
    </row>
    <row r="467" spans="1:36" s="12" customFormat="1" hidden="1" outlineLevel="1">
      <c r="A467" s="95">
        <v>45563</v>
      </c>
      <c r="B467" s="25" t="s">
        <v>16</v>
      </c>
      <c r="C467" s="26"/>
      <c r="D467" s="29"/>
      <c r="E467" s="29">
        <f t="shared" si="61"/>
        <v>23</v>
      </c>
      <c r="G467" s="64"/>
      <c r="H467" s="63"/>
      <c r="I467" s="27"/>
      <c r="J467" s="28"/>
      <c r="K467" s="43"/>
      <c r="L467" s="29"/>
      <c r="M467" s="29"/>
      <c r="N467" s="29"/>
      <c r="O467" s="29"/>
      <c r="Q467" s="64"/>
      <c r="R467" s="63"/>
      <c r="S467" s="27"/>
      <c r="T467" s="28"/>
      <c r="U467" s="43"/>
      <c r="V467" s="29">
        <f t="shared" si="62"/>
        <v>-2</v>
      </c>
      <c r="W467" s="29">
        <f t="shared" si="63"/>
        <v>-2</v>
      </c>
      <c r="X467" s="29"/>
      <c r="Y467" s="29"/>
      <c r="AA467"/>
      <c r="AB467" s="156"/>
      <c r="AC467"/>
      <c r="AD467"/>
      <c r="AE467" s="156"/>
      <c r="AF467"/>
      <c r="AG467"/>
      <c r="AH467"/>
      <c r="AI467"/>
      <c r="AJ467"/>
    </row>
    <row r="468" spans="1:36" s="12" customFormat="1" hidden="1" outlineLevel="1" collapsed="1">
      <c r="A468" s="95">
        <v>45564</v>
      </c>
      <c r="B468" s="25" t="s">
        <v>17</v>
      </c>
      <c r="C468" s="26"/>
      <c r="D468" s="29"/>
      <c r="E468" s="29">
        <f t="shared" si="61"/>
        <v>23</v>
      </c>
      <c r="G468" s="64"/>
      <c r="H468" s="63"/>
      <c r="I468" s="27"/>
      <c r="J468" s="28"/>
      <c r="K468" s="43"/>
      <c r="L468" s="29"/>
      <c r="M468" s="29"/>
      <c r="N468" s="29"/>
      <c r="O468" s="29"/>
      <c r="Q468" s="64"/>
      <c r="R468" s="63"/>
      <c r="S468" s="27"/>
      <c r="T468" s="28"/>
      <c r="U468" s="43"/>
      <c r="V468" s="29">
        <f t="shared" si="62"/>
        <v>-2</v>
      </c>
      <c r="W468" s="29">
        <f t="shared" si="63"/>
        <v>-2</v>
      </c>
      <c r="X468" s="29"/>
      <c r="Y468" s="29"/>
      <c r="AA468"/>
      <c r="AB468" s="156"/>
      <c r="AC468"/>
      <c r="AD468"/>
      <c r="AE468" s="156"/>
      <c r="AF468"/>
      <c r="AG468"/>
      <c r="AH468"/>
      <c r="AI468"/>
      <c r="AJ468"/>
    </row>
    <row r="469" spans="1:36" hidden="1" outlineLevel="1">
      <c r="A469" s="96">
        <v>45565</v>
      </c>
      <c r="B469" s="17" t="s">
        <v>18</v>
      </c>
      <c r="C469" s="18">
        <f>81-3</f>
        <v>78</v>
      </c>
      <c r="D469" s="23">
        <v>80</v>
      </c>
      <c r="E469" s="23">
        <f t="shared" si="61"/>
        <v>25</v>
      </c>
      <c r="G469" s="19"/>
      <c r="H469" s="62"/>
      <c r="I469" s="20"/>
      <c r="J469" s="21"/>
      <c r="K469" s="42"/>
      <c r="L469" s="23"/>
      <c r="M469" s="23"/>
      <c r="N469" s="23"/>
      <c r="O469" s="23"/>
      <c r="Q469" s="78">
        <v>102</v>
      </c>
      <c r="R469" s="62">
        <f>C465</f>
        <v>78</v>
      </c>
      <c r="S469" s="20"/>
      <c r="T469" s="21"/>
      <c r="U469" s="57">
        <v>78</v>
      </c>
      <c r="V469" s="23">
        <f t="shared" si="62"/>
        <v>-26</v>
      </c>
      <c r="W469" s="23">
        <f t="shared" si="63"/>
        <v>-26</v>
      </c>
      <c r="X469" s="23"/>
      <c r="Y469" s="23">
        <v>13</v>
      </c>
      <c r="AA469" s="250"/>
      <c r="AB469" s="156"/>
      <c r="AC469"/>
      <c r="AD469"/>
      <c r="AE469" s="156"/>
      <c r="AF469"/>
      <c r="AG469"/>
    </row>
    <row r="470" spans="1:36" hidden="1" outlineLevel="1">
      <c r="A470" s="96">
        <v>45566</v>
      </c>
      <c r="B470" s="17" t="s">
        <v>19</v>
      </c>
      <c r="C470" s="18">
        <f>81-3</f>
        <v>78</v>
      </c>
      <c r="D470" s="23">
        <v>78</v>
      </c>
      <c r="E470" s="23">
        <f t="shared" si="61"/>
        <v>25</v>
      </c>
      <c r="G470" s="19"/>
      <c r="H470" s="62"/>
      <c r="I470" s="20"/>
      <c r="J470" s="21"/>
      <c r="K470" s="42"/>
      <c r="L470" s="23"/>
      <c r="M470" s="23"/>
      <c r="N470" s="23"/>
      <c r="O470" s="23"/>
      <c r="Q470" s="78">
        <v>105</v>
      </c>
      <c r="R470" s="62">
        <f>C466+S470</f>
        <v>78</v>
      </c>
      <c r="S470" s="20"/>
      <c r="T470" s="21"/>
      <c r="U470" s="57">
        <v>78</v>
      </c>
      <c r="V470" s="23">
        <f t="shared" si="62"/>
        <v>-53</v>
      </c>
      <c r="W470" s="23">
        <f t="shared" si="63"/>
        <v>-53</v>
      </c>
      <c r="X470" s="23"/>
      <c r="Y470" s="23">
        <v>13</v>
      </c>
      <c r="AA470" s="250"/>
      <c r="AB470" s="156"/>
      <c r="AC470"/>
      <c r="AD470"/>
      <c r="AE470" s="156"/>
      <c r="AF470"/>
      <c r="AG470"/>
    </row>
    <row r="471" spans="1:36" hidden="1" outlineLevel="1">
      <c r="A471" s="96">
        <v>45567</v>
      </c>
      <c r="B471" s="17" t="s">
        <v>20</v>
      </c>
      <c r="C471" s="18">
        <f>81-3</f>
        <v>78</v>
      </c>
      <c r="D471" s="23">
        <v>78</v>
      </c>
      <c r="E471" s="23">
        <f t="shared" si="61"/>
        <v>25</v>
      </c>
      <c r="G471" s="19"/>
      <c r="H471" s="62"/>
      <c r="I471" s="20"/>
      <c r="J471" s="21"/>
      <c r="K471" s="42"/>
      <c r="L471" s="23"/>
      <c r="M471" s="23"/>
      <c r="N471" s="23"/>
      <c r="O471" s="23"/>
      <c r="Q471" s="78">
        <v>84</v>
      </c>
      <c r="R471" s="62">
        <f>C469+S471</f>
        <v>78</v>
      </c>
      <c r="S471" s="20"/>
      <c r="T471" s="21"/>
      <c r="U471" s="57">
        <v>78</v>
      </c>
      <c r="V471" s="23">
        <f t="shared" si="62"/>
        <v>-59</v>
      </c>
      <c r="W471" s="23">
        <f t="shared" si="63"/>
        <v>-59</v>
      </c>
      <c r="X471" s="23"/>
      <c r="Y471" s="23">
        <v>0</v>
      </c>
      <c r="AA471" s="250"/>
      <c r="AB471" s="156"/>
      <c r="AC471"/>
      <c r="AD471"/>
      <c r="AE471" s="156"/>
      <c r="AF471"/>
      <c r="AG471"/>
    </row>
    <row r="472" spans="1:36" hidden="1" outlineLevel="1">
      <c r="A472" s="96">
        <v>45568</v>
      </c>
      <c r="B472" s="17" t="s">
        <v>14</v>
      </c>
      <c r="C472" s="18">
        <f>81+3</f>
        <v>84</v>
      </c>
      <c r="D472" s="23">
        <v>72</v>
      </c>
      <c r="E472" s="23">
        <f t="shared" si="61"/>
        <v>13</v>
      </c>
      <c r="G472" s="19"/>
      <c r="H472" s="62"/>
      <c r="I472" s="20"/>
      <c r="J472" s="21"/>
      <c r="K472" s="42"/>
      <c r="L472" s="23"/>
      <c r="M472" s="23"/>
      <c r="N472" s="23"/>
      <c r="O472" s="23"/>
      <c r="Q472" s="78">
        <v>102</v>
      </c>
      <c r="R472" s="62">
        <f>C470+S472</f>
        <v>78</v>
      </c>
      <c r="S472" s="20">
        <v>0</v>
      </c>
      <c r="T472" s="21"/>
      <c r="U472" s="57">
        <v>78</v>
      </c>
      <c r="V472" s="23">
        <f t="shared" si="62"/>
        <v>-83</v>
      </c>
      <c r="W472" s="23">
        <f t="shared" si="63"/>
        <v>-83</v>
      </c>
      <c r="X472" s="23"/>
      <c r="Y472" s="23">
        <v>10</v>
      </c>
      <c r="AA472" s="250"/>
      <c r="AB472" s="156">
        <v>-12</v>
      </c>
      <c r="AC472">
        <v>78</v>
      </c>
      <c r="AD472"/>
      <c r="AE472" s="156"/>
      <c r="AF472"/>
      <c r="AG472"/>
    </row>
    <row r="473" spans="1:36" hidden="1" outlineLevel="1">
      <c r="A473" s="96">
        <v>45569</v>
      </c>
      <c r="B473" s="17" t="s">
        <v>15</v>
      </c>
      <c r="C473" s="18">
        <f>81+3</f>
        <v>84</v>
      </c>
      <c r="D473" s="23">
        <v>66</v>
      </c>
      <c r="E473" s="23">
        <f t="shared" si="61"/>
        <v>-5</v>
      </c>
      <c r="G473" s="19"/>
      <c r="H473" s="62"/>
      <c r="I473" s="20"/>
      <c r="J473" s="21"/>
      <c r="K473" s="42"/>
      <c r="L473" s="23"/>
      <c r="M473" s="23"/>
      <c r="N473" s="23"/>
      <c r="O473" s="23"/>
      <c r="Q473" s="78">
        <v>0</v>
      </c>
      <c r="R473" s="62">
        <f>C471+S473</f>
        <v>78</v>
      </c>
      <c r="S473" s="20"/>
      <c r="T473" s="21"/>
      <c r="U473" s="57">
        <v>78</v>
      </c>
      <c r="V473" s="23">
        <f t="shared" si="62"/>
        <v>-5</v>
      </c>
      <c r="W473" s="23">
        <f t="shared" si="63"/>
        <v>-5</v>
      </c>
      <c r="X473" s="23"/>
      <c r="Y473" s="23">
        <v>10</v>
      </c>
      <c r="Z473" s="1">
        <f>AVERAGE(Q469:Q473)</f>
        <v>78.599999999999994</v>
      </c>
      <c r="AA473" s="250"/>
      <c r="AB473" s="156"/>
      <c r="AC473"/>
      <c r="AD473"/>
      <c r="AE473" s="156"/>
      <c r="AF473"/>
      <c r="AG473"/>
    </row>
    <row r="474" spans="1:36" s="12" customFormat="1" hidden="1" outlineLevel="1" collapsed="1">
      <c r="A474" s="95">
        <v>45570</v>
      </c>
      <c r="B474" s="25" t="s">
        <v>16</v>
      </c>
      <c r="C474" s="26"/>
      <c r="D474" s="29"/>
      <c r="E474" s="29">
        <f t="shared" si="61"/>
        <v>-5</v>
      </c>
      <c r="G474" s="64"/>
      <c r="H474" s="63"/>
      <c r="I474" s="27"/>
      <c r="J474" s="28"/>
      <c r="K474" s="43"/>
      <c r="L474" s="29"/>
      <c r="M474" s="29"/>
      <c r="N474" s="29"/>
      <c r="O474" s="29"/>
      <c r="Q474" s="64"/>
      <c r="R474" s="63"/>
      <c r="S474" s="27"/>
      <c r="T474" s="28"/>
      <c r="U474" s="43"/>
      <c r="V474" s="29">
        <f t="shared" si="62"/>
        <v>-5</v>
      </c>
      <c r="W474" s="29">
        <f t="shared" si="63"/>
        <v>-5</v>
      </c>
      <c r="X474" s="29"/>
      <c r="Y474" s="29"/>
      <c r="AA474"/>
      <c r="AB474" s="156"/>
      <c r="AC474"/>
      <c r="AD474"/>
      <c r="AE474" s="156"/>
      <c r="AF474"/>
      <c r="AG474"/>
      <c r="AH474"/>
      <c r="AI474"/>
      <c r="AJ474"/>
    </row>
    <row r="475" spans="1:36" s="12" customFormat="1" hidden="1" outlineLevel="1" collapsed="1">
      <c r="A475" s="95">
        <v>45571</v>
      </c>
      <c r="B475" s="25" t="s">
        <v>17</v>
      </c>
      <c r="C475" s="26"/>
      <c r="D475" s="29"/>
      <c r="E475" s="29">
        <f t="shared" si="61"/>
        <v>-5</v>
      </c>
      <c r="G475" s="64"/>
      <c r="H475" s="63"/>
      <c r="I475" s="27"/>
      <c r="J475" s="28"/>
      <c r="K475" s="43"/>
      <c r="L475" s="29"/>
      <c r="M475" s="29"/>
      <c r="N475" s="29"/>
      <c r="O475" s="29"/>
      <c r="Q475" s="64"/>
      <c r="R475" s="63"/>
      <c r="S475" s="27"/>
      <c r="T475" s="28"/>
      <c r="U475" s="43"/>
      <c r="V475" s="29">
        <f t="shared" si="62"/>
        <v>-5</v>
      </c>
      <c r="W475" s="29">
        <f t="shared" si="63"/>
        <v>-5</v>
      </c>
      <c r="X475" s="29"/>
      <c r="Y475" s="29"/>
      <c r="AA475"/>
      <c r="AB475" s="156"/>
      <c r="AC475"/>
      <c r="AD475"/>
      <c r="AE475" s="156"/>
      <c r="AF475"/>
      <c r="AG475"/>
      <c r="AH475"/>
      <c r="AI475"/>
      <c r="AJ475"/>
    </row>
    <row r="476" spans="1:36" hidden="1" outlineLevel="1">
      <c r="A476" s="96">
        <v>45572</v>
      </c>
      <c r="B476" s="17" t="s">
        <v>18</v>
      </c>
      <c r="C476" s="18">
        <f>78-12</f>
        <v>66</v>
      </c>
      <c r="D476" s="23">
        <v>84</v>
      </c>
      <c r="E476" s="23">
        <f t="shared" si="61"/>
        <v>13</v>
      </c>
      <c r="G476" s="19"/>
      <c r="H476" s="62"/>
      <c r="I476" s="20"/>
      <c r="J476" s="21"/>
      <c r="K476" s="42"/>
      <c r="L476" s="23"/>
      <c r="M476" s="23"/>
      <c r="N476" s="23"/>
      <c r="O476" s="23"/>
      <c r="Q476" s="78">
        <v>66</v>
      </c>
      <c r="R476" s="62">
        <f>C472</f>
        <v>84</v>
      </c>
      <c r="S476" s="20"/>
      <c r="T476" s="21"/>
      <c r="U476" s="57">
        <v>84</v>
      </c>
      <c r="V476" s="23">
        <f t="shared" si="62"/>
        <v>13</v>
      </c>
      <c r="W476" s="23">
        <f t="shared" si="63"/>
        <v>13</v>
      </c>
      <c r="X476" s="23"/>
      <c r="Y476" s="23">
        <v>10</v>
      </c>
      <c r="AA476" s="250"/>
      <c r="AB476" s="156"/>
      <c r="AC476"/>
      <c r="AD476"/>
      <c r="AE476" s="156"/>
      <c r="AF476"/>
      <c r="AG476"/>
    </row>
    <row r="477" spans="1:36" hidden="1" outlineLevel="1">
      <c r="A477" s="96">
        <v>45573</v>
      </c>
      <c r="B477" s="17" t="s">
        <v>19</v>
      </c>
      <c r="C477" s="18">
        <f t="shared" ref="C477:C480" si="64">78-12</f>
        <v>66</v>
      </c>
      <c r="D477" s="23">
        <v>84</v>
      </c>
      <c r="E477" s="23">
        <f t="shared" si="61"/>
        <v>31</v>
      </c>
      <c r="G477" s="19"/>
      <c r="H477" s="62"/>
      <c r="I477" s="20"/>
      <c r="J477" s="21"/>
      <c r="K477" s="42"/>
      <c r="L477" s="23"/>
      <c r="M477" s="23"/>
      <c r="N477" s="23"/>
      <c r="O477" s="23"/>
      <c r="Q477" s="78">
        <v>69</v>
      </c>
      <c r="R477" s="62">
        <f>C473</f>
        <v>84</v>
      </c>
      <c r="S477" s="20"/>
      <c r="T477" s="21"/>
      <c r="U477" s="57">
        <v>84</v>
      </c>
      <c r="V477" s="23">
        <f t="shared" si="62"/>
        <v>28</v>
      </c>
      <c r="W477" s="23">
        <f t="shared" si="63"/>
        <v>28</v>
      </c>
      <c r="X477" s="23"/>
      <c r="Y477" s="23">
        <v>10</v>
      </c>
      <c r="AA477" s="250"/>
      <c r="AB477" s="156"/>
      <c r="AC477"/>
      <c r="AD477"/>
      <c r="AE477" s="156"/>
      <c r="AF477"/>
      <c r="AG477"/>
    </row>
    <row r="478" spans="1:36" hidden="1" outlineLevel="1">
      <c r="A478" s="96">
        <v>45574</v>
      </c>
      <c r="B478" s="17" t="s">
        <v>20</v>
      </c>
      <c r="C478" s="18">
        <f t="shared" si="64"/>
        <v>66</v>
      </c>
      <c r="D478" s="23">
        <v>60</v>
      </c>
      <c r="E478" s="23">
        <f t="shared" si="61"/>
        <v>25</v>
      </c>
      <c r="G478" s="19"/>
      <c r="H478" s="62"/>
      <c r="I478" s="20"/>
      <c r="J478" s="21"/>
      <c r="K478" s="42"/>
      <c r="L478" s="23"/>
      <c r="M478" s="23"/>
      <c r="N478" s="23"/>
      <c r="O478" s="23"/>
      <c r="Q478" s="78">
        <v>72</v>
      </c>
      <c r="R478" s="62">
        <f>C476+S478</f>
        <v>66</v>
      </c>
      <c r="S478" s="20"/>
      <c r="T478" s="21"/>
      <c r="U478" s="57">
        <v>66</v>
      </c>
      <c r="V478" s="23">
        <f t="shared" si="62"/>
        <v>22</v>
      </c>
      <c r="W478" s="23">
        <f t="shared" si="63"/>
        <v>22</v>
      </c>
      <c r="X478" s="23"/>
      <c r="Y478" s="23">
        <v>10</v>
      </c>
      <c r="AA478" s="250"/>
      <c r="AB478" s="156"/>
      <c r="AC478"/>
      <c r="AD478"/>
      <c r="AE478" s="156"/>
      <c r="AF478"/>
      <c r="AG478"/>
    </row>
    <row r="479" spans="1:36" hidden="1" outlineLevel="1">
      <c r="A479" s="96">
        <v>45575</v>
      </c>
      <c r="B479" s="17" t="s">
        <v>14</v>
      </c>
      <c r="C479" s="18">
        <f t="shared" si="64"/>
        <v>66</v>
      </c>
      <c r="D479" s="23">
        <v>78</v>
      </c>
      <c r="E479" s="23">
        <f t="shared" si="61"/>
        <v>37</v>
      </c>
      <c r="G479" s="19"/>
      <c r="H479" s="62"/>
      <c r="I479" s="20"/>
      <c r="J479" s="21"/>
      <c r="K479" s="42"/>
      <c r="L479" s="23"/>
      <c r="M479" s="23"/>
      <c r="N479" s="23"/>
      <c r="O479" s="23"/>
      <c r="Q479" s="78">
        <v>72</v>
      </c>
      <c r="R479" s="62">
        <f>C477+S479</f>
        <v>66</v>
      </c>
      <c r="S479" s="20"/>
      <c r="T479" s="21"/>
      <c r="U479" s="57">
        <v>66</v>
      </c>
      <c r="V479" s="23">
        <f t="shared" si="62"/>
        <v>16</v>
      </c>
      <c r="W479" s="23">
        <f t="shared" si="63"/>
        <v>16</v>
      </c>
      <c r="X479" s="23"/>
      <c r="Y479" s="23">
        <v>10</v>
      </c>
      <c r="AA479" s="250"/>
      <c r="AB479" s="156"/>
      <c r="AC479"/>
      <c r="AD479"/>
      <c r="AE479" s="156"/>
      <c r="AF479"/>
      <c r="AG479"/>
    </row>
    <row r="480" spans="1:36" hidden="1" outlineLevel="1">
      <c r="A480" s="96">
        <v>45576</v>
      </c>
      <c r="B480" s="17" t="s">
        <v>15</v>
      </c>
      <c r="C480" s="18">
        <f t="shared" si="64"/>
        <v>66</v>
      </c>
      <c r="D480" s="23">
        <v>66</v>
      </c>
      <c r="E480" s="23">
        <f t="shared" si="61"/>
        <v>37</v>
      </c>
      <c r="G480" s="19"/>
      <c r="H480" s="62"/>
      <c r="I480" s="20"/>
      <c r="J480" s="21"/>
      <c r="K480" s="42"/>
      <c r="L480" s="23"/>
      <c r="M480" s="23"/>
      <c r="N480" s="23"/>
      <c r="O480" s="23"/>
      <c r="Q480" s="78">
        <v>87</v>
      </c>
      <c r="R480" s="62">
        <f>C478+S480</f>
        <v>66</v>
      </c>
      <c r="S480" s="20"/>
      <c r="T480" s="21"/>
      <c r="U480" s="57">
        <v>66</v>
      </c>
      <c r="V480" s="23">
        <f t="shared" si="62"/>
        <v>-5</v>
      </c>
      <c r="W480" s="23">
        <f t="shared" si="63"/>
        <v>-5</v>
      </c>
      <c r="X480" s="23"/>
      <c r="Y480" s="23">
        <v>10</v>
      </c>
      <c r="Z480" s="1">
        <f>AVERAGE(Q476:Q480)</f>
        <v>73.2</v>
      </c>
      <c r="AA480" s="250"/>
      <c r="AB480" s="156"/>
      <c r="AC480"/>
      <c r="AD480"/>
      <c r="AE480" s="156"/>
      <c r="AF480"/>
      <c r="AG480"/>
    </row>
    <row r="481" spans="1:36" s="12" customFormat="1" hidden="1" outlineLevel="1">
      <c r="A481" s="95">
        <v>45577</v>
      </c>
      <c r="B481" s="25" t="s">
        <v>16</v>
      </c>
      <c r="C481" s="26"/>
      <c r="D481" s="29"/>
      <c r="E481" s="29">
        <f t="shared" ref="E481:E544" si="65">E480-C481+D481</f>
        <v>37</v>
      </c>
      <c r="G481" s="64"/>
      <c r="H481" s="63"/>
      <c r="I481" s="27"/>
      <c r="J481" s="28"/>
      <c r="K481" s="43"/>
      <c r="L481" s="29"/>
      <c r="M481" s="29"/>
      <c r="N481" s="29"/>
      <c r="O481" s="29"/>
      <c r="Q481" s="64"/>
      <c r="R481" s="63"/>
      <c r="S481" s="27"/>
      <c r="T481" s="28"/>
      <c r="U481" s="43"/>
      <c r="V481" s="29">
        <f t="shared" si="62"/>
        <v>-5</v>
      </c>
      <c r="W481" s="29">
        <f t="shared" si="63"/>
        <v>-5</v>
      </c>
      <c r="X481" s="29"/>
      <c r="Y481" s="29"/>
      <c r="AA481"/>
      <c r="AB481" s="156"/>
      <c r="AC481"/>
      <c r="AD481"/>
      <c r="AE481" s="156"/>
      <c r="AF481"/>
      <c r="AG481"/>
      <c r="AH481"/>
      <c r="AI481"/>
      <c r="AJ481"/>
    </row>
    <row r="482" spans="1:36" s="12" customFormat="1" hidden="1" outlineLevel="1">
      <c r="A482" s="95">
        <v>45578</v>
      </c>
      <c r="B482" s="25" t="s">
        <v>17</v>
      </c>
      <c r="C482" s="26"/>
      <c r="D482" s="29"/>
      <c r="E482" s="29">
        <f t="shared" si="65"/>
        <v>37</v>
      </c>
      <c r="G482" s="64"/>
      <c r="H482" s="63"/>
      <c r="I482" s="27"/>
      <c r="J482" s="28"/>
      <c r="K482" s="43"/>
      <c r="L482" s="29"/>
      <c r="M482" s="29"/>
      <c r="N482" s="29"/>
      <c r="O482" s="29"/>
      <c r="Q482" s="64"/>
      <c r="R482" s="63"/>
      <c r="S482" s="27"/>
      <c r="T482" s="28"/>
      <c r="U482" s="43"/>
      <c r="V482" s="29">
        <f t="shared" si="62"/>
        <v>-5</v>
      </c>
      <c r="W482" s="29">
        <f t="shared" si="63"/>
        <v>-5</v>
      </c>
      <c r="X482" s="29"/>
      <c r="Y482" s="29"/>
      <c r="AA482"/>
      <c r="AB482" s="156"/>
      <c r="AC482"/>
      <c r="AD482"/>
      <c r="AE482" s="156"/>
      <c r="AF482"/>
      <c r="AG482"/>
      <c r="AH482"/>
      <c r="AI482"/>
      <c r="AJ482"/>
    </row>
    <row r="483" spans="1:36" s="12" customFormat="1" hidden="1" outlineLevel="1" collapsed="1">
      <c r="A483" s="95">
        <v>45579</v>
      </c>
      <c r="B483" s="25" t="s">
        <v>18</v>
      </c>
      <c r="C483" s="26"/>
      <c r="D483" s="29"/>
      <c r="E483" s="29">
        <f t="shared" si="65"/>
        <v>37</v>
      </c>
      <c r="G483" s="64"/>
      <c r="H483" s="63"/>
      <c r="I483" s="27"/>
      <c r="J483" s="28"/>
      <c r="K483" s="43"/>
      <c r="L483" s="29"/>
      <c r="M483" s="29"/>
      <c r="N483" s="29"/>
      <c r="O483" s="29"/>
      <c r="Q483" s="64"/>
      <c r="R483" s="63"/>
      <c r="S483" s="27"/>
      <c r="T483" s="28"/>
      <c r="U483" s="43"/>
      <c r="V483" s="29">
        <f t="shared" si="62"/>
        <v>-5</v>
      </c>
      <c r="W483" s="29">
        <f t="shared" si="63"/>
        <v>-5</v>
      </c>
      <c r="X483" s="29"/>
      <c r="Y483" s="29"/>
      <c r="AA483"/>
      <c r="AB483" s="156"/>
      <c r="AC483"/>
      <c r="AD483"/>
      <c r="AE483" s="156"/>
      <c r="AF483"/>
      <c r="AG483"/>
      <c r="AH483"/>
      <c r="AI483"/>
      <c r="AJ483"/>
    </row>
    <row r="484" spans="1:36" hidden="1" outlineLevel="1">
      <c r="A484" s="96">
        <v>45580</v>
      </c>
      <c r="B484" s="17" t="s">
        <v>19</v>
      </c>
      <c r="C484" s="18">
        <v>60</v>
      </c>
      <c r="D484" s="23">
        <v>78</v>
      </c>
      <c r="E484" s="23">
        <f t="shared" si="65"/>
        <v>55</v>
      </c>
      <c r="G484" s="19"/>
      <c r="H484" s="62"/>
      <c r="I484" s="20"/>
      <c r="J484" s="21"/>
      <c r="K484" s="42"/>
      <c r="L484" s="23"/>
      <c r="M484" s="23"/>
      <c r="N484" s="23"/>
      <c r="O484" s="23"/>
      <c r="Q484" s="78">
        <v>69</v>
      </c>
      <c r="R484" s="62">
        <f>C479</f>
        <v>66</v>
      </c>
      <c r="S484" s="20"/>
      <c r="T484" s="21"/>
      <c r="U484" s="57">
        <v>66</v>
      </c>
      <c r="V484" s="23">
        <f t="shared" si="62"/>
        <v>-8</v>
      </c>
      <c r="W484" s="23">
        <f t="shared" si="63"/>
        <v>-8</v>
      </c>
      <c r="X484" s="23"/>
      <c r="Y484" s="23">
        <v>11</v>
      </c>
      <c r="AA484" s="250"/>
      <c r="AB484" s="156"/>
      <c r="AC484"/>
      <c r="AD484"/>
      <c r="AE484" s="156"/>
      <c r="AF484"/>
      <c r="AG484"/>
    </row>
    <row r="485" spans="1:36" hidden="1" outlineLevel="1">
      <c r="A485" s="96">
        <v>45581</v>
      </c>
      <c r="B485" s="17" t="s">
        <v>20</v>
      </c>
      <c r="C485" s="18">
        <v>60</v>
      </c>
      <c r="D485" s="23">
        <v>66</v>
      </c>
      <c r="E485" s="23">
        <f t="shared" si="65"/>
        <v>61</v>
      </c>
      <c r="G485" s="19"/>
      <c r="H485" s="62"/>
      <c r="I485" s="20"/>
      <c r="J485" s="21"/>
      <c r="K485" s="42"/>
      <c r="L485" s="23"/>
      <c r="M485" s="23"/>
      <c r="N485" s="23"/>
      <c r="O485" s="23"/>
      <c r="Q485" s="78">
        <v>36</v>
      </c>
      <c r="R485" s="62">
        <f>C480</f>
        <v>66</v>
      </c>
      <c r="S485" s="20"/>
      <c r="T485" s="21"/>
      <c r="U485" s="57">
        <v>66</v>
      </c>
      <c r="V485" s="23">
        <f t="shared" si="62"/>
        <v>22</v>
      </c>
      <c r="W485" s="23">
        <f t="shared" si="63"/>
        <v>22</v>
      </c>
      <c r="X485" s="23"/>
      <c r="Y485" s="23">
        <v>8</v>
      </c>
      <c r="AA485" s="250"/>
      <c r="AB485" s="156"/>
      <c r="AC485"/>
      <c r="AD485"/>
      <c r="AE485" s="156"/>
      <c r="AF485"/>
      <c r="AG485"/>
    </row>
    <row r="486" spans="1:36" hidden="1" outlineLevel="1">
      <c r="A486" s="96">
        <v>45582</v>
      </c>
      <c r="B486" s="17" t="s">
        <v>14</v>
      </c>
      <c r="C486" s="18">
        <v>60</v>
      </c>
      <c r="D486" s="23">
        <v>72</v>
      </c>
      <c r="E486" s="23">
        <f t="shared" si="65"/>
        <v>73</v>
      </c>
      <c r="G486" s="19"/>
      <c r="H486" s="62"/>
      <c r="I486" s="20"/>
      <c r="J486" s="21"/>
      <c r="K486" s="42"/>
      <c r="L486" s="23"/>
      <c r="M486" s="23"/>
      <c r="N486" s="23"/>
      <c r="O486" s="23"/>
      <c r="Q486" s="78">
        <v>54</v>
      </c>
      <c r="R486" s="62">
        <f>C484+S486</f>
        <v>60</v>
      </c>
      <c r="S486" s="20"/>
      <c r="T486" s="21"/>
      <c r="U486" s="57">
        <v>60</v>
      </c>
      <c r="V486" s="23">
        <f t="shared" si="62"/>
        <v>28</v>
      </c>
      <c r="W486" s="23">
        <f t="shared" si="63"/>
        <v>28</v>
      </c>
      <c r="X486" s="23"/>
      <c r="Y486" s="23">
        <v>15</v>
      </c>
      <c r="AA486" s="250"/>
      <c r="AB486" s="156"/>
      <c r="AC486"/>
      <c r="AD486"/>
      <c r="AE486" s="156"/>
      <c r="AF486"/>
      <c r="AG486"/>
    </row>
    <row r="487" spans="1:36" hidden="1" outlineLevel="1">
      <c r="A487" s="96">
        <v>45583</v>
      </c>
      <c r="B487" s="17" t="s">
        <v>15</v>
      </c>
      <c r="C487" s="18">
        <v>60</v>
      </c>
      <c r="D487" s="23">
        <v>72</v>
      </c>
      <c r="E487" s="23">
        <f t="shared" si="65"/>
        <v>85</v>
      </c>
      <c r="G487" s="19"/>
      <c r="H487" s="62"/>
      <c r="I487" s="20"/>
      <c r="J487" s="21"/>
      <c r="K487" s="42"/>
      <c r="L487" s="23"/>
      <c r="M487" s="23"/>
      <c r="N487" s="23"/>
      <c r="O487" s="23"/>
      <c r="Q487" s="78">
        <v>66</v>
      </c>
      <c r="R487" s="62">
        <f>C485+S487</f>
        <v>60</v>
      </c>
      <c r="S487" s="20"/>
      <c r="T487" s="21"/>
      <c r="U487" s="57">
        <v>60</v>
      </c>
      <c r="V487" s="23">
        <f t="shared" si="62"/>
        <v>22</v>
      </c>
      <c r="W487" s="23">
        <f t="shared" si="63"/>
        <v>22</v>
      </c>
      <c r="X487" s="23"/>
      <c r="Y487" s="23">
        <v>11</v>
      </c>
      <c r="Z487" s="1">
        <f>AVERAGE(Q484:Q487)</f>
        <v>56.25</v>
      </c>
      <c r="AA487" s="250"/>
      <c r="AB487" s="156"/>
      <c r="AC487"/>
      <c r="AD487"/>
      <c r="AE487" s="156"/>
      <c r="AF487"/>
      <c r="AG487"/>
    </row>
    <row r="488" spans="1:36" s="12" customFormat="1" hidden="1" outlineLevel="1">
      <c r="A488" s="95">
        <v>45584</v>
      </c>
      <c r="B488" s="25" t="s">
        <v>16</v>
      </c>
      <c r="C488" s="26"/>
      <c r="D488" s="29"/>
      <c r="E488" s="29">
        <f t="shared" si="65"/>
        <v>85</v>
      </c>
      <c r="G488" s="64"/>
      <c r="H488" s="63"/>
      <c r="I488" s="27"/>
      <c r="J488" s="28"/>
      <c r="K488" s="43"/>
      <c r="L488" s="29"/>
      <c r="M488" s="29"/>
      <c r="N488" s="29"/>
      <c r="O488" s="29"/>
      <c r="Q488" s="79"/>
      <c r="R488" s="63"/>
      <c r="S488" s="27"/>
      <c r="T488" s="28"/>
      <c r="U488" s="43"/>
      <c r="V488" s="29">
        <f t="shared" si="62"/>
        <v>22</v>
      </c>
      <c r="W488" s="29">
        <f t="shared" si="63"/>
        <v>22</v>
      </c>
      <c r="X488" s="29"/>
      <c r="Y488" s="29"/>
      <c r="AA488" s="250"/>
      <c r="AB488" s="156"/>
      <c r="AC488"/>
      <c r="AD488"/>
      <c r="AE488" s="156"/>
      <c r="AF488"/>
      <c r="AG488"/>
      <c r="AH488"/>
      <c r="AI488"/>
      <c r="AJ488"/>
    </row>
    <row r="489" spans="1:36" s="12" customFormat="1" hidden="1" outlineLevel="1" collapsed="1">
      <c r="A489" s="95">
        <v>45585</v>
      </c>
      <c r="B489" s="25" t="s">
        <v>17</v>
      </c>
      <c r="C489" s="26"/>
      <c r="D489" s="29"/>
      <c r="E489" s="29">
        <f t="shared" si="65"/>
        <v>85</v>
      </c>
      <c r="G489" s="64"/>
      <c r="H489" s="63"/>
      <c r="I489" s="27"/>
      <c r="J489" s="28"/>
      <c r="K489" s="43"/>
      <c r="L489" s="29"/>
      <c r="M489" s="29"/>
      <c r="N489" s="29"/>
      <c r="O489" s="29"/>
      <c r="Q489" s="79"/>
      <c r="R489" s="63"/>
      <c r="S489" s="27"/>
      <c r="T489" s="28"/>
      <c r="U489" s="43"/>
      <c r="V489" s="29">
        <f t="shared" si="62"/>
        <v>22</v>
      </c>
      <c r="W489" s="29">
        <f t="shared" si="63"/>
        <v>22</v>
      </c>
      <c r="X489" s="29"/>
      <c r="Y489" s="29"/>
      <c r="AA489" s="250"/>
      <c r="AB489" s="156"/>
      <c r="AC489"/>
      <c r="AD489"/>
      <c r="AE489" s="156"/>
      <c r="AF489"/>
      <c r="AG489"/>
      <c r="AH489"/>
      <c r="AI489"/>
      <c r="AJ489"/>
    </row>
    <row r="490" spans="1:36" hidden="1" outlineLevel="1">
      <c r="A490" s="96">
        <v>45586</v>
      </c>
      <c r="B490" s="17" t="s">
        <v>18</v>
      </c>
      <c r="C490" s="18">
        <v>72</v>
      </c>
      <c r="D490" s="23">
        <v>66</v>
      </c>
      <c r="E490" s="23">
        <f t="shared" si="65"/>
        <v>79</v>
      </c>
      <c r="G490" s="19"/>
      <c r="H490" s="62"/>
      <c r="I490" s="20"/>
      <c r="J490" s="21"/>
      <c r="K490" s="42"/>
      <c r="L490" s="23"/>
      <c r="M490" s="23"/>
      <c r="N490" s="23"/>
      <c r="O490" s="23"/>
      <c r="Q490" s="78">
        <v>87</v>
      </c>
      <c r="R490" s="62">
        <f>C486</f>
        <v>60</v>
      </c>
      <c r="S490" s="20"/>
      <c r="T490" s="21"/>
      <c r="U490" s="57">
        <v>60</v>
      </c>
      <c r="V490" s="23">
        <f t="shared" si="62"/>
        <v>-5</v>
      </c>
      <c r="W490" s="23">
        <f t="shared" si="63"/>
        <v>-5</v>
      </c>
      <c r="X490" s="23"/>
      <c r="Y490" s="23">
        <v>15</v>
      </c>
      <c r="AA490" s="250"/>
      <c r="AB490" s="156"/>
      <c r="AC490"/>
      <c r="AD490"/>
      <c r="AE490" s="156"/>
      <c r="AF490"/>
      <c r="AG490"/>
    </row>
    <row r="491" spans="1:36" hidden="1" outlineLevel="1">
      <c r="A491" s="96">
        <v>45587</v>
      </c>
      <c r="B491" s="17" t="s">
        <v>19</v>
      </c>
      <c r="C491" s="18">
        <v>72</v>
      </c>
      <c r="D491" s="23">
        <v>66</v>
      </c>
      <c r="E491" s="23">
        <f t="shared" si="65"/>
        <v>73</v>
      </c>
      <c r="G491" s="19"/>
      <c r="H491" s="62"/>
      <c r="I491" s="20"/>
      <c r="J491" s="21"/>
      <c r="K491" s="42"/>
      <c r="L491" s="23"/>
      <c r="M491" s="23"/>
      <c r="N491" s="23"/>
      <c r="O491" s="23"/>
      <c r="Q491" s="78">
        <v>72</v>
      </c>
      <c r="R491" s="62">
        <f>C487</f>
        <v>60</v>
      </c>
      <c r="S491" s="20"/>
      <c r="T491" s="21"/>
      <c r="U491" s="57">
        <v>60</v>
      </c>
      <c r="V491" s="23">
        <f t="shared" si="62"/>
        <v>-17</v>
      </c>
      <c r="W491" s="23">
        <f t="shared" si="63"/>
        <v>-17</v>
      </c>
      <c r="X491" s="23"/>
      <c r="Y491" s="23">
        <v>0</v>
      </c>
      <c r="AA491" s="250"/>
      <c r="AB491" s="156"/>
      <c r="AC491"/>
      <c r="AD491"/>
      <c r="AE491" s="156"/>
      <c r="AF491"/>
      <c r="AG491"/>
    </row>
    <row r="492" spans="1:36" hidden="1" outlineLevel="1">
      <c r="A492" s="96">
        <v>45588</v>
      </c>
      <c r="B492" s="17" t="s">
        <v>20</v>
      </c>
      <c r="C492" s="18">
        <v>72</v>
      </c>
      <c r="D492" s="23">
        <v>66</v>
      </c>
      <c r="E492" s="23">
        <f t="shared" si="65"/>
        <v>67</v>
      </c>
      <c r="G492" s="19"/>
      <c r="H492" s="62"/>
      <c r="I492" s="20"/>
      <c r="J492" s="21"/>
      <c r="K492" s="42"/>
      <c r="L492" s="23"/>
      <c r="M492" s="23"/>
      <c r="N492" s="23"/>
      <c r="O492" s="23"/>
      <c r="Q492" s="78">
        <v>69</v>
      </c>
      <c r="R492" s="62">
        <f>C490+S492</f>
        <v>72</v>
      </c>
      <c r="S492" s="20"/>
      <c r="T492" s="21"/>
      <c r="U492" s="57">
        <v>72</v>
      </c>
      <c r="V492" s="23">
        <f t="shared" si="62"/>
        <v>-14</v>
      </c>
      <c r="W492" s="23">
        <f t="shared" si="63"/>
        <v>-14</v>
      </c>
      <c r="X492" s="23"/>
      <c r="Y492" s="23">
        <v>12</v>
      </c>
      <c r="AA492" s="250"/>
      <c r="AB492" s="156"/>
      <c r="AC492"/>
      <c r="AD492"/>
      <c r="AE492" s="156"/>
      <c r="AF492"/>
      <c r="AG492"/>
    </row>
    <row r="493" spans="1:36" hidden="1" outlineLevel="1">
      <c r="A493" s="96">
        <v>45589</v>
      </c>
      <c r="B493" s="17" t="s">
        <v>14</v>
      </c>
      <c r="C493" s="18">
        <v>72</v>
      </c>
      <c r="D493" s="23">
        <v>72</v>
      </c>
      <c r="E493" s="23">
        <f t="shared" si="65"/>
        <v>67</v>
      </c>
      <c r="G493" s="19"/>
      <c r="H493" s="62"/>
      <c r="I493" s="20"/>
      <c r="J493" s="21"/>
      <c r="K493" s="42"/>
      <c r="L493" s="23"/>
      <c r="M493" s="23"/>
      <c r="N493" s="23"/>
      <c r="O493" s="23"/>
      <c r="Q493" s="78">
        <v>72</v>
      </c>
      <c r="R493" s="62">
        <f>C491+S493</f>
        <v>72</v>
      </c>
      <c r="S493" s="20"/>
      <c r="T493" s="21"/>
      <c r="U493" s="57">
        <v>72</v>
      </c>
      <c r="V493" s="23">
        <f t="shared" si="62"/>
        <v>-14</v>
      </c>
      <c r="W493" s="23">
        <f t="shared" si="63"/>
        <v>-14</v>
      </c>
      <c r="X493" s="23"/>
      <c r="Y493" s="23">
        <v>12</v>
      </c>
      <c r="AA493" s="250"/>
      <c r="AB493" s="156"/>
      <c r="AC493"/>
      <c r="AD493"/>
      <c r="AE493" s="156"/>
      <c r="AF493"/>
      <c r="AG493"/>
    </row>
    <row r="494" spans="1:36" hidden="1" outlineLevel="1">
      <c r="A494" s="96">
        <v>45590</v>
      </c>
      <c r="B494" s="17" t="s">
        <v>15</v>
      </c>
      <c r="C494" s="18">
        <v>72</v>
      </c>
      <c r="D494" s="23">
        <v>66</v>
      </c>
      <c r="E494" s="23">
        <f t="shared" si="65"/>
        <v>61</v>
      </c>
      <c r="G494" s="19"/>
      <c r="H494" s="62"/>
      <c r="I494" s="20"/>
      <c r="J494" s="21"/>
      <c r="K494" s="42"/>
      <c r="L494" s="23"/>
      <c r="M494" s="23"/>
      <c r="N494" s="23"/>
      <c r="O494" s="23"/>
      <c r="Q494" s="78">
        <v>66</v>
      </c>
      <c r="R494" s="62">
        <f>C492+S494</f>
        <v>72</v>
      </c>
      <c r="S494" s="20"/>
      <c r="T494" s="21"/>
      <c r="U494" s="57">
        <v>72</v>
      </c>
      <c r="V494" s="23">
        <f t="shared" si="62"/>
        <v>-8</v>
      </c>
      <c r="W494" s="23">
        <f t="shared" si="63"/>
        <v>-8</v>
      </c>
      <c r="X494" s="23"/>
      <c r="Y494" s="23">
        <v>11</v>
      </c>
      <c r="Z494" s="1">
        <f>AVERAGE(Q490:Q494)</f>
        <v>73.2</v>
      </c>
      <c r="AA494" s="250"/>
      <c r="AB494" s="156"/>
      <c r="AC494"/>
      <c r="AD494"/>
      <c r="AE494" s="156"/>
      <c r="AF494"/>
      <c r="AG494"/>
    </row>
    <row r="495" spans="1:36" s="12" customFormat="1" hidden="1" outlineLevel="1">
      <c r="A495" s="95">
        <v>45591</v>
      </c>
      <c r="B495" s="25" t="s">
        <v>16</v>
      </c>
      <c r="C495" s="26"/>
      <c r="D495" s="29"/>
      <c r="E495" s="29">
        <f t="shared" si="65"/>
        <v>61</v>
      </c>
      <c r="G495" s="64"/>
      <c r="H495" s="63"/>
      <c r="I495" s="27"/>
      <c r="J495" s="28"/>
      <c r="K495" s="43"/>
      <c r="L495" s="29"/>
      <c r="M495" s="29"/>
      <c r="N495" s="29"/>
      <c r="O495" s="29"/>
      <c r="Q495" s="79"/>
      <c r="R495" s="63"/>
      <c r="S495" s="27"/>
      <c r="T495" s="28"/>
      <c r="U495" s="43"/>
      <c r="V495" s="29">
        <f t="shared" si="62"/>
        <v>-8</v>
      </c>
      <c r="W495" s="29">
        <f t="shared" si="63"/>
        <v>-8</v>
      </c>
      <c r="X495" s="29"/>
      <c r="Y495" s="29"/>
      <c r="AA495" s="19"/>
      <c r="AB495" s="62"/>
      <c r="AC495" s="20"/>
      <c r="AD495" s="21"/>
      <c r="AE495" s="42"/>
      <c r="AF495" s="23"/>
      <c r="AG495" s="23"/>
      <c r="AH495" s="23"/>
      <c r="AI495" s="23"/>
      <c r="AJ495"/>
    </row>
    <row r="496" spans="1:36" s="12" customFormat="1" hidden="1" outlineLevel="1" collapsed="1">
      <c r="A496" s="95">
        <v>45592</v>
      </c>
      <c r="B496" s="25" t="s">
        <v>17</v>
      </c>
      <c r="C496" s="26"/>
      <c r="D496" s="29"/>
      <c r="E496" s="29">
        <f t="shared" si="65"/>
        <v>61</v>
      </c>
      <c r="G496" s="64"/>
      <c r="H496" s="63"/>
      <c r="I496" s="27"/>
      <c r="J496" s="28"/>
      <c r="K496" s="43"/>
      <c r="L496" s="29"/>
      <c r="M496" s="29"/>
      <c r="N496" s="29"/>
      <c r="O496" s="29"/>
      <c r="Q496" s="79"/>
      <c r="R496" s="63"/>
      <c r="S496" s="27"/>
      <c r="T496" s="28"/>
      <c r="U496" s="43"/>
      <c r="V496" s="29">
        <f t="shared" si="62"/>
        <v>-8</v>
      </c>
      <c r="W496" s="29">
        <f t="shared" si="63"/>
        <v>-8</v>
      </c>
      <c r="X496" s="29"/>
      <c r="Y496" s="29"/>
      <c r="AA496" s="267"/>
      <c r="AB496" s="196"/>
      <c r="AC496" s="197"/>
      <c r="AD496" s="198"/>
      <c r="AE496" s="199"/>
      <c r="AF496" s="200"/>
      <c r="AG496" s="200"/>
      <c r="AH496" s="200"/>
      <c r="AI496" s="200"/>
      <c r="AJ496" s="201"/>
    </row>
    <row r="497" spans="1:36" hidden="1" outlineLevel="1">
      <c r="A497" s="96">
        <v>45593</v>
      </c>
      <c r="B497" s="17" t="s">
        <v>18</v>
      </c>
      <c r="C497" s="18">
        <v>78</v>
      </c>
      <c r="D497" s="23">
        <v>66</v>
      </c>
      <c r="E497" s="23">
        <f t="shared" si="65"/>
        <v>49</v>
      </c>
      <c r="G497" s="19"/>
      <c r="H497" s="62"/>
      <c r="I497" s="20"/>
      <c r="J497" s="21"/>
      <c r="K497" s="42"/>
      <c r="L497" s="23"/>
      <c r="M497" s="23"/>
      <c r="N497" s="23"/>
      <c r="O497" s="23"/>
      <c r="Q497" s="78">
        <v>87</v>
      </c>
      <c r="R497" s="62">
        <f>C493</f>
        <v>72</v>
      </c>
      <c r="S497" s="20"/>
      <c r="T497" s="21"/>
      <c r="U497" s="57">
        <v>72</v>
      </c>
      <c r="V497" s="23">
        <f t="shared" si="62"/>
        <v>-23</v>
      </c>
      <c r="W497" s="23">
        <f t="shared" si="63"/>
        <v>-23</v>
      </c>
      <c r="X497" s="23"/>
      <c r="Y497" s="23">
        <v>20</v>
      </c>
      <c r="AA497" s="267"/>
      <c r="AB497" s="196"/>
      <c r="AC497" s="197"/>
      <c r="AD497" s="198"/>
      <c r="AE497" s="199"/>
      <c r="AF497" s="200"/>
      <c r="AG497" s="200"/>
      <c r="AH497" s="200"/>
      <c r="AI497" s="200"/>
      <c r="AJ497" s="201"/>
    </row>
    <row r="498" spans="1:36" hidden="1" outlineLevel="1">
      <c r="A498" s="96">
        <v>45594</v>
      </c>
      <c r="B498" s="17" t="s">
        <v>19</v>
      </c>
      <c r="C498" s="18">
        <v>78</v>
      </c>
      <c r="D498" s="23">
        <v>66</v>
      </c>
      <c r="E498" s="23">
        <f t="shared" si="65"/>
        <v>37</v>
      </c>
      <c r="G498" s="19"/>
      <c r="H498" s="62"/>
      <c r="I498" s="20"/>
      <c r="J498" s="21"/>
      <c r="K498" s="42"/>
      <c r="L498" s="23"/>
      <c r="M498" s="23"/>
      <c r="N498" s="23"/>
      <c r="O498" s="23"/>
      <c r="Q498" s="78">
        <v>69</v>
      </c>
      <c r="R498" s="62">
        <f>C494</f>
        <v>72</v>
      </c>
      <c r="S498" s="20"/>
      <c r="T498" s="21"/>
      <c r="U498" s="57">
        <v>72</v>
      </c>
      <c r="V498" s="23">
        <f t="shared" si="62"/>
        <v>-20</v>
      </c>
      <c r="W498" s="23">
        <f t="shared" si="63"/>
        <v>-20</v>
      </c>
      <c r="X498" s="23"/>
      <c r="Y498" s="23">
        <v>13</v>
      </c>
      <c r="AA498" s="267"/>
      <c r="AB498" s="196"/>
      <c r="AC498" s="197"/>
      <c r="AD498" s="198"/>
      <c r="AE498" s="199"/>
      <c r="AF498" s="200"/>
      <c r="AG498" s="200"/>
      <c r="AH498" s="200"/>
      <c r="AI498" s="200"/>
      <c r="AJ498" s="201"/>
    </row>
    <row r="499" spans="1:36" hidden="1" outlineLevel="1">
      <c r="A499" s="96">
        <v>45595</v>
      </c>
      <c r="B499" s="17" t="s">
        <v>20</v>
      </c>
      <c r="C499" s="18">
        <v>78</v>
      </c>
      <c r="D499" s="23">
        <v>66</v>
      </c>
      <c r="E499" s="23">
        <f t="shared" si="65"/>
        <v>25</v>
      </c>
      <c r="G499" s="19"/>
      <c r="H499" s="62"/>
      <c r="I499" s="20"/>
      <c r="J499" s="21"/>
      <c r="K499" s="42"/>
      <c r="L499" s="23"/>
      <c r="M499" s="23"/>
      <c r="N499" s="23"/>
      <c r="O499" s="23"/>
      <c r="Q499" s="78">
        <v>69</v>
      </c>
      <c r="R499" s="62">
        <f>C497+S499</f>
        <v>78</v>
      </c>
      <c r="S499" s="20"/>
      <c r="T499" s="21"/>
      <c r="U499" s="57">
        <v>78</v>
      </c>
      <c r="V499" s="23">
        <f t="shared" si="62"/>
        <v>-11</v>
      </c>
      <c r="W499" s="23">
        <f t="shared" si="63"/>
        <v>-11</v>
      </c>
      <c r="X499" s="23"/>
      <c r="Y499" s="23">
        <f>10+6</f>
        <v>16</v>
      </c>
      <c r="AA499" s="267"/>
      <c r="AB499" s="196"/>
      <c r="AC499" s="197"/>
      <c r="AD499" s="198"/>
      <c r="AE499" s="199"/>
      <c r="AF499" s="200"/>
      <c r="AG499" s="200"/>
      <c r="AH499" s="200"/>
      <c r="AI499" s="200"/>
      <c r="AJ499" s="201"/>
    </row>
    <row r="500" spans="1:36" hidden="1" outlineLevel="1">
      <c r="A500" s="96">
        <v>45596</v>
      </c>
      <c r="B500" s="17" t="s">
        <v>14</v>
      </c>
      <c r="C500" s="18">
        <v>78</v>
      </c>
      <c r="D500" s="23">
        <v>66</v>
      </c>
      <c r="E500" s="23">
        <f t="shared" si="65"/>
        <v>13</v>
      </c>
      <c r="G500" s="19"/>
      <c r="H500" s="62"/>
      <c r="I500" s="20"/>
      <c r="J500" s="21"/>
      <c r="K500" s="42"/>
      <c r="L500" s="23"/>
      <c r="M500" s="23"/>
      <c r="N500" s="23"/>
      <c r="O500" s="23"/>
      <c r="Q500" s="78">
        <v>69</v>
      </c>
      <c r="R500" s="62">
        <f>C498+S500</f>
        <v>78</v>
      </c>
      <c r="S500" s="20"/>
      <c r="T500" s="21"/>
      <c r="U500" s="57">
        <v>78</v>
      </c>
      <c r="V500" s="23">
        <f t="shared" si="62"/>
        <v>-2</v>
      </c>
      <c r="W500" s="23">
        <f t="shared" si="63"/>
        <v>-2</v>
      </c>
      <c r="X500" s="23"/>
      <c r="Y500" s="23">
        <v>0</v>
      </c>
      <c r="AA500" s="267"/>
      <c r="AB500" s="196"/>
      <c r="AC500" s="197"/>
      <c r="AD500" s="198"/>
      <c r="AE500" s="199"/>
      <c r="AF500" s="200"/>
      <c r="AG500" s="200"/>
      <c r="AH500" s="200"/>
      <c r="AI500" s="200"/>
      <c r="AJ500" s="201"/>
    </row>
    <row r="501" spans="1:36" hidden="1" outlineLevel="1">
      <c r="A501" s="96">
        <v>45597</v>
      </c>
      <c r="B501" s="17" t="s">
        <v>15</v>
      </c>
      <c r="C501" s="18">
        <v>78</v>
      </c>
      <c r="D501" s="23">
        <v>66</v>
      </c>
      <c r="E501" s="23">
        <f t="shared" si="65"/>
        <v>1</v>
      </c>
      <c r="G501" s="19"/>
      <c r="H501" s="62"/>
      <c r="I501" s="20"/>
      <c r="J501" s="21"/>
      <c r="K501" s="42"/>
      <c r="L501" s="23"/>
      <c r="M501" s="23"/>
      <c r="N501" s="23"/>
      <c r="O501" s="23"/>
      <c r="Q501" s="78">
        <v>3</v>
      </c>
      <c r="R501" s="62">
        <f>C499+S501</f>
        <v>78</v>
      </c>
      <c r="S501" s="20"/>
      <c r="T501" s="21"/>
      <c r="U501" s="57">
        <v>78</v>
      </c>
      <c r="V501" s="23">
        <f t="shared" si="62"/>
        <v>73</v>
      </c>
      <c r="W501" s="23">
        <f t="shared" si="63"/>
        <v>73</v>
      </c>
      <c r="X501" s="23"/>
      <c r="Y501" s="23">
        <v>10</v>
      </c>
      <c r="Z501" s="1">
        <f>AVERAGE(Q497:Q501)</f>
        <v>59.4</v>
      </c>
      <c r="AA501" s="267"/>
      <c r="AB501" s="196"/>
      <c r="AC501" s="197"/>
      <c r="AD501" s="198"/>
      <c r="AE501" s="199"/>
      <c r="AF501" s="200"/>
      <c r="AG501" s="200"/>
      <c r="AH501" s="200"/>
      <c r="AI501" s="200"/>
      <c r="AJ501" s="201"/>
    </row>
    <row r="502" spans="1:36" s="12" customFormat="1" hidden="1" outlineLevel="1">
      <c r="A502" s="95">
        <v>45598</v>
      </c>
      <c r="B502" s="25" t="s">
        <v>16</v>
      </c>
      <c r="C502" s="26"/>
      <c r="D502" s="29"/>
      <c r="E502" s="29">
        <f t="shared" si="65"/>
        <v>1</v>
      </c>
      <c r="G502" s="64"/>
      <c r="H502" s="63"/>
      <c r="I502" s="27"/>
      <c r="J502" s="28"/>
      <c r="K502" s="43"/>
      <c r="L502" s="29"/>
      <c r="M502" s="29"/>
      <c r="N502" s="29"/>
      <c r="O502" s="29"/>
      <c r="Q502" s="79"/>
      <c r="R502" s="63"/>
      <c r="S502" s="27"/>
      <c r="T502" s="28"/>
      <c r="U502" s="43"/>
      <c r="V502" s="29">
        <f t="shared" si="62"/>
        <v>73</v>
      </c>
      <c r="W502" s="29">
        <f t="shared" si="63"/>
        <v>73</v>
      </c>
      <c r="X502" s="29"/>
      <c r="Y502" s="29"/>
      <c r="AA502" s="267"/>
      <c r="AB502" s="196"/>
      <c r="AC502" s="197"/>
      <c r="AD502" s="198"/>
      <c r="AE502" s="199"/>
      <c r="AF502" s="200"/>
      <c r="AG502" s="200"/>
      <c r="AH502" s="200"/>
      <c r="AI502" s="200"/>
      <c r="AJ502" s="201"/>
    </row>
    <row r="503" spans="1:36" s="12" customFormat="1" hidden="1" outlineLevel="1">
      <c r="A503" s="95">
        <v>45599</v>
      </c>
      <c r="B503" s="25" t="s">
        <v>17</v>
      </c>
      <c r="C503" s="26"/>
      <c r="D503" s="29"/>
      <c r="E503" s="29">
        <f t="shared" si="65"/>
        <v>1</v>
      </c>
      <c r="G503" s="64"/>
      <c r="H503" s="63"/>
      <c r="I503" s="27"/>
      <c r="J503" s="28"/>
      <c r="K503" s="43"/>
      <c r="L503" s="29"/>
      <c r="M503" s="29"/>
      <c r="N503" s="29"/>
      <c r="O503" s="29"/>
      <c r="Q503" s="79"/>
      <c r="R503" s="63"/>
      <c r="S503" s="27"/>
      <c r="T503" s="28"/>
      <c r="U503" s="43"/>
      <c r="V503" s="29">
        <f t="shared" si="62"/>
        <v>73</v>
      </c>
      <c r="W503" s="29">
        <f t="shared" si="63"/>
        <v>73</v>
      </c>
      <c r="X503" s="29"/>
      <c r="Y503" s="29"/>
      <c r="AA503" s="267"/>
      <c r="AB503" s="196"/>
      <c r="AC503" s="197"/>
      <c r="AD503" s="198"/>
      <c r="AE503" s="199"/>
      <c r="AF503" s="200"/>
      <c r="AG503" s="200"/>
      <c r="AH503" s="200"/>
      <c r="AI503" s="200"/>
      <c r="AJ503" s="201"/>
    </row>
    <row r="504" spans="1:36" s="12" customFormat="1" hidden="1" outlineLevel="1" collapsed="1">
      <c r="A504" s="95">
        <v>45600</v>
      </c>
      <c r="B504" s="25" t="s">
        <v>18</v>
      </c>
      <c r="C504" s="26"/>
      <c r="D504" s="29">
        <v>30</v>
      </c>
      <c r="E504" s="29">
        <f t="shared" si="65"/>
        <v>31</v>
      </c>
      <c r="G504" s="64"/>
      <c r="H504" s="63"/>
      <c r="I504" s="27"/>
      <c r="J504" s="28"/>
      <c r="K504" s="43"/>
      <c r="L504" s="29"/>
      <c r="M504" s="29"/>
      <c r="N504" s="29"/>
      <c r="O504" s="29"/>
      <c r="Q504" s="79"/>
      <c r="R504" s="63"/>
      <c r="S504" s="27"/>
      <c r="T504" s="28"/>
      <c r="U504" s="43"/>
      <c r="V504" s="29">
        <f t="shared" si="62"/>
        <v>73</v>
      </c>
      <c r="W504" s="29">
        <f t="shared" si="63"/>
        <v>73</v>
      </c>
      <c r="X504" s="29"/>
      <c r="Y504" s="29"/>
      <c r="AA504" s="267"/>
      <c r="AB504" s="196"/>
      <c r="AC504" s="197"/>
      <c r="AD504" s="198"/>
      <c r="AE504" s="199"/>
      <c r="AF504" s="200"/>
      <c r="AG504" s="200"/>
      <c r="AH504" s="200"/>
      <c r="AI504" s="200"/>
      <c r="AJ504" s="201"/>
    </row>
    <row r="505" spans="1:36" hidden="1" outlineLevel="1">
      <c r="A505" s="96">
        <v>45601</v>
      </c>
      <c r="B505" s="17" t="s">
        <v>19</v>
      </c>
      <c r="C505" s="18">
        <v>54</v>
      </c>
      <c r="D505" s="23">
        <v>60</v>
      </c>
      <c r="E505" s="23">
        <f t="shared" si="65"/>
        <v>37</v>
      </c>
      <c r="G505" s="19"/>
      <c r="H505" s="62"/>
      <c r="I505" s="20"/>
      <c r="J505" s="21"/>
      <c r="K505" s="42"/>
      <c r="L505" s="23"/>
      <c r="M505" s="23"/>
      <c r="N505" s="23"/>
      <c r="O505" s="23"/>
      <c r="Q505" s="78">
        <v>72</v>
      </c>
      <c r="R505" s="62">
        <f>C500+S505</f>
        <v>72</v>
      </c>
      <c r="S505" s="20">
        <v>-6</v>
      </c>
      <c r="T505" s="21"/>
      <c r="U505" s="57">
        <v>72</v>
      </c>
      <c r="V505" s="23">
        <f t="shared" ref="V505:V530" si="66">V504-Q505+U505</f>
        <v>73</v>
      </c>
      <c r="W505" s="23">
        <f t="shared" ref="W505:W530" si="67">W504-Q505+R505</f>
        <v>73</v>
      </c>
      <c r="X505" s="23"/>
      <c r="Y505" s="23">
        <v>12</v>
      </c>
      <c r="AA505" s="267"/>
      <c r="AB505" s="196"/>
      <c r="AC505" s="197"/>
      <c r="AD505" s="198"/>
      <c r="AE505" s="199"/>
      <c r="AF505" s="200"/>
      <c r="AG505" s="200"/>
      <c r="AH505" s="200"/>
      <c r="AI505" s="200"/>
      <c r="AJ505" s="201"/>
    </row>
    <row r="506" spans="1:36" hidden="1" outlineLevel="1">
      <c r="A506" s="96">
        <v>45602</v>
      </c>
      <c r="B506" s="17" t="s">
        <v>20</v>
      </c>
      <c r="C506" s="18">
        <v>54</v>
      </c>
      <c r="D506" s="23">
        <v>54</v>
      </c>
      <c r="E506" s="23">
        <f t="shared" si="65"/>
        <v>37</v>
      </c>
      <c r="G506" s="19"/>
      <c r="H506" s="62"/>
      <c r="I506" s="20"/>
      <c r="J506" s="21"/>
      <c r="K506" s="42"/>
      <c r="L506" s="23"/>
      <c r="M506" s="23"/>
      <c r="N506" s="23"/>
      <c r="O506" s="23"/>
      <c r="Q506" s="78">
        <v>69</v>
      </c>
      <c r="R506" s="62">
        <f>C501</f>
        <v>78</v>
      </c>
      <c r="S506" s="20"/>
      <c r="T506" s="21"/>
      <c r="U506" s="57">
        <v>78</v>
      </c>
      <c r="V506" s="23">
        <f t="shared" si="66"/>
        <v>82</v>
      </c>
      <c r="W506" s="23">
        <f t="shared" si="67"/>
        <v>82</v>
      </c>
      <c r="X506" s="23"/>
      <c r="Y506" s="23">
        <v>24</v>
      </c>
      <c r="AA506" s="267"/>
      <c r="AB506" s="196"/>
      <c r="AC506" s="197"/>
      <c r="AD506" s="198"/>
      <c r="AE506" s="199"/>
      <c r="AF506" s="200"/>
      <c r="AG506" s="200"/>
      <c r="AH506" s="200"/>
      <c r="AI506" s="200"/>
      <c r="AJ506" s="201"/>
    </row>
    <row r="507" spans="1:36" hidden="1" outlineLevel="1">
      <c r="A507" s="96">
        <v>45603</v>
      </c>
      <c r="B507" s="17" t="s">
        <v>14</v>
      </c>
      <c r="C507" s="18">
        <v>54</v>
      </c>
      <c r="D507" s="23">
        <v>54</v>
      </c>
      <c r="E507" s="23">
        <f t="shared" si="65"/>
        <v>37</v>
      </c>
      <c r="G507" s="19"/>
      <c r="H507" s="62"/>
      <c r="I507" s="20"/>
      <c r="J507" s="21"/>
      <c r="K507" s="42"/>
      <c r="L507" s="23"/>
      <c r="M507" s="23"/>
      <c r="N507" s="23"/>
      <c r="O507" s="23"/>
      <c r="Q507" s="78">
        <v>69</v>
      </c>
      <c r="R507" s="62">
        <f>C505+S507</f>
        <v>54</v>
      </c>
      <c r="S507" s="20"/>
      <c r="T507" s="21"/>
      <c r="U507" s="57">
        <v>54</v>
      </c>
      <c r="V507" s="23">
        <f t="shared" si="66"/>
        <v>67</v>
      </c>
      <c r="W507" s="23">
        <f t="shared" si="67"/>
        <v>67</v>
      </c>
      <c r="X507" s="23"/>
      <c r="Y507" s="23">
        <v>12</v>
      </c>
      <c r="AA507" s="267"/>
      <c r="AB507" s="196"/>
      <c r="AC507" s="197"/>
      <c r="AD507" s="198"/>
      <c r="AE507" s="199"/>
      <c r="AF507" s="200"/>
      <c r="AG507" s="200"/>
      <c r="AH507" s="200"/>
      <c r="AI507" s="200"/>
      <c r="AJ507" s="201"/>
    </row>
    <row r="508" spans="1:36" hidden="1" outlineLevel="1">
      <c r="A508" s="96">
        <v>45604</v>
      </c>
      <c r="B508" s="17" t="s">
        <v>15</v>
      </c>
      <c r="C508" s="18">
        <v>54</v>
      </c>
      <c r="D508" s="23">
        <v>54</v>
      </c>
      <c r="E508" s="23">
        <f t="shared" si="65"/>
        <v>37</v>
      </c>
      <c r="G508" s="19"/>
      <c r="H508" s="62"/>
      <c r="I508" s="20"/>
      <c r="J508" s="21"/>
      <c r="K508" s="42"/>
      <c r="L508" s="23"/>
      <c r="M508" s="23"/>
      <c r="N508" s="23"/>
      <c r="O508" s="23"/>
      <c r="Q508" s="78">
        <v>72</v>
      </c>
      <c r="R508" s="62">
        <f>C506+S508</f>
        <v>54</v>
      </c>
      <c r="S508" s="20"/>
      <c r="T508" s="21"/>
      <c r="U508" s="57">
        <v>54</v>
      </c>
      <c r="V508" s="23">
        <f t="shared" si="66"/>
        <v>49</v>
      </c>
      <c r="W508" s="23">
        <f t="shared" si="67"/>
        <v>49</v>
      </c>
      <c r="X508" s="23"/>
      <c r="Y508" s="23">
        <v>0</v>
      </c>
      <c r="Z508" s="1">
        <f>AVERAGE(Q505:Q508)</f>
        <v>70.5</v>
      </c>
      <c r="AA508" s="267"/>
      <c r="AB508" s="196"/>
      <c r="AC508" s="197"/>
      <c r="AD508" s="198"/>
      <c r="AE508" s="199"/>
      <c r="AF508" s="200"/>
      <c r="AG508" s="200"/>
      <c r="AH508" s="200"/>
      <c r="AI508" s="200"/>
      <c r="AJ508" s="201"/>
    </row>
    <row r="509" spans="1:36" s="12" customFormat="1" hidden="1" outlineLevel="1">
      <c r="A509" s="95">
        <v>45605</v>
      </c>
      <c r="B509" s="25" t="s">
        <v>16</v>
      </c>
      <c r="C509" s="26"/>
      <c r="D509" s="29"/>
      <c r="E509" s="29">
        <f t="shared" si="65"/>
        <v>37</v>
      </c>
      <c r="G509" s="64"/>
      <c r="H509" s="63"/>
      <c r="I509" s="27"/>
      <c r="J509" s="28"/>
      <c r="K509" s="43"/>
      <c r="L509" s="29"/>
      <c r="M509" s="29"/>
      <c r="N509" s="29"/>
      <c r="O509" s="29"/>
      <c r="Q509" s="64"/>
      <c r="R509" s="63"/>
      <c r="S509" s="27"/>
      <c r="T509" s="28"/>
      <c r="U509" s="43"/>
      <c r="V509" s="29">
        <f t="shared" si="66"/>
        <v>49</v>
      </c>
      <c r="W509" s="29">
        <f t="shared" si="67"/>
        <v>49</v>
      </c>
      <c r="X509" s="29"/>
      <c r="Y509" s="29"/>
      <c r="AA509" s="267"/>
      <c r="AB509" s="196"/>
      <c r="AC509" s="197"/>
      <c r="AD509" s="198"/>
      <c r="AE509" s="199"/>
      <c r="AF509" s="200"/>
      <c r="AG509" s="200"/>
      <c r="AH509" s="200"/>
      <c r="AI509" s="200"/>
      <c r="AJ509" s="201"/>
    </row>
    <row r="510" spans="1:36" s="12" customFormat="1" hidden="1" outlineLevel="1" collapsed="1">
      <c r="A510" s="95">
        <v>45606</v>
      </c>
      <c r="B510" s="25" t="s">
        <v>17</v>
      </c>
      <c r="C510" s="26"/>
      <c r="D510" s="29"/>
      <c r="E510" s="29">
        <f t="shared" si="65"/>
        <v>37</v>
      </c>
      <c r="G510" s="64"/>
      <c r="H510" s="63"/>
      <c r="I510" s="27"/>
      <c r="J510" s="28"/>
      <c r="K510" s="43"/>
      <c r="L510" s="29"/>
      <c r="M510" s="29"/>
      <c r="N510" s="29"/>
      <c r="O510" s="29"/>
      <c r="Q510" s="64"/>
      <c r="R510" s="63"/>
      <c r="S510" s="27"/>
      <c r="T510" s="28"/>
      <c r="U510" s="43"/>
      <c r="V510" s="29">
        <f t="shared" si="66"/>
        <v>49</v>
      </c>
      <c r="W510" s="29">
        <f t="shared" si="67"/>
        <v>49</v>
      </c>
      <c r="X510" s="29"/>
      <c r="Y510" s="29"/>
      <c r="AA510" s="267"/>
      <c r="AB510" s="196"/>
      <c r="AC510" s="197"/>
      <c r="AD510" s="198"/>
      <c r="AE510" s="199"/>
      <c r="AF510" s="200"/>
      <c r="AG510" s="200"/>
      <c r="AH510" s="200"/>
      <c r="AI510" s="200"/>
      <c r="AJ510" s="201"/>
    </row>
    <row r="511" spans="1:36" hidden="1" outlineLevel="1">
      <c r="A511" s="96">
        <v>45607</v>
      </c>
      <c r="B511" s="17" t="s">
        <v>18</v>
      </c>
      <c r="C511" s="18">
        <v>66</v>
      </c>
      <c r="D511" s="23">
        <v>69</v>
      </c>
      <c r="E511" s="23">
        <f t="shared" si="65"/>
        <v>40</v>
      </c>
      <c r="G511" s="19"/>
      <c r="H511" s="62"/>
      <c r="I511" s="20"/>
      <c r="J511" s="21"/>
      <c r="K511" s="42"/>
      <c r="L511" s="23"/>
      <c r="M511" s="23"/>
      <c r="N511" s="23"/>
      <c r="O511" s="23"/>
      <c r="Q511" s="78">
        <v>69</v>
      </c>
      <c r="R511" s="62">
        <f>C507</f>
        <v>54</v>
      </c>
      <c r="S511" s="20"/>
      <c r="T511" s="21"/>
      <c r="U511" s="57">
        <v>54</v>
      </c>
      <c r="V511" s="23">
        <f t="shared" si="66"/>
        <v>34</v>
      </c>
      <c r="W511" s="23">
        <f t="shared" si="67"/>
        <v>34</v>
      </c>
      <c r="X511" s="23"/>
      <c r="Y511" s="23">
        <v>12</v>
      </c>
      <c r="AA511" s="267"/>
      <c r="AB511" s="196"/>
      <c r="AC511" s="197"/>
      <c r="AD511" s="198"/>
      <c r="AE511" s="199"/>
      <c r="AF511" s="200"/>
      <c r="AG511" s="200"/>
      <c r="AH511" s="200"/>
      <c r="AI511" s="200"/>
      <c r="AJ511" s="201"/>
    </row>
    <row r="512" spans="1:36" hidden="1" outlineLevel="1">
      <c r="A512" s="96">
        <v>45608</v>
      </c>
      <c r="B512" s="17" t="s">
        <v>19</v>
      </c>
      <c r="C512" s="18">
        <v>66</v>
      </c>
      <c r="D512" s="23">
        <v>60</v>
      </c>
      <c r="E512" s="23">
        <f t="shared" si="65"/>
        <v>34</v>
      </c>
      <c r="G512" s="19"/>
      <c r="H512" s="62"/>
      <c r="I512" s="20"/>
      <c r="J512" s="21"/>
      <c r="K512" s="42"/>
      <c r="L512" s="23"/>
      <c r="M512" s="23"/>
      <c r="N512" s="23"/>
      <c r="O512" s="23"/>
      <c r="Q512" s="78">
        <v>72</v>
      </c>
      <c r="R512" s="62">
        <f>C508</f>
        <v>54</v>
      </c>
      <c r="S512" s="20"/>
      <c r="T512" s="21"/>
      <c r="U512" s="57">
        <v>54</v>
      </c>
      <c r="V512" s="23">
        <f t="shared" si="66"/>
        <v>16</v>
      </c>
      <c r="W512" s="23">
        <f t="shared" si="67"/>
        <v>16</v>
      </c>
      <c r="X512" s="23"/>
      <c r="Y512" s="23">
        <v>10</v>
      </c>
      <c r="AA512" s="267"/>
      <c r="AB512" s="196"/>
      <c r="AC512" s="197"/>
      <c r="AD512" s="198"/>
      <c r="AE512" s="199"/>
      <c r="AF512" s="200"/>
      <c r="AG512" s="200"/>
      <c r="AH512" s="200"/>
      <c r="AI512" s="200"/>
      <c r="AJ512" s="201"/>
    </row>
    <row r="513" spans="1:40" hidden="1" outlineLevel="1">
      <c r="A513" s="96">
        <v>45609</v>
      </c>
      <c r="B513" s="17" t="s">
        <v>20</v>
      </c>
      <c r="C513" s="18">
        <v>66</v>
      </c>
      <c r="D513" s="23">
        <v>69</v>
      </c>
      <c r="E513" s="23">
        <f t="shared" si="65"/>
        <v>37</v>
      </c>
      <c r="G513" s="19"/>
      <c r="H513" s="62"/>
      <c r="I513" s="20"/>
      <c r="J513" s="21"/>
      <c r="K513" s="42"/>
      <c r="L513" s="23"/>
      <c r="M513" s="23"/>
      <c r="N513" s="23"/>
      <c r="O513" s="23"/>
      <c r="Q513" s="78">
        <v>69</v>
      </c>
      <c r="R513" s="62">
        <f>C511+S513</f>
        <v>66</v>
      </c>
      <c r="S513" s="20"/>
      <c r="T513" s="21"/>
      <c r="U513" s="57">
        <v>66</v>
      </c>
      <c r="V513" s="23">
        <f t="shared" si="66"/>
        <v>13</v>
      </c>
      <c r="W513" s="23">
        <f t="shared" si="67"/>
        <v>13</v>
      </c>
      <c r="X513" s="23"/>
      <c r="Y513" s="23">
        <v>12</v>
      </c>
      <c r="AA513" s="267"/>
      <c r="AB513" s="196"/>
      <c r="AC513" s="197"/>
      <c r="AD513" s="198"/>
      <c r="AE513" s="199"/>
      <c r="AF513" s="200"/>
      <c r="AG513" s="200"/>
      <c r="AH513" s="200"/>
      <c r="AI513" s="200"/>
      <c r="AJ513" s="201"/>
      <c r="AL513" s="1">
        <f>AN513*6</f>
        <v>66</v>
      </c>
      <c r="AN513" s="1">
        <v>11</v>
      </c>
    </row>
    <row r="514" spans="1:40" hidden="1" outlineLevel="1">
      <c r="A514" s="96">
        <v>45610</v>
      </c>
      <c r="B514" s="17" t="s">
        <v>14</v>
      </c>
      <c r="C514" s="272">
        <v>66</v>
      </c>
      <c r="D514" s="23">
        <v>66</v>
      </c>
      <c r="E514" s="23">
        <f t="shared" si="65"/>
        <v>37</v>
      </c>
      <c r="G514" s="19"/>
      <c r="H514" s="62"/>
      <c r="I514" s="20"/>
      <c r="J514" s="21"/>
      <c r="K514" s="42"/>
      <c r="L514" s="23"/>
      <c r="M514" s="23"/>
      <c r="N514" s="23"/>
      <c r="O514" s="23"/>
      <c r="Q514" s="78">
        <v>69</v>
      </c>
      <c r="R514" s="62">
        <f>C512+S514</f>
        <v>66</v>
      </c>
      <c r="S514" s="20"/>
      <c r="T514" s="21"/>
      <c r="U514" s="57">
        <v>66</v>
      </c>
      <c r="V514" s="23">
        <f t="shared" si="66"/>
        <v>10</v>
      </c>
      <c r="W514" s="23">
        <f t="shared" si="67"/>
        <v>10</v>
      </c>
      <c r="X514" s="23"/>
      <c r="Y514" s="23">
        <v>0</v>
      </c>
      <c r="AA514" s="267"/>
      <c r="AB514" s="196"/>
      <c r="AC514" s="197"/>
      <c r="AD514" s="198"/>
      <c r="AE514" s="199"/>
      <c r="AF514" s="200">
        <f t="shared" ref="AF514:AF519" si="68">AF513-AA514+AE514</f>
        <v>0</v>
      </c>
      <c r="AG514" s="200">
        <v>0</v>
      </c>
      <c r="AH514" s="200"/>
      <c r="AI514" s="200"/>
      <c r="AJ514" s="201"/>
      <c r="AL514" s="1">
        <v>57</v>
      </c>
    </row>
    <row r="515" spans="1:40" hidden="1" outlineLevel="1">
      <c r="A515" s="96">
        <v>45611</v>
      </c>
      <c r="B515" s="17" t="s">
        <v>15</v>
      </c>
      <c r="C515" s="18">
        <v>66</v>
      </c>
      <c r="D515" s="23">
        <v>72</v>
      </c>
      <c r="E515" s="23">
        <f t="shared" si="65"/>
        <v>43</v>
      </c>
      <c r="G515" s="19"/>
      <c r="H515" s="62"/>
      <c r="I515" s="20"/>
      <c r="J515" s="21"/>
      <c r="K515" s="42"/>
      <c r="L515" s="23"/>
      <c r="M515" s="23"/>
      <c r="N515" s="23"/>
      <c r="O515" s="23"/>
      <c r="Q515" s="78">
        <v>66</v>
      </c>
      <c r="R515" s="62">
        <f>C513+S515</f>
        <v>66</v>
      </c>
      <c r="S515" s="20"/>
      <c r="T515" s="21"/>
      <c r="U515" s="57">
        <v>66</v>
      </c>
      <c r="V515" s="23">
        <f t="shared" si="66"/>
        <v>10</v>
      </c>
      <c r="W515" s="23">
        <f t="shared" si="67"/>
        <v>10</v>
      </c>
      <c r="X515" s="23"/>
      <c r="Y515" s="23">
        <v>11</v>
      </c>
      <c r="Z515" s="1">
        <f>AVERAGE(Q511:Q515)</f>
        <v>69</v>
      </c>
      <c r="AA515" s="267"/>
      <c r="AB515" s="196"/>
      <c r="AC515" s="197"/>
      <c r="AD515" s="198"/>
      <c r="AE515" s="199"/>
      <c r="AF515" s="200">
        <f t="shared" si="68"/>
        <v>0</v>
      </c>
      <c r="AG515" s="200">
        <v>0</v>
      </c>
      <c r="AH515" s="200"/>
      <c r="AI515" s="200"/>
      <c r="AJ515" s="201"/>
      <c r="AL515" s="1">
        <v>66</v>
      </c>
    </row>
    <row r="516" spans="1:40" s="12" customFormat="1" hidden="1" outlineLevel="1">
      <c r="A516" s="95">
        <v>45612</v>
      </c>
      <c r="B516" s="25" t="s">
        <v>16</v>
      </c>
      <c r="C516" s="26"/>
      <c r="D516" s="29"/>
      <c r="E516" s="29">
        <f t="shared" si="65"/>
        <v>43</v>
      </c>
      <c r="G516" s="64"/>
      <c r="H516" s="63"/>
      <c r="I516" s="27"/>
      <c r="J516" s="28"/>
      <c r="K516" s="43"/>
      <c r="L516" s="29"/>
      <c r="M516" s="29"/>
      <c r="N516" s="29"/>
      <c r="O516" s="29"/>
      <c r="Q516" s="79"/>
      <c r="R516" s="63"/>
      <c r="S516" s="27"/>
      <c r="T516" s="28"/>
      <c r="U516" s="43"/>
      <c r="V516" s="29">
        <f t="shared" si="66"/>
        <v>10</v>
      </c>
      <c r="W516" s="29">
        <f t="shared" si="67"/>
        <v>10</v>
      </c>
      <c r="X516" s="29"/>
      <c r="Y516" s="29"/>
      <c r="AA516" s="185"/>
      <c r="AB516" s="186"/>
      <c r="AC516" s="187"/>
      <c r="AD516" s="188"/>
      <c r="AE516" s="189"/>
      <c r="AF516" s="184">
        <f t="shared" si="68"/>
        <v>0</v>
      </c>
      <c r="AG516" s="184">
        <v>0</v>
      </c>
      <c r="AH516" s="184"/>
      <c r="AI516" s="184"/>
      <c r="AJ516" s="190"/>
    </row>
    <row r="517" spans="1:40" s="12" customFormat="1" hidden="1" outlineLevel="1" collapsed="1">
      <c r="A517" s="95">
        <v>45613</v>
      </c>
      <c r="B517" s="25" t="s">
        <v>17</v>
      </c>
      <c r="C517" s="26"/>
      <c r="D517" s="29"/>
      <c r="E517" s="29">
        <f t="shared" si="65"/>
        <v>43</v>
      </c>
      <c r="G517" s="64"/>
      <c r="H517" s="63"/>
      <c r="I517" s="27"/>
      <c r="J517" s="28"/>
      <c r="K517" s="43"/>
      <c r="L517" s="29"/>
      <c r="M517" s="29"/>
      <c r="N517" s="29"/>
      <c r="O517" s="29"/>
      <c r="Q517" s="79"/>
      <c r="R517" s="63"/>
      <c r="S517" s="27"/>
      <c r="T517" s="28"/>
      <c r="U517" s="43"/>
      <c r="V517" s="29">
        <f t="shared" si="66"/>
        <v>10</v>
      </c>
      <c r="W517" s="29">
        <f t="shared" si="67"/>
        <v>10</v>
      </c>
      <c r="X517" s="29"/>
      <c r="Y517" s="29"/>
      <c r="AA517" s="185"/>
      <c r="AB517" s="186"/>
      <c r="AC517" s="187"/>
      <c r="AD517" s="188"/>
      <c r="AE517" s="189"/>
      <c r="AF517" s="184">
        <f t="shared" si="68"/>
        <v>0</v>
      </c>
      <c r="AG517" s="184">
        <v>0</v>
      </c>
      <c r="AH517" s="184"/>
      <c r="AI517" s="184"/>
      <c r="AJ517" s="190"/>
    </row>
    <row r="518" spans="1:40" hidden="1" outlineLevel="1">
      <c r="A518" s="96">
        <v>45614</v>
      </c>
      <c r="B518" s="17" t="s">
        <v>18</v>
      </c>
      <c r="C518" s="89">
        <v>69</v>
      </c>
      <c r="D518" s="23">
        <v>69</v>
      </c>
      <c r="E518" s="23">
        <f t="shared" si="65"/>
        <v>43</v>
      </c>
      <c r="G518" s="19"/>
      <c r="H518" s="62"/>
      <c r="I518" s="20"/>
      <c r="J518" s="21"/>
      <c r="K518" s="42"/>
      <c r="L518" s="23"/>
      <c r="M518" s="23"/>
      <c r="N518" s="23"/>
      <c r="O518" s="23"/>
      <c r="Q518" s="78">
        <v>69</v>
      </c>
      <c r="R518" s="62">
        <f>C514</f>
        <v>66</v>
      </c>
      <c r="S518" s="20"/>
      <c r="T518" s="21"/>
      <c r="U518" s="57">
        <v>66</v>
      </c>
      <c r="V518" s="23">
        <f t="shared" si="66"/>
        <v>7</v>
      </c>
      <c r="W518" s="23">
        <f t="shared" si="67"/>
        <v>7</v>
      </c>
      <c r="X518" s="23"/>
      <c r="Y518" s="23">
        <v>11</v>
      </c>
      <c r="AA518" s="185">
        <v>0</v>
      </c>
      <c r="AB518" s="186">
        <f>C514-R518</f>
        <v>0</v>
      </c>
      <c r="AC518" s="187"/>
      <c r="AD518" s="188"/>
      <c r="AE518" s="189"/>
      <c r="AF518" s="184">
        <f t="shared" si="68"/>
        <v>0</v>
      </c>
      <c r="AG518" s="184">
        <v>0</v>
      </c>
      <c r="AH518" s="184"/>
      <c r="AI518" s="184"/>
      <c r="AJ518" s="190"/>
      <c r="AL518" s="1">
        <v>69</v>
      </c>
      <c r="AM518" s="1">
        <f>SUM(AL513:AL518)</f>
        <v>258</v>
      </c>
    </row>
    <row r="519" spans="1:40" hidden="1" outlineLevel="1">
      <c r="A519" s="96">
        <v>45615</v>
      </c>
      <c r="B519" s="17" t="s">
        <v>19</v>
      </c>
      <c r="C519" s="89">
        <v>69</v>
      </c>
      <c r="D519" s="23">
        <v>68</v>
      </c>
      <c r="E519" s="23">
        <f t="shared" si="65"/>
        <v>42</v>
      </c>
      <c r="G519" s="19"/>
      <c r="H519" s="62"/>
      <c r="I519" s="20"/>
      <c r="J519" s="21"/>
      <c r="K519" s="42"/>
      <c r="L519" s="23"/>
      <c r="M519" s="23"/>
      <c r="N519" s="23"/>
      <c r="O519" s="23"/>
      <c r="Q519" s="78">
        <v>69</v>
      </c>
      <c r="R519" s="62">
        <f>C515</f>
        <v>66</v>
      </c>
      <c r="S519" s="20"/>
      <c r="T519" s="21"/>
      <c r="U519" s="57">
        <v>66</v>
      </c>
      <c r="V519" s="23">
        <f t="shared" si="66"/>
        <v>4</v>
      </c>
      <c r="W519" s="23">
        <f t="shared" si="67"/>
        <v>4</v>
      </c>
      <c r="X519" s="23"/>
      <c r="Y519" s="23">
        <v>23</v>
      </c>
      <c r="AA519" s="185">
        <v>0</v>
      </c>
      <c r="AB519" s="186">
        <f>C515-R519</f>
        <v>0</v>
      </c>
      <c r="AC519" s="187"/>
      <c r="AD519" s="188"/>
      <c r="AE519" s="189"/>
      <c r="AF519" s="184">
        <f t="shared" si="68"/>
        <v>0</v>
      </c>
      <c r="AG519" s="184">
        <v>0</v>
      </c>
      <c r="AH519" s="184"/>
      <c r="AI519" s="184"/>
      <c r="AJ519" s="190"/>
    </row>
    <row r="520" spans="1:40" hidden="1" outlineLevel="1">
      <c r="A520" s="96">
        <v>45616</v>
      </c>
      <c r="B520" s="17" t="s">
        <v>20</v>
      </c>
      <c r="C520" s="272">
        <v>72</v>
      </c>
      <c r="D520" s="23">
        <v>71</v>
      </c>
      <c r="E520" s="23">
        <f t="shared" si="65"/>
        <v>41</v>
      </c>
      <c r="G520" s="19"/>
      <c r="H520" s="62"/>
      <c r="I520" s="20"/>
      <c r="J520" s="21"/>
      <c r="K520" s="42"/>
      <c r="L520" s="23"/>
      <c r="M520" s="23"/>
      <c r="N520" s="23"/>
      <c r="O520" s="23"/>
      <c r="Q520" s="78">
        <v>52</v>
      </c>
      <c r="R520" s="62">
        <f>C518+S520</f>
        <v>72</v>
      </c>
      <c r="S520" s="20">
        <v>3</v>
      </c>
      <c r="T520" s="21"/>
      <c r="U520" s="57">
        <v>72</v>
      </c>
      <c r="V520" s="23">
        <f t="shared" si="66"/>
        <v>24</v>
      </c>
      <c r="W520" s="23">
        <f t="shared" si="67"/>
        <v>24</v>
      </c>
      <c r="X520" s="23"/>
      <c r="Y520" s="23">
        <v>9</v>
      </c>
      <c r="AA520" s="185">
        <v>0</v>
      </c>
      <c r="AB520" s="186">
        <f>C518-R520</f>
        <v>-3</v>
      </c>
      <c r="AC520" s="187"/>
      <c r="AD520" s="188"/>
      <c r="AE520" s="189"/>
      <c r="AF520" s="184">
        <f t="shared" ref="AF520:AF583" si="69">AF519-AA520+AE520</f>
        <v>0</v>
      </c>
      <c r="AG520" s="184">
        <v>0</v>
      </c>
      <c r="AH520" s="184"/>
      <c r="AI520" s="184"/>
      <c r="AJ520" s="190"/>
    </row>
    <row r="521" spans="1:40" hidden="1" outlineLevel="1">
      <c r="A521" s="96">
        <v>45617</v>
      </c>
      <c r="B521" s="17" t="s">
        <v>14</v>
      </c>
      <c r="C521" s="272">
        <v>72</v>
      </c>
      <c r="D521" s="23">
        <v>74</v>
      </c>
      <c r="E521" s="23">
        <f t="shared" si="65"/>
        <v>43</v>
      </c>
      <c r="G521" s="19"/>
      <c r="H521" s="62"/>
      <c r="I521" s="20"/>
      <c r="J521" s="21"/>
      <c r="K521" s="42"/>
      <c r="L521" s="23"/>
      <c r="M521" s="23"/>
      <c r="N521" s="23"/>
      <c r="O521" s="23"/>
      <c r="Q521" s="78">
        <v>0</v>
      </c>
      <c r="R521" s="62">
        <f>C519+S521</f>
        <v>72</v>
      </c>
      <c r="S521" s="20">
        <v>3</v>
      </c>
      <c r="T521" s="21"/>
      <c r="U521" s="57">
        <v>72</v>
      </c>
      <c r="V521" s="23">
        <f t="shared" si="66"/>
        <v>96</v>
      </c>
      <c r="W521" s="23">
        <f t="shared" si="67"/>
        <v>96</v>
      </c>
      <c r="X521" s="23"/>
      <c r="Y521" s="23">
        <v>11</v>
      </c>
      <c r="AA521" s="185">
        <v>0</v>
      </c>
      <c r="AB521" s="186">
        <f>C519-R521</f>
        <v>-3</v>
      </c>
      <c r="AC521" s="187"/>
      <c r="AD521" s="188"/>
      <c r="AE521" s="189"/>
      <c r="AF521" s="184">
        <f t="shared" si="69"/>
        <v>0</v>
      </c>
      <c r="AG521" s="184">
        <v>0</v>
      </c>
      <c r="AH521" s="184"/>
      <c r="AI521" s="184"/>
      <c r="AJ521" s="190"/>
    </row>
    <row r="522" spans="1:40" hidden="1" outlineLevel="1">
      <c r="A522" s="96">
        <v>45618</v>
      </c>
      <c r="B522" s="17" t="s">
        <v>15</v>
      </c>
      <c r="C522" s="272">
        <v>72</v>
      </c>
      <c r="D522" s="23">
        <v>72</v>
      </c>
      <c r="E522" s="23">
        <f t="shared" si="65"/>
        <v>43</v>
      </c>
      <c r="G522" s="19"/>
      <c r="H522" s="62"/>
      <c r="I522" s="20"/>
      <c r="J522" s="21"/>
      <c r="K522" s="42"/>
      <c r="L522" s="23"/>
      <c r="M522" s="23"/>
      <c r="N522" s="23"/>
      <c r="O522" s="23"/>
      <c r="Q522" s="78">
        <v>1</v>
      </c>
      <c r="R522" s="62">
        <f>C520+S522</f>
        <v>73</v>
      </c>
      <c r="S522" s="20">
        <v>1</v>
      </c>
      <c r="T522" s="21"/>
      <c r="U522" s="57">
        <v>73</v>
      </c>
      <c r="V522" s="23">
        <f t="shared" si="66"/>
        <v>168</v>
      </c>
      <c r="W522" s="23">
        <f t="shared" si="67"/>
        <v>168</v>
      </c>
      <c r="X522" s="23"/>
      <c r="Y522" s="23">
        <v>11</v>
      </c>
      <c r="Z522" s="1">
        <f>AVERAGE(Q518:Q522)</f>
        <v>38.200000000000003</v>
      </c>
      <c r="AA522" s="185">
        <v>0</v>
      </c>
      <c r="AB522" s="186">
        <f>C520-R522+AC522</f>
        <v>-1</v>
      </c>
      <c r="AC522" s="187">
        <v>0</v>
      </c>
      <c r="AD522" s="188"/>
      <c r="AE522" s="189"/>
      <c r="AF522" s="184">
        <f t="shared" si="69"/>
        <v>0</v>
      </c>
      <c r="AG522" s="184">
        <v>0</v>
      </c>
      <c r="AH522" s="184"/>
      <c r="AI522" s="184"/>
      <c r="AJ522" s="190"/>
      <c r="AK522" s="1">
        <f>AVERAGE(Q518:Q522)</f>
        <v>38.200000000000003</v>
      </c>
    </row>
    <row r="523" spans="1:40" s="12" customFormat="1" hidden="1" outlineLevel="1">
      <c r="A523" s="95">
        <v>45619</v>
      </c>
      <c r="B523" s="25" t="s">
        <v>16</v>
      </c>
      <c r="C523" s="26"/>
      <c r="D523" s="29"/>
      <c r="E523" s="29">
        <f t="shared" si="65"/>
        <v>43</v>
      </c>
      <c r="G523" s="64"/>
      <c r="H523" s="63"/>
      <c r="I523" s="27"/>
      <c r="J523" s="28"/>
      <c r="K523" s="43"/>
      <c r="L523" s="29"/>
      <c r="M523" s="29"/>
      <c r="N523" s="29"/>
      <c r="O523" s="29"/>
      <c r="Q523" s="64"/>
      <c r="R523" s="63"/>
      <c r="S523" s="27"/>
      <c r="T523" s="28"/>
      <c r="U523" s="43"/>
      <c r="V523" s="29">
        <f t="shared" si="66"/>
        <v>168</v>
      </c>
      <c r="W523" s="29">
        <f t="shared" si="67"/>
        <v>168</v>
      </c>
      <c r="X523" s="29"/>
      <c r="Y523" s="29"/>
      <c r="AA523" s="185"/>
      <c r="AB523" s="186"/>
      <c r="AC523" s="187"/>
      <c r="AD523" s="188"/>
      <c r="AE523" s="189"/>
      <c r="AF523" s="184">
        <f t="shared" si="69"/>
        <v>0</v>
      </c>
      <c r="AG523" s="184">
        <v>0</v>
      </c>
      <c r="AH523" s="184"/>
      <c r="AI523" s="184"/>
      <c r="AJ523" s="190"/>
    </row>
    <row r="524" spans="1:40" s="12" customFormat="1" hidden="1" outlineLevel="1" collapsed="1">
      <c r="A524" s="95">
        <v>45620</v>
      </c>
      <c r="B524" s="25" t="s">
        <v>17</v>
      </c>
      <c r="C524" s="26"/>
      <c r="D524" s="29"/>
      <c r="E524" s="29">
        <f t="shared" si="65"/>
        <v>43</v>
      </c>
      <c r="G524" s="64"/>
      <c r="H524" s="63"/>
      <c r="I524" s="27"/>
      <c r="J524" s="28"/>
      <c r="K524" s="43"/>
      <c r="L524" s="29"/>
      <c r="M524" s="29"/>
      <c r="N524" s="29"/>
      <c r="O524" s="29"/>
      <c r="Q524" s="64"/>
      <c r="R524" s="63"/>
      <c r="S524" s="27"/>
      <c r="T524" s="28"/>
      <c r="U524" s="43"/>
      <c r="V524" s="29">
        <f t="shared" si="66"/>
        <v>168</v>
      </c>
      <c r="W524" s="29">
        <f t="shared" si="67"/>
        <v>168</v>
      </c>
      <c r="X524" s="29"/>
      <c r="Y524" s="29"/>
      <c r="AA524" s="185"/>
      <c r="AB524" s="186"/>
      <c r="AC524" s="187"/>
      <c r="AD524" s="188"/>
      <c r="AE524" s="189"/>
      <c r="AF524" s="184">
        <f t="shared" si="69"/>
        <v>0</v>
      </c>
      <c r="AG524" s="184">
        <v>0</v>
      </c>
      <c r="AH524" s="184"/>
      <c r="AI524" s="184"/>
      <c r="AJ524" s="190"/>
    </row>
    <row r="525" spans="1:40" hidden="1" outlineLevel="1">
      <c r="A525" s="96">
        <v>45621</v>
      </c>
      <c r="B525" s="17" t="s">
        <v>18</v>
      </c>
      <c r="C525" s="272">
        <v>72</v>
      </c>
      <c r="D525" s="23">
        <v>60</v>
      </c>
      <c r="E525" s="23">
        <f t="shared" si="65"/>
        <v>31</v>
      </c>
      <c r="G525" s="19"/>
      <c r="H525" s="62"/>
      <c r="I525" s="20"/>
      <c r="J525" s="21"/>
      <c r="K525" s="42"/>
      <c r="L525" s="23"/>
      <c r="M525" s="23"/>
      <c r="N525" s="23"/>
      <c r="O525" s="23"/>
      <c r="Q525" s="78">
        <f>66+90+18</f>
        <v>174</v>
      </c>
      <c r="R525" s="62">
        <f>C521</f>
        <v>72</v>
      </c>
      <c r="S525" s="20"/>
      <c r="T525" s="21"/>
      <c r="U525" s="57">
        <v>72</v>
      </c>
      <c r="V525" s="23">
        <f t="shared" si="66"/>
        <v>66</v>
      </c>
      <c r="W525" s="23">
        <f t="shared" si="67"/>
        <v>66</v>
      </c>
      <c r="X525" s="23"/>
      <c r="Y525" s="23">
        <v>1</v>
      </c>
      <c r="AA525" s="185">
        <v>0</v>
      </c>
      <c r="AB525" s="186">
        <f>C521-R525+AC525</f>
        <v>0</v>
      </c>
      <c r="AC525" s="187">
        <v>0</v>
      </c>
      <c r="AD525" s="188"/>
      <c r="AE525" s="189"/>
      <c r="AF525" s="184">
        <f t="shared" si="69"/>
        <v>0</v>
      </c>
      <c r="AG525" s="184">
        <v>0</v>
      </c>
      <c r="AH525" s="184"/>
      <c r="AI525" s="184"/>
      <c r="AJ525" s="190"/>
    </row>
    <row r="526" spans="1:40" hidden="1" outlineLevel="1">
      <c r="A526" s="264">
        <v>45622</v>
      </c>
      <c r="B526" s="265" t="s">
        <v>19</v>
      </c>
      <c r="C526" s="271">
        <v>0</v>
      </c>
      <c r="D526" s="263">
        <v>66</v>
      </c>
      <c r="E526" s="263">
        <f t="shared" si="65"/>
        <v>97</v>
      </c>
      <c r="F526" s="266"/>
      <c r="G526" s="19"/>
      <c r="H526" s="62"/>
      <c r="I526" s="20"/>
      <c r="J526" s="21"/>
      <c r="K526" s="42"/>
      <c r="L526" s="23"/>
      <c r="M526" s="23"/>
      <c r="N526" s="23"/>
      <c r="O526" s="23"/>
      <c r="Q526" s="78">
        <f>87+66</f>
        <v>153</v>
      </c>
      <c r="R526" s="62">
        <f>C522</f>
        <v>72</v>
      </c>
      <c r="S526" s="20"/>
      <c r="T526" s="21"/>
      <c r="U526" s="57">
        <v>72</v>
      </c>
      <c r="V526" s="23">
        <f t="shared" si="66"/>
        <v>-15</v>
      </c>
      <c r="W526" s="23">
        <f t="shared" si="67"/>
        <v>-15</v>
      </c>
      <c r="X526" s="23"/>
      <c r="Y526" s="23">
        <v>11</v>
      </c>
      <c r="AA526" s="185">
        <v>0</v>
      </c>
      <c r="AB526" s="186">
        <f>C522-R526+AC526</f>
        <v>0</v>
      </c>
      <c r="AC526" s="187">
        <v>0</v>
      </c>
      <c r="AD526" s="188"/>
      <c r="AE526" s="189"/>
      <c r="AF526" s="184">
        <f t="shared" si="69"/>
        <v>0</v>
      </c>
      <c r="AG526" s="184">
        <v>0</v>
      </c>
      <c r="AH526" s="184"/>
      <c r="AI526" s="184"/>
      <c r="AJ526" s="190"/>
    </row>
    <row r="527" spans="1:40" hidden="1" outlineLevel="1">
      <c r="A527" s="264">
        <v>45623</v>
      </c>
      <c r="B527" s="265" t="s">
        <v>20</v>
      </c>
      <c r="C527" s="271">
        <v>0</v>
      </c>
      <c r="D527" s="263">
        <v>66</v>
      </c>
      <c r="E527" s="263">
        <f t="shared" si="65"/>
        <v>163</v>
      </c>
      <c r="F527" s="266"/>
      <c r="G527" s="19"/>
      <c r="H527" s="62"/>
      <c r="I527" s="20"/>
      <c r="J527" s="21"/>
      <c r="K527" s="42"/>
      <c r="L527" s="23"/>
      <c r="M527" s="23"/>
      <c r="N527" s="23"/>
      <c r="O527" s="23"/>
      <c r="Q527" s="78">
        <v>72</v>
      </c>
      <c r="R527" s="62">
        <f>C525</f>
        <v>72</v>
      </c>
      <c r="S527" s="20"/>
      <c r="T527" s="21"/>
      <c r="U527" s="57">
        <v>72</v>
      </c>
      <c r="V527" s="23">
        <f t="shared" si="66"/>
        <v>-15</v>
      </c>
      <c r="W527" s="23">
        <f t="shared" si="67"/>
        <v>-15</v>
      </c>
      <c r="X527" s="23"/>
      <c r="Y527" s="23">
        <v>10</v>
      </c>
      <c r="AA527" s="185">
        <v>0</v>
      </c>
      <c r="AB527" s="186">
        <f>C525-R527</f>
        <v>0</v>
      </c>
      <c r="AC527" s="187"/>
      <c r="AD527" s="188"/>
      <c r="AE527" s="189"/>
      <c r="AF527" s="184">
        <f t="shared" si="69"/>
        <v>0</v>
      </c>
      <c r="AG527" s="184">
        <v>0</v>
      </c>
      <c r="AH527" s="184"/>
      <c r="AI527" s="184"/>
      <c r="AJ527" s="190"/>
    </row>
    <row r="528" spans="1:40" hidden="1" outlineLevel="1">
      <c r="A528" s="96">
        <v>45624</v>
      </c>
      <c r="B528" s="17" t="s">
        <v>14</v>
      </c>
      <c r="C528" s="272">
        <v>72</v>
      </c>
      <c r="D528" s="23"/>
      <c r="E528" s="23">
        <f t="shared" si="65"/>
        <v>91</v>
      </c>
      <c r="G528" s="19"/>
      <c r="H528" s="62"/>
      <c r="I528" s="20"/>
      <c r="J528" s="21"/>
      <c r="K528" s="42"/>
      <c r="L528" s="23"/>
      <c r="M528" s="23"/>
      <c r="N528" s="23"/>
      <c r="O528" s="23"/>
      <c r="Q528" s="273"/>
      <c r="R528" s="259">
        <f>C526+S528</f>
        <v>0</v>
      </c>
      <c r="S528" s="260"/>
      <c r="T528" s="261"/>
      <c r="U528" s="262"/>
      <c r="V528" s="263">
        <f t="shared" si="66"/>
        <v>-15</v>
      </c>
      <c r="W528" s="263">
        <f t="shared" si="67"/>
        <v>-15</v>
      </c>
      <c r="X528" s="263"/>
      <c r="Y528" s="263">
        <v>13</v>
      </c>
      <c r="AA528" s="185"/>
      <c r="AB528" s="186">
        <f>C526-R528</f>
        <v>0</v>
      </c>
      <c r="AC528" s="187"/>
      <c r="AD528" s="188"/>
      <c r="AE528" s="189"/>
      <c r="AF528" s="184">
        <f t="shared" si="69"/>
        <v>0</v>
      </c>
      <c r="AG528" s="184">
        <v>0</v>
      </c>
      <c r="AH528" s="184"/>
      <c r="AI528" s="184"/>
      <c r="AJ528" s="190"/>
    </row>
    <row r="529" spans="1:37" hidden="1" outlineLevel="1">
      <c r="A529" s="96">
        <v>45625</v>
      </c>
      <c r="B529" s="17" t="s">
        <v>15</v>
      </c>
      <c r="C529" s="272">
        <v>72</v>
      </c>
      <c r="D529" s="23"/>
      <c r="E529" s="23">
        <f t="shared" si="65"/>
        <v>19</v>
      </c>
      <c r="G529" s="19"/>
      <c r="H529" s="62"/>
      <c r="I529" s="20"/>
      <c r="J529" s="21"/>
      <c r="K529" s="42"/>
      <c r="L529" s="23"/>
      <c r="M529" s="23"/>
      <c r="N529" s="23"/>
      <c r="O529" s="23"/>
      <c r="Q529" s="273"/>
      <c r="R529" s="259">
        <f>C527+S529</f>
        <v>0</v>
      </c>
      <c r="S529" s="260"/>
      <c r="T529" s="261"/>
      <c r="U529" s="262"/>
      <c r="V529" s="263">
        <f t="shared" si="66"/>
        <v>-15</v>
      </c>
      <c r="W529" s="263">
        <f t="shared" si="67"/>
        <v>-15</v>
      </c>
      <c r="X529" s="263"/>
      <c r="Y529" s="263">
        <v>0</v>
      </c>
      <c r="AA529" s="185"/>
      <c r="AB529" s="186">
        <f>C527-R529</f>
        <v>0</v>
      </c>
      <c r="AC529" s="187"/>
      <c r="AD529" s="188"/>
      <c r="AE529" s="189"/>
      <c r="AF529" s="184">
        <f t="shared" si="69"/>
        <v>0</v>
      </c>
      <c r="AG529" s="184">
        <v>0</v>
      </c>
      <c r="AH529" s="184"/>
      <c r="AI529" s="184"/>
      <c r="AJ529" s="190"/>
      <c r="AK529" s="1">
        <f>AVERAGE(Q525:Q529)</f>
        <v>133</v>
      </c>
    </row>
    <row r="530" spans="1:37" s="12" customFormat="1" hidden="1" outlineLevel="1">
      <c r="A530" s="95">
        <v>45626</v>
      </c>
      <c r="B530" s="25" t="s">
        <v>16</v>
      </c>
      <c r="C530" s="26"/>
      <c r="D530" s="29"/>
      <c r="E530" s="29">
        <f t="shared" si="65"/>
        <v>19</v>
      </c>
      <c r="G530" s="64"/>
      <c r="H530" s="63"/>
      <c r="I530" s="27"/>
      <c r="J530" s="28"/>
      <c r="K530" s="43"/>
      <c r="L530" s="29"/>
      <c r="M530" s="29"/>
      <c r="N530" s="29"/>
      <c r="O530" s="29"/>
      <c r="Q530" s="79"/>
      <c r="R530" s="63"/>
      <c r="S530" s="27"/>
      <c r="T530" s="28"/>
      <c r="U530" s="43"/>
      <c r="V530" s="29">
        <f t="shared" si="66"/>
        <v>-15</v>
      </c>
      <c r="W530" s="29">
        <f t="shared" si="67"/>
        <v>-15</v>
      </c>
      <c r="X530" s="29"/>
      <c r="Y530" s="29"/>
      <c r="AA530" s="185"/>
      <c r="AB530" s="186"/>
      <c r="AC530" s="187"/>
      <c r="AD530" s="188"/>
      <c r="AE530" s="189"/>
      <c r="AF530" s="184">
        <f t="shared" si="69"/>
        <v>0</v>
      </c>
      <c r="AG530" s="184">
        <v>0</v>
      </c>
      <c r="AH530" s="184"/>
      <c r="AI530" s="184"/>
      <c r="AJ530" s="190"/>
    </row>
    <row r="531" spans="1:37" s="12" customFormat="1" hidden="1" outlineLevel="1" collapsed="1">
      <c r="A531" s="95">
        <v>45627</v>
      </c>
      <c r="B531" s="25" t="s">
        <v>17</v>
      </c>
      <c r="C531" s="26"/>
      <c r="D531" s="29"/>
      <c r="E531" s="29">
        <f t="shared" si="65"/>
        <v>19</v>
      </c>
      <c r="G531" s="64"/>
      <c r="H531" s="63"/>
      <c r="I531" s="27"/>
      <c r="J531" s="28"/>
      <c r="K531" s="43"/>
      <c r="L531" s="29"/>
      <c r="M531" s="29"/>
      <c r="N531" s="29"/>
      <c r="O531" s="29"/>
      <c r="Q531" s="79"/>
      <c r="R531" s="63"/>
      <c r="S531" s="27"/>
      <c r="T531" s="28"/>
      <c r="U531" s="43"/>
      <c r="V531" s="29">
        <f t="shared" ref="V531:V561" si="70">V530-Q531+U531</f>
        <v>-15</v>
      </c>
      <c r="W531" s="29">
        <f t="shared" ref="W531:W561" si="71">W530-Q531+R531</f>
        <v>-15</v>
      </c>
      <c r="X531" s="29"/>
      <c r="Y531" s="29"/>
      <c r="AA531" s="185"/>
      <c r="AB531" s="186"/>
      <c r="AC531" s="187"/>
      <c r="AD531" s="188"/>
      <c r="AE531" s="189"/>
      <c r="AF531" s="184">
        <f t="shared" si="69"/>
        <v>0</v>
      </c>
      <c r="AG531" s="184">
        <v>0</v>
      </c>
      <c r="AH531" s="184"/>
      <c r="AI531" s="184"/>
      <c r="AJ531" s="190"/>
    </row>
    <row r="532" spans="1:37" hidden="1" outlineLevel="1">
      <c r="A532" s="96">
        <v>45628</v>
      </c>
      <c r="B532" s="17" t="s">
        <v>18</v>
      </c>
      <c r="C532" s="18">
        <v>72</v>
      </c>
      <c r="D532" s="23">
        <v>72</v>
      </c>
      <c r="E532" s="23">
        <f t="shared" si="65"/>
        <v>19</v>
      </c>
      <c r="G532" s="19"/>
      <c r="H532" s="62"/>
      <c r="I532" s="20"/>
      <c r="J532" s="21"/>
      <c r="K532" s="42"/>
      <c r="L532" s="23"/>
      <c r="M532" s="23"/>
      <c r="N532" s="23"/>
      <c r="O532" s="23"/>
      <c r="Q532" s="78">
        <v>69</v>
      </c>
      <c r="R532" s="62">
        <f>C528</f>
        <v>72</v>
      </c>
      <c r="S532" s="20"/>
      <c r="T532" s="21"/>
      <c r="U532" s="57">
        <v>72</v>
      </c>
      <c r="V532" s="23">
        <f t="shared" si="70"/>
        <v>-12</v>
      </c>
      <c r="W532" s="23">
        <f t="shared" si="71"/>
        <v>-12</v>
      </c>
      <c r="X532" s="23"/>
      <c r="Y532" s="23">
        <v>0</v>
      </c>
      <c r="AA532" s="185">
        <v>0</v>
      </c>
      <c r="AB532" s="186">
        <f>C528-R532</f>
        <v>0</v>
      </c>
      <c r="AC532" s="187"/>
      <c r="AD532" s="188"/>
      <c r="AE532" s="189"/>
      <c r="AF532" s="184">
        <f t="shared" si="69"/>
        <v>0</v>
      </c>
      <c r="AG532" s="184">
        <v>0</v>
      </c>
      <c r="AH532" s="184"/>
      <c r="AI532" s="184"/>
      <c r="AJ532" s="190"/>
    </row>
    <row r="533" spans="1:37" hidden="1" outlineLevel="1">
      <c r="A533" s="96">
        <v>45629</v>
      </c>
      <c r="B533" s="17" t="s">
        <v>19</v>
      </c>
      <c r="C533" s="18">
        <v>72</v>
      </c>
      <c r="D533" s="23">
        <v>72</v>
      </c>
      <c r="E533" s="23">
        <f t="shared" si="65"/>
        <v>19</v>
      </c>
      <c r="G533" s="19"/>
      <c r="H533" s="62"/>
      <c r="I533" s="20"/>
      <c r="J533" s="21"/>
      <c r="K533" s="42"/>
      <c r="L533" s="23"/>
      <c r="M533" s="23"/>
      <c r="N533" s="23"/>
      <c r="O533" s="23"/>
      <c r="Q533" s="78">
        <v>60</v>
      </c>
      <c r="R533" s="62">
        <f>C529</f>
        <v>72</v>
      </c>
      <c r="S533" s="20"/>
      <c r="T533" s="21"/>
      <c r="U533" s="57">
        <v>72</v>
      </c>
      <c r="V533" s="23">
        <f t="shared" si="70"/>
        <v>0</v>
      </c>
      <c r="W533" s="23">
        <f t="shared" si="71"/>
        <v>0</v>
      </c>
      <c r="X533" s="23"/>
      <c r="Y533" s="23">
        <v>23</v>
      </c>
      <c r="AA533" s="185">
        <v>0</v>
      </c>
      <c r="AB533" s="186">
        <f>C529-R533</f>
        <v>0</v>
      </c>
      <c r="AC533" s="187"/>
      <c r="AD533" s="188"/>
      <c r="AE533" s="189"/>
      <c r="AF533" s="184">
        <f t="shared" si="69"/>
        <v>0</v>
      </c>
      <c r="AG533" s="184">
        <v>0</v>
      </c>
      <c r="AH533" s="184"/>
      <c r="AI533" s="184"/>
      <c r="AJ533" s="190"/>
    </row>
    <row r="534" spans="1:37" hidden="1" outlineLevel="1">
      <c r="A534" s="96">
        <v>45630</v>
      </c>
      <c r="B534" s="17" t="s">
        <v>20</v>
      </c>
      <c r="C534" s="18">
        <v>72</v>
      </c>
      <c r="D534" s="23">
        <v>72</v>
      </c>
      <c r="E534" s="23">
        <f t="shared" si="65"/>
        <v>19</v>
      </c>
      <c r="G534" s="19"/>
      <c r="H534" s="62"/>
      <c r="I534" s="20"/>
      <c r="J534" s="21"/>
      <c r="K534" s="42"/>
      <c r="L534" s="23"/>
      <c r="M534" s="23"/>
      <c r="N534" s="23"/>
      <c r="O534" s="23"/>
      <c r="Q534" s="78">
        <v>69</v>
      </c>
      <c r="R534" s="62">
        <f>C532</f>
        <v>72</v>
      </c>
      <c r="S534" s="20"/>
      <c r="T534" s="21"/>
      <c r="U534" s="57">
        <v>72</v>
      </c>
      <c r="V534" s="23">
        <f t="shared" si="70"/>
        <v>3</v>
      </c>
      <c r="W534" s="23">
        <f t="shared" si="71"/>
        <v>3</v>
      </c>
      <c r="X534" s="23"/>
      <c r="Y534" s="23">
        <v>11</v>
      </c>
      <c r="AA534" s="185">
        <v>0</v>
      </c>
      <c r="AB534" s="186">
        <f>C532-R534</f>
        <v>0</v>
      </c>
      <c r="AC534" s="187"/>
      <c r="AD534" s="188"/>
      <c r="AE534" s="189"/>
      <c r="AF534" s="184">
        <f t="shared" si="69"/>
        <v>0</v>
      </c>
      <c r="AG534" s="184">
        <v>0</v>
      </c>
      <c r="AH534" s="184"/>
      <c r="AI534" s="184"/>
      <c r="AJ534" s="190"/>
    </row>
    <row r="535" spans="1:37" hidden="1" outlineLevel="1">
      <c r="A535" s="96">
        <v>45631</v>
      </c>
      <c r="B535" s="17" t="s">
        <v>14</v>
      </c>
      <c r="C535" s="18">
        <v>72</v>
      </c>
      <c r="D535" s="23">
        <v>72</v>
      </c>
      <c r="E535" s="23">
        <f t="shared" si="65"/>
        <v>19</v>
      </c>
      <c r="G535" s="19"/>
      <c r="H535" s="62"/>
      <c r="I535" s="20"/>
      <c r="J535" s="21"/>
      <c r="K535" s="42"/>
      <c r="L535" s="23"/>
      <c r="M535" s="23"/>
      <c r="N535" s="23"/>
      <c r="O535" s="23"/>
      <c r="Q535" s="78">
        <v>69</v>
      </c>
      <c r="R535" s="62">
        <f>C533</f>
        <v>72</v>
      </c>
      <c r="S535" s="20"/>
      <c r="T535" s="21"/>
      <c r="U535" s="57">
        <v>72</v>
      </c>
      <c r="V535" s="23">
        <f t="shared" si="70"/>
        <v>6</v>
      </c>
      <c r="W535" s="23">
        <f t="shared" si="71"/>
        <v>6</v>
      </c>
      <c r="X535" s="23"/>
      <c r="Y535" s="23">
        <v>9</v>
      </c>
      <c r="AA535" s="185">
        <v>0</v>
      </c>
      <c r="AB535" s="186">
        <f>C533-R535</f>
        <v>0</v>
      </c>
      <c r="AC535" s="187"/>
      <c r="AD535" s="188"/>
      <c r="AE535" s="189"/>
      <c r="AF535" s="184">
        <f t="shared" si="69"/>
        <v>0</v>
      </c>
      <c r="AG535" s="184">
        <v>0</v>
      </c>
      <c r="AH535" s="184"/>
      <c r="AI535" s="184"/>
      <c r="AJ535" s="190"/>
    </row>
    <row r="536" spans="1:37" hidden="1" outlineLevel="1">
      <c r="A536" s="96">
        <v>45632</v>
      </c>
      <c r="B536" s="17" t="s">
        <v>15</v>
      </c>
      <c r="C536" s="18">
        <v>72</v>
      </c>
      <c r="D536" s="23">
        <v>72</v>
      </c>
      <c r="E536" s="23">
        <f t="shared" si="65"/>
        <v>19</v>
      </c>
      <c r="G536" s="19"/>
      <c r="H536" s="62"/>
      <c r="I536" s="20"/>
      <c r="J536" s="21"/>
      <c r="K536" s="42"/>
      <c r="L536" s="23"/>
      <c r="M536" s="23"/>
      <c r="N536" s="23"/>
      <c r="O536" s="23"/>
      <c r="Q536" s="78">
        <v>72</v>
      </c>
      <c r="R536" s="62">
        <f>C534</f>
        <v>72</v>
      </c>
      <c r="S536" s="20"/>
      <c r="T536" s="21"/>
      <c r="U536" s="57">
        <v>72</v>
      </c>
      <c r="V536" s="23">
        <f t="shared" si="70"/>
        <v>6</v>
      </c>
      <c r="W536" s="23">
        <f t="shared" si="71"/>
        <v>6</v>
      </c>
      <c r="X536" s="23"/>
      <c r="Y536" s="23">
        <v>0</v>
      </c>
      <c r="AA536" s="185">
        <v>0</v>
      </c>
      <c r="AB536" s="186">
        <f>C534-R536</f>
        <v>0</v>
      </c>
      <c r="AC536" s="187"/>
      <c r="AD536" s="188"/>
      <c r="AE536" s="189"/>
      <c r="AF536" s="184">
        <f t="shared" si="69"/>
        <v>0</v>
      </c>
      <c r="AG536" s="184">
        <v>0</v>
      </c>
      <c r="AH536" s="184"/>
      <c r="AI536" s="184"/>
      <c r="AJ536" s="190"/>
      <c r="AK536" s="1">
        <f>AVERAGE(Q532:Q536)</f>
        <v>67.8</v>
      </c>
    </row>
    <row r="537" spans="1:37" s="12" customFormat="1" hidden="1" outlineLevel="1">
      <c r="A537" s="95">
        <v>45633</v>
      </c>
      <c r="B537" s="25" t="s">
        <v>16</v>
      </c>
      <c r="C537" s="26"/>
      <c r="D537" s="29"/>
      <c r="E537" s="29">
        <f t="shared" si="65"/>
        <v>19</v>
      </c>
      <c r="G537" s="64"/>
      <c r="H537" s="63"/>
      <c r="I537" s="27"/>
      <c r="J537" s="28"/>
      <c r="K537" s="43"/>
      <c r="L537" s="29"/>
      <c r="M537" s="29"/>
      <c r="N537" s="29"/>
      <c r="O537" s="29"/>
      <c r="Q537" s="79"/>
      <c r="R537" s="63"/>
      <c r="S537" s="27"/>
      <c r="T537" s="28"/>
      <c r="U537" s="43"/>
      <c r="V537" s="29">
        <f t="shared" si="70"/>
        <v>6</v>
      </c>
      <c r="W537" s="29">
        <f t="shared" si="71"/>
        <v>6</v>
      </c>
      <c r="X537" s="29"/>
      <c r="Y537" s="29"/>
      <c r="AA537" s="185"/>
      <c r="AB537" s="186"/>
      <c r="AC537" s="187"/>
      <c r="AD537" s="188"/>
      <c r="AE537" s="189"/>
      <c r="AF537" s="184">
        <f t="shared" si="69"/>
        <v>0</v>
      </c>
      <c r="AG537" s="184">
        <v>0</v>
      </c>
      <c r="AH537" s="184"/>
      <c r="AI537" s="184"/>
      <c r="AJ537" s="190"/>
    </row>
    <row r="538" spans="1:37" s="12" customFormat="1" hidden="1" outlineLevel="1">
      <c r="A538" s="95">
        <v>45634</v>
      </c>
      <c r="B538" s="25" t="s">
        <v>17</v>
      </c>
      <c r="C538" s="26"/>
      <c r="D538" s="29"/>
      <c r="E538" s="29">
        <f t="shared" si="65"/>
        <v>19</v>
      </c>
      <c r="G538" s="64"/>
      <c r="H538" s="63"/>
      <c r="I538" s="27"/>
      <c r="J538" s="28"/>
      <c r="K538" s="43"/>
      <c r="L538" s="29"/>
      <c r="M538" s="29"/>
      <c r="N538" s="29"/>
      <c r="O538" s="29"/>
      <c r="Q538" s="79"/>
      <c r="R538" s="63"/>
      <c r="S538" s="27"/>
      <c r="T538" s="28"/>
      <c r="U538" s="43"/>
      <c r="V538" s="29">
        <f>V537-Q538+U538</f>
        <v>6</v>
      </c>
      <c r="W538" s="29">
        <f t="shared" si="71"/>
        <v>6</v>
      </c>
      <c r="X538" s="29"/>
      <c r="Y538" s="29"/>
      <c r="AA538" s="185"/>
      <c r="AB538" s="186"/>
      <c r="AC538" s="187"/>
      <c r="AD538" s="188"/>
      <c r="AE538" s="189"/>
      <c r="AF538" s="184">
        <f t="shared" si="69"/>
        <v>0</v>
      </c>
      <c r="AG538" s="184">
        <v>0</v>
      </c>
      <c r="AH538" s="184"/>
      <c r="AI538" s="184"/>
      <c r="AJ538" s="190"/>
    </row>
    <row r="539" spans="1:37" hidden="1" outlineLevel="1">
      <c r="A539" s="96">
        <v>45635</v>
      </c>
      <c r="B539" s="17" t="s">
        <v>18</v>
      </c>
      <c r="C539" s="18">
        <f>72+1</f>
        <v>73</v>
      </c>
      <c r="D539" s="23">
        <v>73</v>
      </c>
      <c r="E539" s="23">
        <f t="shared" si="65"/>
        <v>19</v>
      </c>
      <c r="G539" s="19"/>
      <c r="H539" s="62"/>
      <c r="I539" s="20"/>
      <c r="J539" s="21"/>
      <c r="K539" s="42"/>
      <c r="L539" s="23"/>
      <c r="M539" s="23"/>
      <c r="N539" s="23"/>
      <c r="O539" s="23"/>
      <c r="Q539" s="78">
        <v>69</v>
      </c>
      <c r="R539" s="62">
        <f>C535</f>
        <v>72</v>
      </c>
      <c r="S539" s="20"/>
      <c r="T539" s="21"/>
      <c r="U539" s="57">
        <v>72</v>
      </c>
      <c r="V539" s="23">
        <f t="shared" si="70"/>
        <v>9</v>
      </c>
      <c r="W539" s="23">
        <f t="shared" si="71"/>
        <v>9</v>
      </c>
      <c r="X539" s="23"/>
      <c r="Y539" s="23">
        <v>20</v>
      </c>
      <c r="AA539" s="185">
        <v>0</v>
      </c>
      <c r="AB539" s="186">
        <f>C535-R539</f>
        <v>0</v>
      </c>
      <c r="AC539" s="187"/>
      <c r="AD539" s="188"/>
      <c r="AE539" s="189"/>
      <c r="AF539" s="184">
        <f t="shared" si="69"/>
        <v>0</v>
      </c>
      <c r="AG539" s="184">
        <v>0</v>
      </c>
      <c r="AH539" s="184"/>
      <c r="AI539" s="184"/>
      <c r="AJ539" s="190"/>
    </row>
    <row r="540" spans="1:37" hidden="1" outlineLevel="1">
      <c r="A540" s="96">
        <v>45636</v>
      </c>
      <c r="B540" s="17" t="s">
        <v>19</v>
      </c>
      <c r="C540" s="18">
        <v>72</v>
      </c>
      <c r="D540" s="23">
        <v>72</v>
      </c>
      <c r="E540" s="23">
        <f t="shared" si="65"/>
        <v>19</v>
      </c>
      <c r="G540" s="19"/>
      <c r="H540" s="62"/>
      <c r="I540" s="20"/>
      <c r="J540" s="21"/>
      <c r="K540" s="42"/>
      <c r="L540" s="23"/>
      <c r="M540" s="23"/>
      <c r="N540" s="23"/>
      <c r="O540" s="23"/>
      <c r="Q540" s="78">
        <v>69</v>
      </c>
      <c r="R540" s="62">
        <f>C536</f>
        <v>72</v>
      </c>
      <c r="S540" s="20"/>
      <c r="T540" s="21"/>
      <c r="U540" s="57">
        <v>72</v>
      </c>
      <c r="V540" s="23">
        <f t="shared" si="70"/>
        <v>12</v>
      </c>
      <c r="W540" s="23">
        <f t="shared" si="71"/>
        <v>12</v>
      </c>
      <c r="X540" s="23"/>
      <c r="Y540" s="23">
        <v>20</v>
      </c>
      <c r="AA540" s="185">
        <v>0</v>
      </c>
      <c r="AB540" s="186">
        <f>C536-R540</f>
        <v>0</v>
      </c>
      <c r="AC540" s="187"/>
      <c r="AD540" s="188"/>
      <c r="AE540" s="189"/>
      <c r="AF540" s="184">
        <f t="shared" si="69"/>
        <v>0</v>
      </c>
      <c r="AG540" s="184">
        <v>0</v>
      </c>
      <c r="AH540" s="184"/>
      <c r="AI540" s="184"/>
      <c r="AJ540" s="190"/>
    </row>
    <row r="541" spans="1:37" hidden="1" outlineLevel="1">
      <c r="A541" s="96">
        <v>45637</v>
      </c>
      <c r="B541" s="17" t="s">
        <v>20</v>
      </c>
      <c r="C541" s="18">
        <v>72</v>
      </c>
      <c r="D541" s="23">
        <v>73</v>
      </c>
      <c r="E541" s="23">
        <f t="shared" si="65"/>
        <v>20</v>
      </c>
      <c r="G541" s="19"/>
      <c r="H541" s="62"/>
      <c r="I541" s="20"/>
      <c r="J541" s="21"/>
      <c r="K541" s="42"/>
      <c r="L541" s="23"/>
      <c r="M541" s="23"/>
      <c r="N541" s="23"/>
      <c r="O541" s="23"/>
      <c r="Q541" s="78">
        <f>69+1</f>
        <v>70</v>
      </c>
      <c r="R541" s="62">
        <f>C539</f>
        <v>73</v>
      </c>
      <c r="S541" s="20"/>
      <c r="T541" s="21"/>
      <c r="U541" s="57">
        <v>73</v>
      </c>
      <c r="V541" s="23">
        <f t="shared" si="70"/>
        <v>15</v>
      </c>
      <c r="W541" s="23">
        <f t="shared" si="71"/>
        <v>15</v>
      </c>
      <c r="X541" s="23"/>
      <c r="Y541" s="23">
        <v>8</v>
      </c>
      <c r="AA541" s="185">
        <v>0</v>
      </c>
      <c r="AB541" s="186">
        <f>C539-R541</f>
        <v>0</v>
      </c>
      <c r="AC541" s="187"/>
      <c r="AD541" s="188"/>
      <c r="AE541" s="189"/>
      <c r="AF541" s="184">
        <f t="shared" si="69"/>
        <v>0</v>
      </c>
      <c r="AG541" s="184">
        <v>0</v>
      </c>
      <c r="AH541" s="184"/>
      <c r="AI541" s="184"/>
      <c r="AJ541" s="190"/>
    </row>
    <row r="542" spans="1:37" hidden="1" outlineLevel="1">
      <c r="A542" s="96">
        <v>45638</v>
      </c>
      <c r="B542" s="17" t="s">
        <v>14</v>
      </c>
      <c r="C542" s="18">
        <v>72</v>
      </c>
      <c r="D542" s="23">
        <v>72</v>
      </c>
      <c r="E542" s="23">
        <f t="shared" si="65"/>
        <v>20</v>
      </c>
      <c r="G542" s="19"/>
      <c r="H542" s="62"/>
      <c r="I542" s="20"/>
      <c r="J542" s="21"/>
      <c r="K542" s="42"/>
      <c r="L542" s="23"/>
      <c r="M542" s="23"/>
      <c r="N542" s="23"/>
      <c r="O542" s="23"/>
      <c r="Q542" s="78">
        <v>72</v>
      </c>
      <c r="R542" s="62">
        <f>C540+S542</f>
        <v>73</v>
      </c>
      <c r="S542" s="20">
        <v>1</v>
      </c>
      <c r="T542" s="21"/>
      <c r="U542" s="57">
        <v>73</v>
      </c>
      <c r="V542" s="23">
        <f t="shared" si="70"/>
        <v>16</v>
      </c>
      <c r="W542" s="23">
        <f t="shared" si="71"/>
        <v>16</v>
      </c>
      <c r="X542" s="23"/>
      <c r="Y542" s="23">
        <v>12</v>
      </c>
      <c r="AA542" s="185">
        <v>0</v>
      </c>
      <c r="AB542" s="186">
        <f>C540-R542</f>
        <v>-1</v>
      </c>
      <c r="AC542" s="187"/>
      <c r="AD542" s="188"/>
      <c r="AE542" s="189"/>
      <c r="AF542" s="184">
        <f t="shared" si="69"/>
        <v>0</v>
      </c>
      <c r="AG542" s="184">
        <v>0</v>
      </c>
      <c r="AH542" s="184"/>
      <c r="AI542" s="184"/>
      <c r="AJ542" s="190"/>
    </row>
    <row r="543" spans="1:37" hidden="1" outlineLevel="1">
      <c r="A543" s="96">
        <v>45639</v>
      </c>
      <c r="B543" s="17" t="s">
        <v>15</v>
      </c>
      <c r="C543" s="18">
        <v>72</v>
      </c>
      <c r="D543" s="23">
        <v>72</v>
      </c>
      <c r="E543" s="23">
        <f t="shared" si="65"/>
        <v>20</v>
      </c>
      <c r="G543" s="19"/>
      <c r="H543" s="62"/>
      <c r="I543" s="20"/>
      <c r="J543" s="21"/>
      <c r="K543" s="42"/>
      <c r="L543" s="23"/>
      <c r="M543" s="23"/>
      <c r="N543" s="23"/>
      <c r="O543" s="23"/>
      <c r="Q543" s="78">
        <v>63</v>
      </c>
      <c r="R543" s="62">
        <f>C541</f>
        <v>72</v>
      </c>
      <c r="S543" s="20"/>
      <c r="T543" s="21"/>
      <c r="U543" s="57">
        <v>72</v>
      </c>
      <c r="V543" s="23">
        <f t="shared" si="70"/>
        <v>25</v>
      </c>
      <c r="W543" s="23">
        <f t="shared" si="71"/>
        <v>25</v>
      </c>
      <c r="X543" s="23"/>
      <c r="Y543" s="23">
        <v>11</v>
      </c>
      <c r="AA543" s="185">
        <v>0</v>
      </c>
      <c r="AB543" s="186">
        <f>C541-R543</f>
        <v>0</v>
      </c>
      <c r="AC543" s="187"/>
      <c r="AD543" s="188"/>
      <c r="AE543" s="189"/>
      <c r="AF543" s="184">
        <f t="shared" si="69"/>
        <v>0</v>
      </c>
      <c r="AG543" s="184">
        <v>0</v>
      </c>
      <c r="AH543" s="184"/>
      <c r="AI543" s="184"/>
      <c r="AJ543" s="190"/>
      <c r="AK543" s="1">
        <f>AVERAGE(Q539:Q543)</f>
        <v>68.599999999999994</v>
      </c>
    </row>
    <row r="544" spans="1:37" s="12" customFormat="1" hidden="1" outlineLevel="1">
      <c r="A544" s="95">
        <v>45640</v>
      </c>
      <c r="B544" s="25" t="s">
        <v>16</v>
      </c>
      <c r="C544" s="26"/>
      <c r="D544" s="29"/>
      <c r="E544" s="29">
        <f t="shared" si="65"/>
        <v>20</v>
      </c>
      <c r="G544" s="64"/>
      <c r="H544" s="63"/>
      <c r="I544" s="27"/>
      <c r="J544" s="28"/>
      <c r="K544" s="43"/>
      <c r="L544" s="29"/>
      <c r="M544" s="29"/>
      <c r="N544" s="29"/>
      <c r="O544" s="29"/>
      <c r="Q544" s="79"/>
      <c r="R544" s="63"/>
      <c r="S544" s="27"/>
      <c r="T544" s="28"/>
      <c r="U544" s="43"/>
      <c r="V544" s="29">
        <f t="shared" si="70"/>
        <v>25</v>
      </c>
      <c r="W544" s="29">
        <f t="shared" si="71"/>
        <v>25</v>
      </c>
      <c r="X544" s="29"/>
      <c r="Y544" s="29"/>
      <c r="AA544" s="185"/>
      <c r="AB544" s="186"/>
      <c r="AC544" s="187"/>
      <c r="AD544" s="188"/>
      <c r="AE544" s="189"/>
      <c r="AF544" s="184">
        <f t="shared" si="69"/>
        <v>0</v>
      </c>
      <c r="AG544" s="184">
        <v>0</v>
      </c>
      <c r="AH544" s="184"/>
      <c r="AI544" s="184"/>
      <c r="AJ544" s="190"/>
    </row>
    <row r="545" spans="1:39" s="12" customFormat="1" hidden="1" outlineLevel="1" collapsed="1">
      <c r="A545" s="95">
        <v>45641</v>
      </c>
      <c r="B545" s="25" t="s">
        <v>17</v>
      </c>
      <c r="C545" s="26"/>
      <c r="D545" s="29"/>
      <c r="E545" s="29">
        <f t="shared" ref="E545:E608" si="72">E544-C545+D545</f>
        <v>20</v>
      </c>
      <c r="G545" s="64"/>
      <c r="H545" s="63"/>
      <c r="I545" s="27"/>
      <c r="J545" s="28"/>
      <c r="K545" s="43"/>
      <c r="L545" s="29"/>
      <c r="M545" s="29"/>
      <c r="N545" s="29"/>
      <c r="O545" s="29"/>
      <c r="Q545" s="79"/>
      <c r="R545" s="63"/>
      <c r="S545" s="27"/>
      <c r="T545" s="28"/>
      <c r="U545" s="43"/>
      <c r="V545" s="29">
        <f t="shared" si="70"/>
        <v>25</v>
      </c>
      <c r="W545" s="29">
        <f t="shared" si="71"/>
        <v>25</v>
      </c>
      <c r="X545" s="29"/>
      <c r="Y545" s="29"/>
      <c r="AA545" s="185"/>
      <c r="AB545" s="186"/>
      <c r="AC545" s="187"/>
      <c r="AD545" s="188"/>
      <c r="AE545" s="189"/>
      <c r="AF545" s="184">
        <f t="shared" si="69"/>
        <v>0</v>
      </c>
      <c r="AG545" s="184">
        <v>0</v>
      </c>
      <c r="AH545" s="184"/>
      <c r="AI545" s="184"/>
      <c r="AJ545" s="190"/>
    </row>
    <row r="546" spans="1:39" hidden="1" outlineLevel="1">
      <c r="A546" s="96">
        <v>45642</v>
      </c>
      <c r="B546" s="17" t="s">
        <v>18</v>
      </c>
      <c r="C546" s="18">
        <v>71</v>
      </c>
      <c r="D546" s="23">
        <v>53</v>
      </c>
      <c r="E546" s="23">
        <f t="shared" si="72"/>
        <v>2</v>
      </c>
      <c r="G546" s="19"/>
      <c r="H546" s="62"/>
      <c r="I546" s="20"/>
      <c r="J546" s="21"/>
      <c r="K546" s="42"/>
      <c r="L546" s="23"/>
      <c r="M546" s="23"/>
      <c r="N546" s="23"/>
      <c r="O546" s="23"/>
      <c r="Q546" s="78">
        <v>72</v>
      </c>
      <c r="R546" s="62">
        <f>C542</f>
        <v>72</v>
      </c>
      <c r="S546" s="20"/>
      <c r="T546" s="21"/>
      <c r="U546" s="57">
        <v>72</v>
      </c>
      <c r="V546" s="23">
        <f t="shared" si="70"/>
        <v>25</v>
      </c>
      <c r="W546" s="23">
        <f t="shared" si="71"/>
        <v>25</v>
      </c>
      <c r="X546" s="23"/>
      <c r="Y546" s="23">
        <v>0</v>
      </c>
      <c r="AA546" s="185">
        <v>0</v>
      </c>
      <c r="AB546" s="186">
        <f>C542-R546</f>
        <v>0</v>
      </c>
      <c r="AC546" s="187"/>
      <c r="AD546" s="188"/>
      <c r="AE546" s="189"/>
      <c r="AF546" s="184">
        <f t="shared" si="69"/>
        <v>0</v>
      </c>
      <c r="AG546" s="184">
        <v>0</v>
      </c>
      <c r="AH546" s="184"/>
      <c r="AI546" s="184"/>
      <c r="AJ546" s="190"/>
    </row>
    <row r="547" spans="1:39" hidden="1" outlineLevel="1">
      <c r="A547" s="96">
        <v>45643</v>
      </c>
      <c r="B547" s="17" t="s">
        <v>19</v>
      </c>
      <c r="C547" s="18">
        <v>72</v>
      </c>
      <c r="D547" s="23">
        <v>61</v>
      </c>
      <c r="E547" s="23">
        <f t="shared" si="72"/>
        <v>-9</v>
      </c>
      <c r="G547" s="19"/>
      <c r="H547" s="62"/>
      <c r="I547" s="20"/>
      <c r="J547" s="21"/>
      <c r="K547" s="42"/>
      <c r="L547" s="23"/>
      <c r="M547" s="23"/>
      <c r="N547" s="23"/>
      <c r="O547" s="23"/>
      <c r="Q547" s="78">
        <v>69</v>
      </c>
      <c r="R547" s="62">
        <f>C543</f>
        <v>72</v>
      </c>
      <c r="S547" s="20"/>
      <c r="T547" s="21"/>
      <c r="U547" s="57">
        <v>72</v>
      </c>
      <c r="V547" s="23">
        <f t="shared" si="70"/>
        <v>28</v>
      </c>
      <c r="W547" s="23">
        <f t="shared" si="71"/>
        <v>28</v>
      </c>
      <c r="X547" s="23"/>
      <c r="Y547" s="23">
        <v>12</v>
      </c>
      <c r="AA547" s="185">
        <v>0</v>
      </c>
      <c r="AB547" s="186">
        <f>C543-R547</f>
        <v>0</v>
      </c>
      <c r="AC547" s="187"/>
      <c r="AD547" s="188"/>
      <c r="AE547" s="189"/>
      <c r="AF547" s="184">
        <f t="shared" si="69"/>
        <v>0</v>
      </c>
      <c r="AG547" s="184">
        <v>0</v>
      </c>
      <c r="AH547" s="184"/>
      <c r="AI547" s="184"/>
      <c r="AJ547" s="190"/>
    </row>
    <row r="548" spans="1:39" hidden="1" outlineLevel="1">
      <c r="A548" s="96">
        <v>45644</v>
      </c>
      <c r="B548" s="17" t="s">
        <v>20</v>
      </c>
      <c r="C548" s="89">
        <f>76+2</f>
        <v>78</v>
      </c>
      <c r="D548" s="23">
        <v>36</v>
      </c>
      <c r="E548" s="23">
        <f t="shared" si="72"/>
        <v>-51</v>
      </c>
      <c r="G548" s="19"/>
      <c r="H548" s="62"/>
      <c r="I548" s="20"/>
      <c r="J548" s="21"/>
      <c r="K548" s="42"/>
      <c r="L548" s="23"/>
      <c r="M548" s="23"/>
      <c r="N548" s="23"/>
      <c r="O548" s="23"/>
      <c r="Q548" s="78">
        <v>69</v>
      </c>
      <c r="R548" s="62">
        <f>C546+S548</f>
        <v>66</v>
      </c>
      <c r="S548" s="20">
        <v>-5</v>
      </c>
      <c r="T548" s="21"/>
      <c r="U548" s="57">
        <v>66</v>
      </c>
      <c r="V548" s="23">
        <f t="shared" si="70"/>
        <v>25</v>
      </c>
      <c r="W548" s="23">
        <f t="shared" si="71"/>
        <v>25</v>
      </c>
      <c r="X548" s="23"/>
      <c r="Y548" s="23">
        <v>0</v>
      </c>
      <c r="AA548" s="78">
        <v>87</v>
      </c>
      <c r="AB548" s="62">
        <f>C546-R548+AC548</f>
        <v>5</v>
      </c>
      <c r="AC548" s="20"/>
      <c r="AD548" s="21"/>
      <c r="AE548" s="57">
        <v>5</v>
      </c>
      <c r="AF548" s="23">
        <f t="shared" si="69"/>
        <v>-82</v>
      </c>
      <c r="AG548" s="23">
        <f t="shared" ref="AG548:AG583" si="73">AG547-AA548+AB548</f>
        <v>-82</v>
      </c>
      <c r="AH548" s="23"/>
      <c r="AI548" s="23"/>
    </row>
    <row r="549" spans="1:39" hidden="1" outlineLevel="1">
      <c r="A549" s="96">
        <v>45645</v>
      </c>
      <c r="B549" s="17" t="s">
        <v>14</v>
      </c>
      <c r="C549" s="89">
        <v>72</v>
      </c>
      <c r="D549" s="23">
        <v>63</v>
      </c>
      <c r="E549" s="23">
        <f t="shared" si="72"/>
        <v>-60</v>
      </c>
      <c r="G549" s="19"/>
      <c r="H549" s="62"/>
      <c r="I549" s="20"/>
      <c r="J549" s="21"/>
      <c r="K549" s="42"/>
      <c r="L549" s="23"/>
      <c r="M549" s="23"/>
      <c r="N549" s="23"/>
      <c r="O549" s="23"/>
      <c r="Q549" s="78">
        <v>72</v>
      </c>
      <c r="R549" s="62">
        <f>C547</f>
        <v>72</v>
      </c>
      <c r="S549" s="20"/>
      <c r="T549" s="21"/>
      <c r="U549" s="57">
        <v>72</v>
      </c>
      <c r="V549" s="23">
        <f t="shared" si="70"/>
        <v>25</v>
      </c>
      <c r="W549" s="23">
        <f t="shared" si="71"/>
        <v>25</v>
      </c>
      <c r="X549" s="23"/>
      <c r="Y549" s="23">
        <f>5+19</f>
        <v>24</v>
      </c>
      <c r="AA549" s="78">
        <v>0</v>
      </c>
      <c r="AB549" s="62">
        <f>C547-R549</f>
        <v>0</v>
      </c>
      <c r="AC549" s="20"/>
      <c r="AD549" s="21"/>
      <c r="AE549" s="57">
        <v>0</v>
      </c>
      <c r="AF549" s="23">
        <f t="shared" si="69"/>
        <v>-82</v>
      </c>
      <c r="AG549" s="23">
        <f t="shared" si="73"/>
        <v>-82</v>
      </c>
      <c r="AH549" s="23"/>
      <c r="AI549" s="23"/>
    </row>
    <row r="550" spans="1:39" hidden="1" outlineLevel="1">
      <c r="A550" s="96">
        <v>45646</v>
      </c>
      <c r="B550" s="17" t="s">
        <v>15</v>
      </c>
      <c r="C550" s="89">
        <v>78</v>
      </c>
      <c r="D550" s="23">
        <v>99</v>
      </c>
      <c r="E550" s="23">
        <f t="shared" si="72"/>
        <v>-39</v>
      </c>
      <c r="G550" s="19"/>
      <c r="H550" s="62"/>
      <c r="I550" s="20"/>
      <c r="J550" s="21"/>
      <c r="K550" s="42"/>
      <c r="L550" s="23"/>
      <c r="M550" s="23"/>
      <c r="N550" s="23"/>
      <c r="O550" s="23"/>
      <c r="Q550" s="78">
        <v>63</v>
      </c>
      <c r="R550" s="62">
        <f>C548+S550</f>
        <v>66</v>
      </c>
      <c r="S550" s="20">
        <v>-12</v>
      </c>
      <c r="T550" s="21"/>
      <c r="U550" s="57">
        <v>66</v>
      </c>
      <c r="V550" s="23">
        <f t="shared" si="70"/>
        <v>28</v>
      </c>
      <c r="W550" s="23">
        <f t="shared" si="71"/>
        <v>28</v>
      </c>
      <c r="X550" s="23"/>
      <c r="Y550" s="23">
        <v>15</v>
      </c>
      <c r="AA550" s="78">
        <v>0</v>
      </c>
      <c r="AB550" s="62">
        <f>C548-R550+AC550</f>
        <v>12</v>
      </c>
      <c r="AC550" s="20"/>
      <c r="AD550" s="21"/>
      <c r="AE550" s="57">
        <v>12</v>
      </c>
      <c r="AF550" s="23">
        <f t="shared" si="69"/>
        <v>-70</v>
      </c>
      <c r="AG550" s="23">
        <f t="shared" si="73"/>
        <v>-70</v>
      </c>
      <c r="AH550" s="23"/>
      <c r="AI550" s="23"/>
      <c r="AK550" s="1">
        <f>AVERAGE(Q546:Q550)</f>
        <v>69</v>
      </c>
    </row>
    <row r="551" spans="1:39" s="12" customFormat="1" hidden="1" outlineLevel="1">
      <c r="A551" s="95">
        <v>45647</v>
      </c>
      <c r="B551" s="25" t="s">
        <v>16</v>
      </c>
      <c r="C551" s="91"/>
      <c r="D551" s="29"/>
      <c r="E551" s="29">
        <f t="shared" si="72"/>
        <v>-39</v>
      </c>
      <c r="G551" s="64"/>
      <c r="H551" s="63"/>
      <c r="I551" s="27"/>
      <c r="J551" s="28"/>
      <c r="K551" s="43"/>
      <c r="L551" s="29"/>
      <c r="M551" s="29"/>
      <c r="N551" s="29"/>
      <c r="O551" s="29"/>
      <c r="Q551" s="64"/>
      <c r="R551" s="63"/>
      <c r="S551" s="27"/>
      <c r="T551" s="28"/>
      <c r="U551" s="43"/>
      <c r="V551" s="29">
        <f t="shared" si="70"/>
        <v>28</v>
      </c>
      <c r="W551" s="29">
        <f t="shared" si="71"/>
        <v>28</v>
      </c>
      <c r="X551" s="29"/>
      <c r="Y551" s="29"/>
      <c r="AA551" s="79"/>
      <c r="AB551" s="63"/>
      <c r="AC551" s="27"/>
      <c r="AD551" s="28"/>
      <c r="AE551" s="43"/>
      <c r="AF551" s="29">
        <f t="shared" si="69"/>
        <v>-70</v>
      </c>
      <c r="AG551" s="29">
        <f t="shared" si="73"/>
        <v>-70</v>
      </c>
      <c r="AH551" s="29"/>
      <c r="AI551" s="29"/>
      <c r="AJ551" s="11"/>
    </row>
    <row r="552" spans="1:39" s="12" customFormat="1" hidden="1" outlineLevel="1">
      <c r="A552" s="95">
        <v>45648</v>
      </c>
      <c r="B552" s="25" t="s">
        <v>17</v>
      </c>
      <c r="C552" s="91"/>
      <c r="D552" s="29"/>
      <c r="E552" s="29">
        <f t="shared" si="72"/>
        <v>-39</v>
      </c>
      <c r="G552" s="64"/>
      <c r="H552" s="63"/>
      <c r="I552" s="27"/>
      <c r="J552" s="28"/>
      <c r="K552" s="43"/>
      <c r="L552" s="29"/>
      <c r="M552" s="29"/>
      <c r="N552" s="29"/>
      <c r="O552" s="29"/>
      <c r="Q552" s="64"/>
      <c r="R552" s="63"/>
      <c r="S552" s="27"/>
      <c r="T552" s="28"/>
      <c r="U552" s="43"/>
      <c r="V552" s="29">
        <f t="shared" si="70"/>
        <v>28</v>
      </c>
      <c r="W552" s="29">
        <f t="shared" si="71"/>
        <v>28</v>
      </c>
      <c r="X552" s="29"/>
      <c r="Y552" s="29"/>
      <c r="AA552" s="79"/>
      <c r="AB552" s="63"/>
      <c r="AC552" s="27"/>
      <c r="AD552" s="28"/>
      <c r="AE552" s="43"/>
      <c r="AF552" s="29">
        <f t="shared" si="69"/>
        <v>-70</v>
      </c>
      <c r="AG552" s="29">
        <f t="shared" si="73"/>
        <v>-70</v>
      </c>
      <c r="AH552" s="29"/>
      <c r="AI552" s="29"/>
      <c r="AJ552" s="11"/>
    </row>
    <row r="553" spans="1:39" hidden="1" outlineLevel="1">
      <c r="A553" s="96">
        <v>45649</v>
      </c>
      <c r="B553" s="17" t="s">
        <v>18</v>
      </c>
      <c r="C553" s="89">
        <v>84</v>
      </c>
      <c r="D553" s="23">
        <v>84</v>
      </c>
      <c r="E553" s="23">
        <f t="shared" si="72"/>
        <v>-39</v>
      </c>
      <c r="G553" s="19"/>
      <c r="H553" s="62"/>
      <c r="I553" s="20"/>
      <c r="J553" s="21"/>
      <c r="K553" s="42"/>
      <c r="L553" s="23"/>
      <c r="M553" s="23"/>
      <c r="N553" s="23"/>
      <c r="O553" s="23"/>
      <c r="Q553" s="78">
        <v>18</v>
      </c>
      <c r="R553" s="62">
        <f>C549+S553</f>
        <v>63</v>
      </c>
      <c r="S553" s="20">
        <f>-72+63</f>
        <v>-9</v>
      </c>
      <c r="T553" s="21"/>
      <c r="U553" s="57">
        <v>63</v>
      </c>
      <c r="V553" s="23">
        <f t="shared" si="70"/>
        <v>73</v>
      </c>
      <c r="W553" s="23">
        <f t="shared" si="71"/>
        <v>73</v>
      </c>
      <c r="X553" s="23"/>
      <c r="Y553" s="23">
        <v>13</v>
      </c>
      <c r="AA553" s="78">
        <v>0</v>
      </c>
      <c r="AB553" s="62">
        <f>C549-R553+AC553</f>
        <v>9</v>
      </c>
      <c r="AC553" s="20"/>
      <c r="AD553" s="21"/>
      <c r="AE553" s="57">
        <v>9</v>
      </c>
      <c r="AF553" s="23">
        <f t="shared" si="69"/>
        <v>-61</v>
      </c>
      <c r="AG553" s="23">
        <f t="shared" si="73"/>
        <v>-61</v>
      </c>
      <c r="AH553" s="23"/>
      <c r="AI553" s="23"/>
    </row>
    <row r="554" spans="1:39" hidden="1" outlineLevel="1">
      <c r="A554" s="96">
        <v>45650</v>
      </c>
      <c r="B554" s="17" t="s">
        <v>19</v>
      </c>
      <c r="C554" s="89">
        <v>84</v>
      </c>
      <c r="D554" s="23">
        <v>84</v>
      </c>
      <c r="E554" s="23">
        <f t="shared" si="72"/>
        <v>-39</v>
      </c>
      <c r="G554" s="19"/>
      <c r="H554" s="62"/>
      <c r="I554" s="20"/>
      <c r="J554" s="21"/>
      <c r="K554" s="42"/>
      <c r="L554" s="23"/>
      <c r="M554" s="23"/>
      <c r="N554" s="23"/>
      <c r="O554" s="23"/>
      <c r="Q554" s="78">
        <v>72</v>
      </c>
      <c r="R554" s="62">
        <f>C550+S554</f>
        <v>0</v>
      </c>
      <c r="S554" s="20">
        <v>-78</v>
      </c>
      <c r="T554" s="21"/>
      <c r="U554" s="42"/>
      <c r="V554" s="23">
        <f t="shared" si="70"/>
        <v>1</v>
      </c>
      <c r="W554" s="23">
        <f t="shared" si="71"/>
        <v>1</v>
      </c>
      <c r="X554" s="23"/>
      <c r="Y554" s="23">
        <v>17</v>
      </c>
      <c r="AA554" s="78">
        <v>114</v>
      </c>
      <c r="AB554" s="62">
        <f>C550-R554+AC554</f>
        <v>76</v>
      </c>
      <c r="AC554" s="20">
        <v>-2</v>
      </c>
      <c r="AD554" s="21"/>
      <c r="AE554" s="57">
        <v>76</v>
      </c>
      <c r="AF554" s="23">
        <f t="shared" si="69"/>
        <v>-99</v>
      </c>
      <c r="AG554" s="23">
        <f t="shared" si="73"/>
        <v>-99</v>
      </c>
      <c r="AH554" s="23"/>
      <c r="AI554" s="23"/>
    </row>
    <row r="555" spans="1:39" hidden="1" outlineLevel="1">
      <c r="A555" s="96">
        <v>45651</v>
      </c>
      <c r="B555" s="17" t="s">
        <v>20</v>
      </c>
      <c r="C555" s="89">
        <v>84</v>
      </c>
      <c r="D555" s="23">
        <v>84</v>
      </c>
      <c r="E555" s="23">
        <f t="shared" si="72"/>
        <v>-39</v>
      </c>
      <c r="G555" s="19"/>
      <c r="H555" s="62"/>
      <c r="I555" s="20"/>
      <c r="J555" s="21"/>
      <c r="K555" s="42"/>
      <c r="L555" s="23"/>
      <c r="M555" s="23"/>
      <c r="N555" s="23"/>
      <c r="O555" s="23"/>
      <c r="Q555" s="19"/>
      <c r="R555" s="62">
        <v>0</v>
      </c>
      <c r="S555" s="20"/>
      <c r="T555" s="21"/>
      <c r="U555" s="42"/>
      <c r="V555" s="23">
        <f t="shared" si="70"/>
        <v>1</v>
      </c>
      <c r="W555" s="23">
        <f t="shared" si="71"/>
        <v>1</v>
      </c>
      <c r="X555" s="23"/>
      <c r="Y555" s="23">
        <v>22</v>
      </c>
      <c r="AA555" s="78">
        <v>84</v>
      </c>
      <c r="AB555" s="62">
        <f>C553-R555+AC555</f>
        <v>84</v>
      </c>
      <c r="AC555" s="20"/>
      <c r="AD555" s="21"/>
      <c r="AE555" s="57">
        <v>84</v>
      </c>
      <c r="AF555" s="23">
        <f t="shared" si="69"/>
        <v>-99</v>
      </c>
      <c r="AG555" s="23">
        <f t="shared" si="73"/>
        <v>-99</v>
      </c>
      <c r="AH555" s="23"/>
      <c r="AI555" s="23"/>
    </row>
    <row r="556" spans="1:39" hidden="1" outlineLevel="1">
      <c r="A556" s="96">
        <v>45652</v>
      </c>
      <c r="B556" s="17" t="s">
        <v>14</v>
      </c>
      <c r="C556" s="89">
        <v>84</v>
      </c>
      <c r="D556" s="23">
        <v>80</v>
      </c>
      <c r="E556" s="23">
        <f t="shared" si="72"/>
        <v>-43</v>
      </c>
      <c r="G556" s="19"/>
      <c r="H556" s="62"/>
      <c r="I556" s="20"/>
      <c r="J556" s="21"/>
      <c r="K556" s="42"/>
      <c r="L556" s="23"/>
      <c r="M556" s="23"/>
      <c r="N556" s="23"/>
      <c r="O556" s="23"/>
      <c r="Q556" s="19"/>
      <c r="R556" s="62">
        <v>0</v>
      </c>
      <c r="S556" s="20"/>
      <c r="T556" s="21"/>
      <c r="U556" s="42"/>
      <c r="V556" s="23">
        <f t="shared" si="70"/>
        <v>1</v>
      </c>
      <c r="W556" s="23">
        <f t="shared" si="71"/>
        <v>1</v>
      </c>
      <c r="X556" s="23"/>
      <c r="Y556" s="23">
        <v>12</v>
      </c>
      <c r="AA556" s="78">
        <v>87</v>
      </c>
      <c r="AB556" s="62">
        <f>C554-R556</f>
        <v>84</v>
      </c>
      <c r="AC556" s="20"/>
      <c r="AD556" s="21"/>
      <c r="AE556" s="57">
        <v>84</v>
      </c>
      <c r="AF556" s="23">
        <f t="shared" si="69"/>
        <v>-102</v>
      </c>
      <c r="AG556" s="23">
        <f t="shared" si="73"/>
        <v>-102</v>
      </c>
      <c r="AH556" s="23"/>
      <c r="AI556" s="23"/>
      <c r="AL556" s="1">
        <v>48</v>
      </c>
      <c r="AM556" s="1">
        <v>36</v>
      </c>
    </row>
    <row r="557" spans="1:39" hidden="1" outlineLevel="1">
      <c r="A557" s="96">
        <v>45653</v>
      </c>
      <c r="B557" s="17" t="s">
        <v>15</v>
      </c>
      <c r="C557" s="89">
        <v>84</v>
      </c>
      <c r="D557" s="23">
        <v>70</v>
      </c>
      <c r="E557" s="23">
        <f t="shared" si="72"/>
        <v>-57</v>
      </c>
      <c r="G557" s="19"/>
      <c r="H557" s="62"/>
      <c r="I557" s="20"/>
      <c r="J557" s="21"/>
      <c r="K557" s="42"/>
      <c r="L557" s="23"/>
      <c r="M557" s="23"/>
      <c r="N557" s="23"/>
      <c r="O557" s="23"/>
      <c r="Q557" s="19"/>
      <c r="R557" s="62">
        <v>0</v>
      </c>
      <c r="S557" s="20"/>
      <c r="T557" s="21"/>
      <c r="U557" s="42"/>
      <c r="V557" s="23">
        <f t="shared" si="70"/>
        <v>1</v>
      </c>
      <c r="W557" s="23">
        <f t="shared" si="71"/>
        <v>1</v>
      </c>
      <c r="X557" s="23"/>
      <c r="Y557" s="23">
        <v>13</v>
      </c>
      <c r="AA557" s="78">
        <v>81</v>
      </c>
      <c r="AB557" s="62">
        <f>C555-R557+AC557</f>
        <v>120</v>
      </c>
      <c r="AC557" s="20">
        <v>36</v>
      </c>
      <c r="AD557" s="21"/>
      <c r="AE557" s="57">
        <v>120</v>
      </c>
      <c r="AF557" s="23">
        <f t="shared" si="69"/>
        <v>-63</v>
      </c>
      <c r="AG557" s="23">
        <f t="shared" si="73"/>
        <v>-63</v>
      </c>
      <c r="AH557" s="23"/>
      <c r="AI557" s="23"/>
      <c r="AK557" s="1">
        <f>AVERAGE(AA553:AA557)</f>
        <v>73.2</v>
      </c>
      <c r="AL557" s="1">
        <v>84</v>
      </c>
    </row>
    <row r="558" spans="1:39" s="12" customFormat="1" hidden="1" outlineLevel="1" collapsed="1">
      <c r="A558" s="95">
        <v>45654</v>
      </c>
      <c r="B558" s="25" t="s">
        <v>16</v>
      </c>
      <c r="C558" s="26"/>
      <c r="D558" s="29"/>
      <c r="E558" s="29">
        <f t="shared" si="72"/>
        <v>-57</v>
      </c>
      <c r="G558" s="64"/>
      <c r="H558" s="63"/>
      <c r="I558" s="27"/>
      <c r="J558" s="28"/>
      <c r="K558" s="43"/>
      <c r="L558" s="29"/>
      <c r="M558" s="29"/>
      <c r="N558" s="29"/>
      <c r="O558" s="29"/>
      <c r="Q558" s="64"/>
      <c r="R558" s="63"/>
      <c r="S558" s="27"/>
      <c r="T558" s="28"/>
      <c r="U558" s="43"/>
      <c r="V558" s="29">
        <f t="shared" si="70"/>
        <v>1</v>
      </c>
      <c r="W558" s="29">
        <f t="shared" si="71"/>
        <v>1</v>
      </c>
      <c r="X558" s="29"/>
      <c r="Y558" s="29"/>
      <c r="AA558" s="79"/>
      <c r="AB558" s="63"/>
      <c r="AC558" s="27"/>
      <c r="AD558" s="28"/>
      <c r="AE558" s="43"/>
      <c r="AF558" s="29">
        <f t="shared" si="69"/>
        <v>-63</v>
      </c>
      <c r="AG558" s="29">
        <f t="shared" si="73"/>
        <v>-63</v>
      </c>
      <c r="AH558" s="29"/>
      <c r="AI558" s="29"/>
      <c r="AJ558" s="11"/>
    </row>
    <row r="559" spans="1:39" s="12" customFormat="1" hidden="1" outlineLevel="1">
      <c r="A559" s="95">
        <v>45655</v>
      </c>
      <c r="B559" s="25" t="s">
        <v>17</v>
      </c>
      <c r="C559" s="26"/>
      <c r="D559" s="29"/>
      <c r="E559" s="29">
        <f t="shared" si="72"/>
        <v>-57</v>
      </c>
      <c r="G559" s="64"/>
      <c r="H559" s="63"/>
      <c r="I559" s="27"/>
      <c r="J559" s="28"/>
      <c r="K559" s="43"/>
      <c r="L559" s="29"/>
      <c r="M559" s="29"/>
      <c r="N559" s="29"/>
      <c r="O559" s="29"/>
      <c r="Q559" s="64"/>
      <c r="R559" s="63"/>
      <c r="S559" s="27"/>
      <c r="T559" s="28"/>
      <c r="U559" s="43"/>
      <c r="V559" s="29">
        <f t="shared" si="70"/>
        <v>1</v>
      </c>
      <c r="W559" s="29">
        <f t="shared" si="71"/>
        <v>1</v>
      </c>
      <c r="X559" s="29"/>
      <c r="Y559" s="29"/>
      <c r="AA559" s="79"/>
      <c r="AB559" s="63"/>
      <c r="AC559" s="27"/>
      <c r="AD559" s="28"/>
      <c r="AE559" s="43"/>
      <c r="AF559" s="29">
        <f t="shared" si="69"/>
        <v>-63</v>
      </c>
      <c r="AG559" s="29">
        <f t="shared" si="73"/>
        <v>-63</v>
      </c>
      <c r="AH559" s="29"/>
      <c r="AI559" s="29"/>
      <c r="AJ559" s="11"/>
    </row>
    <row r="560" spans="1:39" s="12" customFormat="1" hidden="1" outlineLevel="1">
      <c r="A560" s="95">
        <v>45656</v>
      </c>
      <c r="B560" s="25" t="s">
        <v>18</v>
      </c>
      <c r="C560" s="26"/>
      <c r="D560" s="29"/>
      <c r="E560" s="29">
        <f t="shared" si="72"/>
        <v>-57</v>
      </c>
      <c r="G560" s="64"/>
      <c r="H560" s="63"/>
      <c r="I560" s="27"/>
      <c r="J560" s="28"/>
      <c r="K560" s="43"/>
      <c r="L560" s="29"/>
      <c r="M560" s="29"/>
      <c r="N560" s="29"/>
      <c r="O560" s="29"/>
      <c r="Q560" s="64"/>
      <c r="R560" s="63"/>
      <c r="S560" s="27"/>
      <c r="T560" s="28"/>
      <c r="U560" s="43"/>
      <c r="V560" s="29">
        <f t="shared" si="70"/>
        <v>1</v>
      </c>
      <c r="W560" s="29">
        <f t="shared" si="71"/>
        <v>1</v>
      </c>
      <c r="X560" s="29"/>
      <c r="Y560" s="29"/>
      <c r="AA560" s="79"/>
      <c r="AB560" s="63"/>
      <c r="AC560" s="27"/>
      <c r="AD560" s="28"/>
      <c r="AE560" s="43"/>
      <c r="AF560" s="29">
        <f t="shared" si="69"/>
        <v>-63</v>
      </c>
      <c r="AG560" s="29">
        <f t="shared" si="73"/>
        <v>-63</v>
      </c>
      <c r="AH560" s="29"/>
      <c r="AI560" s="29"/>
      <c r="AJ560" s="11"/>
    </row>
    <row r="561" spans="1:39" s="12" customFormat="1" hidden="1" outlineLevel="1">
      <c r="A561" s="95">
        <v>45657</v>
      </c>
      <c r="B561" s="25" t="s">
        <v>19</v>
      </c>
      <c r="C561" s="26"/>
      <c r="D561" s="29"/>
      <c r="E561" s="29">
        <f t="shared" si="72"/>
        <v>-57</v>
      </c>
      <c r="G561" s="64"/>
      <c r="H561" s="63"/>
      <c r="I561" s="27"/>
      <c r="J561" s="28"/>
      <c r="K561" s="43"/>
      <c r="L561" s="29"/>
      <c r="M561" s="29"/>
      <c r="N561" s="29"/>
      <c r="O561" s="29"/>
      <c r="Q561" s="64"/>
      <c r="R561" s="63"/>
      <c r="S561" s="27"/>
      <c r="T561" s="28"/>
      <c r="U561" s="43"/>
      <c r="V561" s="29">
        <f t="shared" si="70"/>
        <v>1</v>
      </c>
      <c r="W561" s="29">
        <f t="shared" si="71"/>
        <v>1</v>
      </c>
      <c r="X561" s="29"/>
      <c r="Y561" s="29"/>
      <c r="AA561" s="79"/>
      <c r="AB561" s="63"/>
      <c r="AC561" s="27"/>
      <c r="AD561" s="28"/>
      <c r="AE561" s="43"/>
      <c r="AF561" s="29">
        <f t="shared" si="69"/>
        <v>-63</v>
      </c>
      <c r="AG561" s="29">
        <f t="shared" si="73"/>
        <v>-63</v>
      </c>
      <c r="AH561" s="29"/>
      <c r="AI561" s="29"/>
      <c r="AJ561" s="11"/>
    </row>
    <row r="562" spans="1:39" s="12" customFormat="1" hidden="1" outlineLevel="1">
      <c r="A562" s="95">
        <v>45658</v>
      </c>
      <c r="B562" s="25" t="s">
        <v>20</v>
      </c>
      <c r="C562" s="26"/>
      <c r="D562" s="29"/>
      <c r="E562" s="29">
        <f t="shared" si="72"/>
        <v>-57</v>
      </c>
      <c r="G562" s="64"/>
      <c r="H562" s="63"/>
      <c r="I562" s="27"/>
      <c r="J562" s="28"/>
      <c r="K562" s="43"/>
      <c r="L562" s="29"/>
      <c r="M562" s="29"/>
      <c r="N562" s="29"/>
      <c r="O562" s="29"/>
      <c r="Q562" s="64"/>
      <c r="R562" s="63"/>
      <c r="S562" s="27"/>
      <c r="T562" s="28"/>
      <c r="U562" s="43"/>
      <c r="V562" s="29">
        <f t="shared" ref="V562:V592" si="74">V561-Q562+U562</f>
        <v>1</v>
      </c>
      <c r="W562" s="29">
        <f t="shared" ref="W562:W592" si="75">W561-Q562+R562</f>
        <v>1</v>
      </c>
      <c r="X562" s="29"/>
      <c r="Y562" s="29"/>
      <c r="AA562" s="79"/>
      <c r="AB562" s="63"/>
      <c r="AC562" s="27"/>
      <c r="AD562" s="28"/>
      <c r="AE562" s="43"/>
      <c r="AF562" s="29">
        <f t="shared" si="69"/>
        <v>-63</v>
      </c>
      <c r="AG562" s="29">
        <f t="shared" si="73"/>
        <v>-63</v>
      </c>
      <c r="AH562" s="29"/>
      <c r="AI562" s="29"/>
      <c r="AJ562" s="11"/>
    </row>
    <row r="563" spans="1:39" s="12" customFormat="1" hidden="1" outlineLevel="1">
      <c r="A563" s="95">
        <v>45659</v>
      </c>
      <c r="B563" s="25" t="s">
        <v>14</v>
      </c>
      <c r="C563" s="26"/>
      <c r="D563" s="29"/>
      <c r="E563" s="29">
        <f t="shared" si="72"/>
        <v>-57</v>
      </c>
      <c r="G563" s="64"/>
      <c r="H563" s="63"/>
      <c r="I563" s="27"/>
      <c r="J563" s="28"/>
      <c r="K563" s="43"/>
      <c r="L563" s="29"/>
      <c r="M563" s="29"/>
      <c r="N563" s="29"/>
      <c r="O563" s="29"/>
      <c r="Q563" s="64"/>
      <c r="R563" s="63"/>
      <c r="S563" s="27"/>
      <c r="T563" s="28"/>
      <c r="U563" s="43"/>
      <c r="V563" s="29">
        <f t="shared" si="74"/>
        <v>1</v>
      </c>
      <c r="W563" s="29">
        <f t="shared" si="75"/>
        <v>1</v>
      </c>
      <c r="X563" s="29"/>
      <c r="Y563" s="29"/>
      <c r="AA563" s="79"/>
      <c r="AB563" s="63"/>
      <c r="AC563" s="27"/>
      <c r="AD563" s="28"/>
      <c r="AE563" s="43"/>
      <c r="AF563" s="29">
        <f t="shared" si="69"/>
        <v>-63</v>
      </c>
      <c r="AG563" s="29">
        <f t="shared" si="73"/>
        <v>-63</v>
      </c>
      <c r="AH563" s="29"/>
      <c r="AI563" s="29"/>
      <c r="AJ563" s="11"/>
    </row>
    <row r="564" spans="1:39" s="12" customFormat="1" hidden="1" outlineLevel="1">
      <c r="A564" s="95">
        <v>45660</v>
      </c>
      <c r="B564" s="25" t="s">
        <v>15</v>
      </c>
      <c r="C564" s="26"/>
      <c r="D564" s="29"/>
      <c r="E564" s="29">
        <f t="shared" si="72"/>
        <v>-57</v>
      </c>
      <c r="G564" s="64"/>
      <c r="H564" s="63"/>
      <c r="I564" s="27"/>
      <c r="J564" s="28"/>
      <c r="K564" s="43"/>
      <c r="L564" s="29"/>
      <c r="M564" s="29"/>
      <c r="N564" s="29"/>
      <c r="O564" s="29"/>
      <c r="Q564" s="64"/>
      <c r="R564" s="63"/>
      <c r="S564" s="27"/>
      <c r="T564" s="28"/>
      <c r="U564" s="43"/>
      <c r="V564" s="29">
        <f t="shared" si="74"/>
        <v>1</v>
      </c>
      <c r="W564" s="29">
        <f t="shared" si="75"/>
        <v>1</v>
      </c>
      <c r="X564" s="29"/>
      <c r="Y564" s="29"/>
      <c r="AA564" s="79"/>
      <c r="AB564" s="63"/>
      <c r="AC564" s="27"/>
      <c r="AD564" s="28"/>
      <c r="AE564" s="43"/>
      <c r="AF564" s="29">
        <f t="shared" si="69"/>
        <v>-63</v>
      </c>
      <c r="AG564" s="29">
        <f t="shared" si="73"/>
        <v>-63</v>
      </c>
      <c r="AH564" s="29"/>
      <c r="AI564" s="29"/>
      <c r="AJ564" s="11"/>
    </row>
    <row r="565" spans="1:39" s="12" customFormat="1" hidden="1" outlineLevel="1">
      <c r="A565" s="95">
        <v>45661</v>
      </c>
      <c r="B565" s="25" t="s">
        <v>16</v>
      </c>
      <c r="C565" s="26"/>
      <c r="D565" s="29"/>
      <c r="E565" s="29">
        <f t="shared" si="72"/>
        <v>-57</v>
      </c>
      <c r="G565" s="64"/>
      <c r="H565" s="63"/>
      <c r="I565" s="27"/>
      <c r="J565" s="28"/>
      <c r="K565" s="43"/>
      <c r="L565" s="29"/>
      <c r="M565" s="29"/>
      <c r="N565" s="29"/>
      <c r="O565" s="29"/>
      <c r="Q565" s="64"/>
      <c r="R565" s="63"/>
      <c r="S565" s="27"/>
      <c r="T565" s="28"/>
      <c r="U565" s="43"/>
      <c r="V565" s="29">
        <f t="shared" si="74"/>
        <v>1</v>
      </c>
      <c r="W565" s="29">
        <f t="shared" si="75"/>
        <v>1</v>
      </c>
      <c r="X565" s="29"/>
      <c r="Y565" s="29"/>
      <c r="AA565" s="79"/>
      <c r="AB565" s="63"/>
      <c r="AC565" s="27"/>
      <c r="AD565" s="28"/>
      <c r="AE565" s="43"/>
      <c r="AF565" s="29">
        <f t="shared" si="69"/>
        <v>-63</v>
      </c>
      <c r="AG565" s="29">
        <f t="shared" si="73"/>
        <v>-63</v>
      </c>
      <c r="AH565" s="29"/>
      <c r="AI565" s="29"/>
      <c r="AJ565" s="11"/>
    </row>
    <row r="566" spans="1:39" s="12" customFormat="1" hidden="1" outlineLevel="1" collapsed="1">
      <c r="A566" s="95">
        <v>45662</v>
      </c>
      <c r="B566" s="25" t="s">
        <v>17</v>
      </c>
      <c r="C566" s="26"/>
      <c r="D566" s="29"/>
      <c r="E566" s="29">
        <f t="shared" si="72"/>
        <v>-57</v>
      </c>
      <c r="G566" s="64"/>
      <c r="H566" s="63"/>
      <c r="I566" s="27"/>
      <c r="J566" s="28"/>
      <c r="K566" s="43"/>
      <c r="L566" s="29"/>
      <c r="M566" s="29"/>
      <c r="N566" s="29"/>
      <c r="O566" s="29"/>
      <c r="Q566" s="64"/>
      <c r="R566" s="63"/>
      <c r="S566" s="27"/>
      <c r="T566" s="28"/>
      <c r="U566" s="43"/>
      <c r="V566" s="29">
        <f t="shared" si="74"/>
        <v>1</v>
      </c>
      <c r="W566" s="29">
        <f t="shared" si="75"/>
        <v>1</v>
      </c>
      <c r="X566" s="29"/>
      <c r="Y566" s="29"/>
      <c r="AA566" s="79"/>
      <c r="AB566" s="63"/>
      <c r="AC566" s="27"/>
      <c r="AD566" s="28"/>
      <c r="AE566" s="43"/>
      <c r="AF566" s="29">
        <f t="shared" si="69"/>
        <v>-63</v>
      </c>
      <c r="AG566" s="29">
        <f t="shared" si="73"/>
        <v>-63</v>
      </c>
      <c r="AH566" s="29"/>
      <c r="AI566" s="29"/>
      <c r="AJ566" s="11"/>
    </row>
    <row r="567" spans="1:39" hidden="1" outlineLevel="1">
      <c r="A567" s="96">
        <v>45663</v>
      </c>
      <c r="B567" s="17" t="s">
        <v>18</v>
      </c>
      <c r="C567" s="276">
        <v>84</v>
      </c>
      <c r="D567" s="23">
        <v>78</v>
      </c>
      <c r="E567" s="23">
        <f t="shared" si="72"/>
        <v>-63</v>
      </c>
      <c r="G567" s="19"/>
      <c r="H567" s="62"/>
      <c r="I567" s="20"/>
      <c r="J567" s="21"/>
      <c r="K567" s="42"/>
      <c r="L567" s="23"/>
      <c r="M567" s="23"/>
      <c r="N567" s="23"/>
      <c r="O567" s="23"/>
      <c r="Q567" s="19"/>
      <c r="R567" s="62"/>
      <c r="S567" s="20"/>
      <c r="T567" s="21"/>
      <c r="U567" s="42"/>
      <c r="V567" s="23">
        <f t="shared" si="74"/>
        <v>1</v>
      </c>
      <c r="W567" s="23">
        <f t="shared" si="75"/>
        <v>1</v>
      </c>
      <c r="X567" s="23"/>
      <c r="Y567" s="23">
        <v>0</v>
      </c>
      <c r="AA567" s="78">
        <v>105</v>
      </c>
      <c r="AB567" s="62">
        <f>C556</f>
        <v>84</v>
      </c>
      <c r="AC567" s="20"/>
      <c r="AD567" s="21"/>
      <c r="AE567" s="57">
        <v>84</v>
      </c>
      <c r="AF567" s="23">
        <f t="shared" si="69"/>
        <v>-84</v>
      </c>
      <c r="AG567" s="23">
        <f t="shared" si="73"/>
        <v>-84</v>
      </c>
      <c r="AH567" s="23"/>
      <c r="AI567" s="23"/>
      <c r="AL567" s="1">
        <v>48</v>
      </c>
      <c r="AM567" s="1">
        <v>36</v>
      </c>
    </row>
    <row r="568" spans="1:39" hidden="1" outlineLevel="1">
      <c r="A568" s="96">
        <v>45664</v>
      </c>
      <c r="B568" s="17" t="s">
        <v>19</v>
      </c>
      <c r="C568" s="276">
        <v>84</v>
      </c>
      <c r="D568" s="23">
        <v>24</v>
      </c>
      <c r="E568" s="23">
        <f t="shared" si="72"/>
        <v>-123</v>
      </c>
      <c r="G568" s="19"/>
      <c r="H568" s="62"/>
      <c r="I568" s="20"/>
      <c r="J568" s="21"/>
      <c r="K568" s="42"/>
      <c r="L568" s="23"/>
      <c r="M568" s="23"/>
      <c r="N568" s="23"/>
      <c r="O568" s="23"/>
      <c r="Q568" s="19"/>
      <c r="R568" s="62"/>
      <c r="S568" s="20"/>
      <c r="T568" s="21"/>
      <c r="U568" s="42"/>
      <c r="V568" s="23">
        <f t="shared" si="74"/>
        <v>1</v>
      </c>
      <c r="W568" s="23">
        <f t="shared" si="75"/>
        <v>1</v>
      </c>
      <c r="X568" s="23"/>
      <c r="Y568" s="23">
        <v>0</v>
      </c>
      <c r="AA568" s="78">
        <v>9</v>
      </c>
      <c r="AB568" s="62">
        <f>C557</f>
        <v>84</v>
      </c>
      <c r="AC568" s="20"/>
      <c r="AD568" s="21"/>
      <c r="AE568" s="57">
        <v>84</v>
      </c>
      <c r="AF568" s="23">
        <f t="shared" si="69"/>
        <v>-9</v>
      </c>
      <c r="AG568" s="23">
        <f t="shared" si="73"/>
        <v>-9</v>
      </c>
      <c r="AH568" s="23"/>
      <c r="AI568" s="23"/>
    </row>
    <row r="569" spans="1:39" hidden="1" outlineLevel="1">
      <c r="A569" s="96">
        <v>45665</v>
      </c>
      <c r="B569" s="17" t="s">
        <v>20</v>
      </c>
      <c r="C569" s="276">
        <v>84</v>
      </c>
      <c r="D569" s="23">
        <v>120</v>
      </c>
      <c r="E569" s="23">
        <f t="shared" si="72"/>
        <v>-87</v>
      </c>
      <c r="G569" s="19"/>
      <c r="H569" s="62"/>
      <c r="I569" s="20"/>
      <c r="J569" s="21"/>
      <c r="K569" s="42"/>
      <c r="L569" s="23"/>
      <c r="M569" s="23"/>
      <c r="N569" s="23"/>
      <c r="O569" s="23"/>
      <c r="Q569" s="19"/>
      <c r="R569" s="62"/>
      <c r="S569" s="20"/>
      <c r="T569" s="21"/>
      <c r="U569" s="42"/>
      <c r="V569" s="23">
        <f t="shared" si="74"/>
        <v>1</v>
      </c>
      <c r="W569" s="23">
        <f t="shared" si="75"/>
        <v>1</v>
      </c>
      <c r="X569" s="23"/>
      <c r="Y569" s="23">
        <v>20</v>
      </c>
      <c r="AA569" s="78">
        <v>78</v>
      </c>
      <c r="AB569" s="62">
        <f>C567+AC569</f>
        <v>84</v>
      </c>
      <c r="AC569" s="20"/>
      <c r="AD569" s="21"/>
      <c r="AE569" s="57">
        <v>84</v>
      </c>
      <c r="AF569" s="23">
        <f t="shared" si="69"/>
        <v>-3</v>
      </c>
      <c r="AG569" s="23">
        <f t="shared" si="73"/>
        <v>-3</v>
      </c>
      <c r="AH569" s="23"/>
      <c r="AI569" s="23"/>
    </row>
    <row r="570" spans="1:39" hidden="1" outlineLevel="1">
      <c r="A570" s="96">
        <v>45666</v>
      </c>
      <c r="B570" s="17" t="s">
        <v>14</v>
      </c>
      <c r="C570" s="276">
        <v>84</v>
      </c>
      <c r="D570" s="23">
        <v>84</v>
      </c>
      <c r="E570" s="23">
        <f t="shared" si="72"/>
        <v>-87</v>
      </c>
      <c r="G570" s="19"/>
      <c r="H570" s="62"/>
      <c r="I570" s="20"/>
      <c r="J570" s="21"/>
      <c r="K570" s="42"/>
      <c r="L570" s="23"/>
      <c r="M570" s="23"/>
      <c r="N570" s="23"/>
      <c r="O570" s="23"/>
      <c r="Q570" s="19"/>
      <c r="R570" s="62"/>
      <c r="S570" s="20"/>
      <c r="T570" s="21"/>
      <c r="U570" s="42"/>
      <c r="V570" s="23">
        <f t="shared" si="74"/>
        <v>1</v>
      </c>
      <c r="W570" s="23">
        <f t="shared" si="75"/>
        <v>1</v>
      </c>
      <c r="X570" s="23"/>
      <c r="Y570" s="23">
        <v>23</v>
      </c>
      <c r="AA570" s="78">
        <v>81</v>
      </c>
      <c r="AB570" s="62">
        <f>C568+AC570</f>
        <v>36</v>
      </c>
      <c r="AC570" s="20">
        <v>-48</v>
      </c>
      <c r="AD570" s="21"/>
      <c r="AE570" s="57">
        <v>36</v>
      </c>
      <c r="AF570" s="23">
        <f t="shared" si="69"/>
        <v>-48</v>
      </c>
      <c r="AG570" s="23">
        <f t="shared" si="73"/>
        <v>-48</v>
      </c>
      <c r="AH570" s="23"/>
      <c r="AI570" s="23"/>
    </row>
    <row r="571" spans="1:39" hidden="1" outlineLevel="1">
      <c r="A571" s="96">
        <v>45667</v>
      </c>
      <c r="B571" s="17" t="s">
        <v>15</v>
      </c>
      <c r="C571" s="276">
        <f>78+2-2</f>
        <v>78</v>
      </c>
      <c r="D571" s="23">
        <v>60</v>
      </c>
      <c r="E571" s="23">
        <f t="shared" si="72"/>
        <v>-105</v>
      </c>
      <c r="G571" s="19"/>
      <c r="H571" s="62"/>
      <c r="I571" s="20"/>
      <c r="J571" s="21"/>
      <c r="K571" s="42"/>
      <c r="L571" s="23"/>
      <c r="M571" s="23"/>
      <c r="N571" s="23"/>
      <c r="O571" s="23"/>
      <c r="Q571" s="19"/>
      <c r="R571" s="62"/>
      <c r="S571" s="20"/>
      <c r="T571" s="21"/>
      <c r="U571" s="42"/>
      <c r="V571" s="23">
        <f t="shared" si="74"/>
        <v>1</v>
      </c>
      <c r="W571" s="23">
        <f t="shared" si="75"/>
        <v>1</v>
      </c>
      <c r="X571" s="23"/>
      <c r="Y571" s="23">
        <v>15</v>
      </c>
      <c r="AA571" s="78">
        <v>75</v>
      </c>
      <c r="AB571" s="62">
        <f>C569+AC571</f>
        <v>84</v>
      </c>
      <c r="AC571" s="20"/>
      <c r="AD571" s="21"/>
      <c r="AE571" s="57">
        <v>84</v>
      </c>
      <c r="AF571" s="23">
        <f t="shared" si="69"/>
        <v>-39</v>
      </c>
      <c r="AG571" s="23">
        <f t="shared" si="73"/>
        <v>-39</v>
      </c>
      <c r="AH571" s="23"/>
      <c r="AI571" s="23"/>
      <c r="AK571" s="1">
        <f>AVERAGE(AA567:AA571)</f>
        <v>69.599999999999994</v>
      </c>
    </row>
    <row r="572" spans="1:39" s="12" customFormat="1" hidden="1" outlineLevel="1">
      <c r="A572" s="95">
        <v>45668</v>
      </c>
      <c r="B572" s="25" t="s">
        <v>16</v>
      </c>
      <c r="C572" s="26"/>
      <c r="D572" s="29"/>
      <c r="E572" s="29">
        <f t="shared" si="72"/>
        <v>-105</v>
      </c>
      <c r="G572" s="64"/>
      <c r="H572" s="63"/>
      <c r="I572" s="27"/>
      <c r="J572" s="28"/>
      <c r="K572" s="43"/>
      <c r="L572" s="29"/>
      <c r="M572" s="29"/>
      <c r="N572" s="29"/>
      <c r="O572" s="29"/>
      <c r="Q572" s="64"/>
      <c r="R572" s="63"/>
      <c r="S572" s="27"/>
      <c r="T572" s="28"/>
      <c r="U572" s="43"/>
      <c r="V572" s="29">
        <f t="shared" si="74"/>
        <v>1</v>
      </c>
      <c r="W572" s="29">
        <f t="shared" si="75"/>
        <v>1</v>
      </c>
      <c r="X572" s="29"/>
      <c r="Y572" s="29"/>
      <c r="AA572" s="79"/>
      <c r="AB572" s="63"/>
      <c r="AC572" s="27"/>
      <c r="AD572" s="28"/>
      <c r="AE572" s="43"/>
      <c r="AF572" s="29">
        <f t="shared" si="69"/>
        <v>-39</v>
      </c>
      <c r="AG572" s="29">
        <f t="shared" si="73"/>
        <v>-39</v>
      </c>
      <c r="AH572" s="29"/>
      <c r="AI572" s="29"/>
      <c r="AJ572" s="11"/>
    </row>
    <row r="573" spans="1:39" s="12" customFormat="1" hidden="1" outlineLevel="1">
      <c r="A573" s="95">
        <v>45669</v>
      </c>
      <c r="B573" s="25" t="s">
        <v>17</v>
      </c>
      <c r="C573" s="26"/>
      <c r="D573" s="29"/>
      <c r="E573" s="29">
        <f t="shared" si="72"/>
        <v>-105</v>
      </c>
      <c r="G573" s="64"/>
      <c r="H573" s="63"/>
      <c r="I573" s="27"/>
      <c r="J573" s="28"/>
      <c r="K573" s="43"/>
      <c r="L573" s="29"/>
      <c r="M573" s="29"/>
      <c r="N573" s="29"/>
      <c r="O573" s="29"/>
      <c r="Q573" s="64"/>
      <c r="R573" s="63"/>
      <c r="S573" s="27"/>
      <c r="T573" s="28"/>
      <c r="U573" s="43"/>
      <c r="V573" s="29">
        <f t="shared" si="74"/>
        <v>1</v>
      </c>
      <c r="W573" s="29">
        <f t="shared" si="75"/>
        <v>1</v>
      </c>
      <c r="X573" s="29"/>
      <c r="Y573" s="29"/>
      <c r="AA573" s="79"/>
      <c r="AB573" s="63"/>
      <c r="AC573" s="27"/>
      <c r="AD573" s="28"/>
      <c r="AE573" s="43"/>
      <c r="AF573" s="29">
        <f t="shared" si="69"/>
        <v>-39</v>
      </c>
      <c r="AG573" s="29">
        <f t="shared" si="73"/>
        <v>-39</v>
      </c>
      <c r="AH573" s="29"/>
      <c r="AI573" s="29"/>
      <c r="AJ573" s="11"/>
    </row>
    <row r="574" spans="1:39" s="12" customFormat="1" hidden="1" outlineLevel="1" collapsed="1">
      <c r="A574" s="95">
        <v>45670</v>
      </c>
      <c r="B574" s="25" t="s">
        <v>18</v>
      </c>
      <c r="C574" s="26"/>
      <c r="D574" s="29">
        <v>54</v>
      </c>
      <c r="E574" s="29">
        <f t="shared" si="72"/>
        <v>-51</v>
      </c>
      <c r="G574" s="64"/>
      <c r="H574" s="63"/>
      <c r="I574" s="27"/>
      <c r="J574" s="28"/>
      <c r="K574" s="43"/>
      <c r="L574" s="29"/>
      <c r="M574" s="29"/>
      <c r="N574" s="29"/>
      <c r="O574" s="29"/>
      <c r="Q574" s="64"/>
      <c r="R574" s="63"/>
      <c r="S574" s="27"/>
      <c r="T574" s="28"/>
      <c r="U574" s="43"/>
      <c r="V574" s="29">
        <f t="shared" si="74"/>
        <v>1</v>
      </c>
      <c r="W574" s="29">
        <f t="shared" si="75"/>
        <v>1</v>
      </c>
      <c r="X574" s="29"/>
      <c r="Y574" s="29"/>
      <c r="AA574" s="79"/>
      <c r="AB574" s="63"/>
      <c r="AC574" s="27"/>
      <c r="AD574" s="28"/>
      <c r="AE574" s="43"/>
      <c r="AF574" s="29">
        <f t="shared" si="69"/>
        <v>-39</v>
      </c>
      <c r="AG574" s="29">
        <f t="shared" si="73"/>
        <v>-39</v>
      </c>
      <c r="AH574" s="29"/>
      <c r="AI574" s="29"/>
      <c r="AJ574" s="11"/>
    </row>
    <row r="575" spans="1:39" hidden="1" outlineLevel="1">
      <c r="A575" s="96">
        <v>45671</v>
      </c>
      <c r="B575" s="17" t="s">
        <v>19</v>
      </c>
      <c r="C575" s="18">
        <v>84</v>
      </c>
      <c r="D575" s="23">
        <v>78</v>
      </c>
      <c r="E575" s="23">
        <f t="shared" si="72"/>
        <v>-57</v>
      </c>
      <c r="G575" s="19"/>
      <c r="H575" s="62"/>
      <c r="I575" s="20"/>
      <c r="J575" s="21"/>
      <c r="K575" s="42"/>
      <c r="L575" s="23"/>
      <c r="M575" s="23"/>
      <c r="N575" s="23"/>
      <c r="O575" s="23"/>
      <c r="Q575" s="19"/>
      <c r="R575" s="62"/>
      <c r="S575" s="20"/>
      <c r="T575" s="21"/>
      <c r="U575" s="42"/>
      <c r="V575" s="23">
        <f t="shared" si="74"/>
        <v>1</v>
      </c>
      <c r="W575" s="23">
        <f t="shared" si="75"/>
        <v>1</v>
      </c>
      <c r="X575" s="23"/>
      <c r="Y575" s="23"/>
      <c r="AA575" s="78">
        <v>96</v>
      </c>
      <c r="AB575" s="62">
        <f>C570</f>
        <v>84</v>
      </c>
      <c r="AC575" s="20"/>
      <c r="AD575" s="21"/>
      <c r="AE575" s="57">
        <v>84</v>
      </c>
      <c r="AF575" s="23">
        <f t="shared" si="69"/>
        <v>-51</v>
      </c>
      <c r="AG575" s="23">
        <f t="shared" si="73"/>
        <v>-51</v>
      </c>
      <c r="AH575" s="23"/>
      <c r="AI575" s="23"/>
    </row>
    <row r="576" spans="1:39" hidden="1" outlineLevel="1">
      <c r="A576" s="96">
        <v>45672</v>
      </c>
      <c r="B576" s="17" t="s">
        <v>20</v>
      </c>
      <c r="C576" s="18">
        <v>84</v>
      </c>
      <c r="D576" s="23">
        <v>78</v>
      </c>
      <c r="E576" s="23">
        <f t="shared" si="72"/>
        <v>-63</v>
      </c>
      <c r="G576" s="19"/>
      <c r="H576" s="62"/>
      <c r="I576" s="20"/>
      <c r="J576" s="21"/>
      <c r="K576" s="42"/>
      <c r="L576" s="23"/>
      <c r="M576" s="23"/>
      <c r="N576" s="23"/>
      <c r="O576" s="23"/>
      <c r="Q576" s="19">
        <f>2-2</f>
        <v>0</v>
      </c>
      <c r="R576" s="62"/>
      <c r="S576" s="20"/>
      <c r="T576" s="21"/>
      <c r="U576" s="42"/>
      <c r="V576" s="23">
        <f t="shared" si="74"/>
        <v>1</v>
      </c>
      <c r="W576" s="23">
        <f t="shared" si="75"/>
        <v>1</v>
      </c>
      <c r="X576" s="23"/>
      <c r="Y576" s="23"/>
      <c r="AA576" s="78">
        <v>75</v>
      </c>
      <c r="AB576" s="62">
        <f>C571+AC576</f>
        <v>78</v>
      </c>
      <c r="AC576" s="20">
        <v>0</v>
      </c>
      <c r="AD576" s="21"/>
      <c r="AE576" s="57">
        <v>78</v>
      </c>
      <c r="AF576" s="23">
        <f t="shared" si="69"/>
        <v>-48</v>
      </c>
      <c r="AG576" s="23">
        <f t="shared" si="73"/>
        <v>-48</v>
      </c>
      <c r="AH576" s="23"/>
      <c r="AI576" s="23"/>
    </row>
    <row r="577" spans="1:37" hidden="1" outlineLevel="1">
      <c r="A577" s="96">
        <v>45673</v>
      </c>
      <c r="B577" s="17" t="s">
        <v>14</v>
      </c>
      <c r="C577" s="18">
        <v>72</v>
      </c>
      <c r="D577" s="23">
        <v>78</v>
      </c>
      <c r="E577" s="23">
        <f t="shared" si="72"/>
        <v>-57</v>
      </c>
      <c r="G577" s="19"/>
      <c r="H577" s="62"/>
      <c r="I577" s="20"/>
      <c r="J577" s="21"/>
      <c r="K577" s="42"/>
      <c r="L577" s="23"/>
      <c r="M577" s="23"/>
      <c r="N577" s="23"/>
      <c r="O577" s="23"/>
      <c r="Q577" s="19"/>
      <c r="R577" s="62"/>
      <c r="S577" s="20"/>
      <c r="T577" s="21"/>
      <c r="U577" s="42"/>
      <c r="V577" s="23">
        <f t="shared" si="74"/>
        <v>1</v>
      </c>
      <c r="W577" s="23">
        <f t="shared" si="75"/>
        <v>1</v>
      </c>
      <c r="X577" s="23"/>
      <c r="Y577" s="23">
        <v>14</v>
      </c>
      <c r="AA577" s="78">
        <v>78</v>
      </c>
      <c r="AB577" s="62">
        <f>C575</f>
        <v>84</v>
      </c>
      <c r="AC577" s="20"/>
      <c r="AD577" s="21"/>
      <c r="AE577" s="57">
        <v>84</v>
      </c>
      <c r="AF577" s="23">
        <f t="shared" si="69"/>
        <v>-42</v>
      </c>
      <c r="AG577" s="23">
        <f t="shared" si="73"/>
        <v>-42</v>
      </c>
      <c r="AH577" s="23"/>
      <c r="AI577" s="23"/>
    </row>
    <row r="578" spans="1:37" hidden="1" outlineLevel="1">
      <c r="A578" s="96">
        <v>45674</v>
      </c>
      <c r="B578" s="17" t="s">
        <v>15</v>
      </c>
      <c r="C578" s="18">
        <v>72</v>
      </c>
      <c r="D578" s="23">
        <v>78</v>
      </c>
      <c r="E578" s="23">
        <f t="shared" si="72"/>
        <v>-51</v>
      </c>
      <c r="G578" s="19"/>
      <c r="H578" s="62"/>
      <c r="I578" s="20"/>
      <c r="J578" s="21"/>
      <c r="K578" s="42"/>
      <c r="L578" s="23"/>
      <c r="M578" s="23"/>
      <c r="N578" s="23"/>
      <c r="O578" s="23"/>
      <c r="Q578" s="19"/>
      <c r="R578" s="62"/>
      <c r="S578" s="20"/>
      <c r="T578" s="21"/>
      <c r="U578" s="42"/>
      <c r="V578" s="23">
        <f t="shared" si="74"/>
        <v>1</v>
      </c>
      <c r="W578" s="23">
        <f t="shared" si="75"/>
        <v>1</v>
      </c>
      <c r="X578" s="23"/>
      <c r="Y578" s="23">
        <v>10</v>
      </c>
      <c r="AA578" s="78">
        <v>75</v>
      </c>
      <c r="AB578" s="62">
        <f>C576</f>
        <v>84</v>
      </c>
      <c r="AC578" s="20"/>
      <c r="AD578" s="21"/>
      <c r="AE578" s="57">
        <v>84</v>
      </c>
      <c r="AF578" s="23">
        <f t="shared" si="69"/>
        <v>-33</v>
      </c>
      <c r="AG578" s="23">
        <f t="shared" si="73"/>
        <v>-33</v>
      </c>
      <c r="AH578" s="23"/>
      <c r="AI578" s="23"/>
      <c r="AK578" s="1">
        <f>AVERAGE(AA575:AA578)</f>
        <v>81</v>
      </c>
    </row>
    <row r="579" spans="1:37" s="12" customFormat="1" hidden="1" outlineLevel="1">
      <c r="A579" s="95">
        <v>45675</v>
      </c>
      <c r="B579" s="25" t="s">
        <v>16</v>
      </c>
      <c r="C579" s="26"/>
      <c r="D579" s="29"/>
      <c r="E579" s="29">
        <f t="shared" si="72"/>
        <v>-51</v>
      </c>
      <c r="G579" s="64"/>
      <c r="H579" s="63"/>
      <c r="I579" s="27"/>
      <c r="J579" s="28"/>
      <c r="K579" s="43"/>
      <c r="L579" s="29"/>
      <c r="M579" s="29"/>
      <c r="N579" s="29"/>
      <c r="O579" s="29"/>
      <c r="Q579" s="64"/>
      <c r="R579" s="63"/>
      <c r="S579" s="27"/>
      <c r="T579" s="28"/>
      <c r="U579" s="43"/>
      <c r="V579" s="29">
        <f t="shared" si="74"/>
        <v>1</v>
      </c>
      <c r="W579" s="29">
        <f t="shared" si="75"/>
        <v>1</v>
      </c>
      <c r="X579" s="29"/>
      <c r="Y579" s="29"/>
      <c r="AA579" s="79"/>
      <c r="AB579" s="63"/>
      <c r="AC579" s="27"/>
      <c r="AD579" s="28"/>
      <c r="AE579" s="43"/>
      <c r="AF579" s="29">
        <f t="shared" si="69"/>
        <v>-33</v>
      </c>
      <c r="AG579" s="29">
        <f t="shared" si="73"/>
        <v>-33</v>
      </c>
      <c r="AH579" s="29"/>
      <c r="AI579" s="29"/>
      <c r="AJ579" s="11"/>
    </row>
    <row r="580" spans="1:37" s="12" customFormat="1" hidden="1" outlineLevel="1" collapsed="1">
      <c r="A580" s="95">
        <v>45676</v>
      </c>
      <c r="B580" s="25" t="s">
        <v>17</v>
      </c>
      <c r="C580" s="26"/>
      <c r="D580" s="29"/>
      <c r="E580" s="29">
        <f t="shared" si="72"/>
        <v>-51</v>
      </c>
      <c r="G580" s="64"/>
      <c r="H580" s="63"/>
      <c r="I580" s="27"/>
      <c r="J580" s="28"/>
      <c r="K580" s="43"/>
      <c r="L580" s="29"/>
      <c r="M580" s="29"/>
      <c r="N580" s="29"/>
      <c r="O580" s="29"/>
      <c r="Q580" s="64"/>
      <c r="R580" s="63"/>
      <c r="S580" s="27"/>
      <c r="T580" s="28"/>
      <c r="U580" s="43"/>
      <c r="V580" s="29">
        <f t="shared" si="74"/>
        <v>1</v>
      </c>
      <c r="W580" s="29">
        <f t="shared" si="75"/>
        <v>1</v>
      </c>
      <c r="X580" s="29"/>
      <c r="Y580" s="29"/>
      <c r="AA580" s="79"/>
      <c r="AB580" s="63"/>
      <c r="AC580" s="27"/>
      <c r="AD580" s="28"/>
      <c r="AE580" s="43"/>
      <c r="AF580" s="29">
        <f t="shared" si="69"/>
        <v>-33</v>
      </c>
      <c r="AG580" s="29">
        <f t="shared" si="73"/>
        <v>-33</v>
      </c>
      <c r="AH580" s="29"/>
      <c r="AI580" s="29"/>
      <c r="AJ580" s="11"/>
    </row>
    <row r="581" spans="1:37" hidden="1" outlineLevel="1">
      <c r="A581" s="96">
        <v>45677</v>
      </c>
      <c r="B581" s="17" t="s">
        <v>18</v>
      </c>
      <c r="C581" s="18">
        <v>78</v>
      </c>
      <c r="D581" s="23">
        <v>72</v>
      </c>
      <c r="E581" s="23">
        <f t="shared" si="72"/>
        <v>-57</v>
      </c>
      <c r="G581" s="19"/>
      <c r="H581" s="62"/>
      <c r="I581" s="20"/>
      <c r="J581" s="21"/>
      <c r="K581" s="42"/>
      <c r="L581" s="23"/>
      <c r="M581" s="23"/>
      <c r="N581" s="23"/>
      <c r="O581" s="23"/>
      <c r="Q581" s="19"/>
      <c r="R581" s="62"/>
      <c r="S581" s="20"/>
      <c r="T581" s="21"/>
      <c r="U581" s="42"/>
      <c r="V581" s="23">
        <f t="shared" si="74"/>
        <v>1</v>
      </c>
      <c r="W581" s="23">
        <f t="shared" si="75"/>
        <v>1</v>
      </c>
      <c r="X581" s="23"/>
      <c r="Y581" s="23">
        <v>22</v>
      </c>
      <c r="AA581" s="78">
        <v>66</v>
      </c>
      <c r="AB581" s="62">
        <f>C577</f>
        <v>72</v>
      </c>
      <c r="AC581" s="20"/>
      <c r="AD581" s="21"/>
      <c r="AE581" s="57">
        <v>72</v>
      </c>
      <c r="AF581" s="23">
        <f t="shared" si="69"/>
        <v>-27</v>
      </c>
      <c r="AG581" s="23">
        <f t="shared" si="73"/>
        <v>-27</v>
      </c>
      <c r="AH581" s="23"/>
      <c r="AI581" s="23"/>
    </row>
    <row r="582" spans="1:37" hidden="1" outlineLevel="1">
      <c r="A582" s="96">
        <v>45678</v>
      </c>
      <c r="B582" s="17" t="s">
        <v>19</v>
      </c>
      <c r="C582" s="18">
        <v>78</v>
      </c>
      <c r="D582" s="23">
        <v>72</v>
      </c>
      <c r="E582" s="23">
        <f t="shared" si="72"/>
        <v>-63</v>
      </c>
      <c r="G582" s="19"/>
      <c r="H582" s="62"/>
      <c r="I582" s="20"/>
      <c r="J582" s="21"/>
      <c r="K582" s="42"/>
      <c r="L582" s="23"/>
      <c r="M582" s="23"/>
      <c r="N582" s="23"/>
      <c r="O582" s="23"/>
      <c r="Q582" s="19"/>
      <c r="R582" s="62"/>
      <c r="S582" s="20"/>
      <c r="T582" s="21"/>
      <c r="U582" s="42"/>
      <c r="V582" s="23">
        <f t="shared" si="74"/>
        <v>1</v>
      </c>
      <c r="W582" s="23">
        <f t="shared" si="75"/>
        <v>1</v>
      </c>
      <c r="X582" s="23"/>
      <c r="Y582" s="23">
        <v>5</v>
      </c>
      <c r="AA582" s="78">
        <v>90</v>
      </c>
      <c r="AB582" s="62">
        <f>C578</f>
        <v>72</v>
      </c>
      <c r="AC582" s="20"/>
      <c r="AD582" s="21"/>
      <c r="AE582" s="57">
        <v>72</v>
      </c>
      <c r="AF582" s="23">
        <f t="shared" si="69"/>
        <v>-45</v>
      </c>
      <c r="AG582" s="23">
        <f t="shared" si="73"/>
        <v>-45</v>
      </c>
      <c r="AH582" s="23"/>
      <c r="AI582" s="23"/>
    </row>
    <row r="583" spans="1:37" hidden="1" outlineLevel="1">
      <c r="A583" s="96">
        <v>45679</v>
      </c>
      <c r="B583" s="17" t="s">
        <v>20</v>
      </c>
      <c r="C583" s="18">
        <v>78</v>
      </c>
      <c r="D583" s="23">
        <v>68</v>
      </c>
      <c r="E583" s="23">
        <f t="shared" si="72"/>
        <v>-73</v>
      </c>
      <c r="G583" s="19"/>
      <c r="H583" s="62"/>
      <c r="I583" s="20"/>
      <c r="J583" s="21"/>
      <c r="K583" s="42"/>
      <c r="L583" s="23"/>
      <c r="M583" s="23"/>
      <c r="N583" s="23"/>
      <c r="O583" s="23"/>
      <c r="Q583" s="19"/>
      <c r="R583" s="62"/>
      <c r="S583" s="20"/>
      <c r="T583" s="21"/>
      <c r="U583" s="42"/>
      <c r="V583" s="23">
        <f t="shared" si="74"/>
        <v>1</v>
      </c>
      <c r="W583" s="23">
        <f t="shared" si="75"/>
        <v>1</v>
      </c>
      <c r="X583" s="23"/>
      <c r="Y583" s="23"/>
      <c r="AA583" s="78">
        <v>69</v>
      </c>
      <c r="AB583" s="62">
        <f>C581+AC583</f>
        <v>78</v>
      </c>
      <c r="AC583" s="20"/>
      <c r="AD583" s="21"/>
      <c r="AE583" s="57">
        <v>78</v>
      </c>
      <c r="AF583" s="23">
        <f t="shared" si="69"/>
        <v>-36</v>
      </c>
      <c r="AG583" s="23">
        <f t="shared" si="73"/>
        <v>-36</v>
      </c>
      <c r="AH583" s="23"/>
      <c r="AI583" s="23">
        <v>16</v>
      </c>
    </row>
    <row r="584" spans="1:37" hidden="1" outlineLevel="1">
      <c r="A584" s="96">
        <v>45680</v>
      </c>
      <c r="B584" s="17" t="s">
        <v>14</v>
      </c>
      <c r="C584" s="18">
        <v>72</v>
      </c>
      <c r="D584" s="23">
        <v>66</v>
      </c>
      <c r="E584" s="23">
        <f t="shared" si="72"/>
        <v>-79</v>
      </c>
      <c r="G584" s="19"/>
      <c r="H584" s="62"/>
      <c r="I584" s="20"/>
      <c r="J584" s="21"/>
      <c r="K584" s="42"/>
      <c r="L584" s="23"/>
      <c r="M584" s="23"/>
      <c r="N584" s="23"/>
      <c r="O584" s="23"/>
      <c r="Q584" s="19"/>
      <c r="R584" s="62"/>
      <c r="S584" s="20"/>
      <c r="T584" s="21"/>
      <c r="U584" s="42"/>
      <c r="V584" s="23">
        <f t="shared" si="74"/>
        <v>1</v>
      </c>
      <c r="W584" s="23">
        <f t="shared" si="75"/>
        <v>1</v>
      </c>
      <c r="X584" s="23"/>
      <c r="Y584" s="23"/>
      <c r="AA584" s="78">
        <v>72</v>
      </c>
      <c r="AB584" s="62">
        <f>C582</f>
        <v>78</v>
      </c>
      <c r="AC584" s="20"/>
      <c r="AD584" s="21"/>
      <c r="AE584" s="57">
        <v>78</v>
      </c>
      <c r="AF584" s="23">
        <f t="shared" ref="AF584:AF592" si="76">AF583-AA584+AE584</f>
        <v>-30</v>
      </c>
      <c r="AG584" s="23">
        <f t="shared" ref="AG584:AG592" si="77">AG583-AA584+AB584</f>
        <v>-30</v>
      </c>
      <c r="AH584" s="23"/>
      <c r="AI584" s="23">
        <v>26</v>
      </c>
    </row>
    <row r="585" spans="1:37" hidden="1" outlineLevel="1">
      <c r="A585" s="96">
        <v>45681</v>
      </c>
      <c r="B585" s="17" t="s">
        <v>15</v>
      </c>
      <c r="C585" s="18">
        <v>72</v>
      </c>
      <c r="D585" s="23">
        <v>72</v>
      </c>
      <c r="E585" s="23">
        <f t="shared" si="72"/>
        <v>-79</v>
      </c>
      <c r="G585" s="19"/>
      <c r="H585" s="62"/>
      <c r="I585" s="20"/>
      <c r="J585" s="21"/>
      <c r="K585" s="42"/>
      <c r="L585" s="23"/>
      <c r="M585" s="23"/>
      <c r="N585" s="23"/>
      <c r="O585" s="23"/>
      <c r="Q585" s="19"/>
      <c r="R585" s="62"/>
      <c r="S585" s="20"/>
      <c r="T585" s="21"/>
      <c r="U585" s="42"/>
      <c r="V585" s="23">
        <f t="shared" si="74"/>
        <v>1</v>
      </c>
      <c r="W585" s="23">
        <f t="shared" si="75"/>
        <v>1</v>
      </c>
      <c r="X585" s="23"/>
      <c r="Y585" s="23"/>
      <c r="AA585" s="78">
        <v>71</v>
      </c>
      <c r="AB585" s="62">
        <f>C583+AC585</f>
        <v>80</v>
      </c>
      <c r="AC585" s="20">
        <v>2</v>
      </c>
      <c r="AD585" s="21"/>
      <c r="AE585" s="57">
        <v>80</v>
      </c>
      <c r="AF585" s="23">
        <f t="shared" si="76"/>
        <v>-21</v>
      </c>
      <c r="AG585" s="23">
        <f t="shared" si="77"/>
        <v>-21</v>
      </c>
      <c r="AH585" s="23"/>
      <c r="AI585" s="23">
        <v>25</v>
      </c>
      <c r="AK585" s="1">
        <f>AVERAGE(AA581:AA585)</f>
        <v>73.599999999999994</v>
      </c>
    </row>
    <row r="586" spans="1:37" s="12" customFormat="1" hidden="1" outlineLevel="1">
      <c r="A586" s="95">
        <v>45682</v>
      </c>
      <c r="B586" s="25" t="s">
        <v>16</v>
      </c>
      <c r="C586" s="26"/>
      <c r="D586" s="29"/>
      <c r="E586" s="29">
        <f t="shared" si="72"/>
        <v>-79</v>
      </c>
      <c r="G586" s="64"/>
      <c r="H586" s="63"/>
      <c r="I586" s="27"/>
      <c r="J586" s="28"/>
      <c r="K586" s="43"/>
      <c r="L586" s="29"/>
      <c r="M586" s="29"/>
      <c r="N586" s="29"/>
      <c r="O586" s="29"/>
      <c r="Q586" s="64"/>
      <c r="R586" s="63"/>
      <c r="S586" s="27"/>
      <c r="T586" s="28"/>
      <c r="U586" s="43"/>
      <c r="V586" s="29">
        <f t="shared" si="74"/>
        <v>1</v>
      </c>
      <c r="W586" s="29">
        <f t="shared" si="75"/>
        <v>1</v>
      </c>
      <c r="X586" s="29"/>
      <c r="Y586" s="29"/>
      <c r="AA586" s="79"/>
      <c r="AB586" s="63"/>
      <c r="AC586" s="27"/>
      <c r="AD586" s="28"/>
      <c r="AE586" s="43"/>
      <c r="AF586" s="29">
        <f t="shared" si="76"/>
        <v>-21</v>
      </c>
      <c r="AG586" s="29">
        <f t="shared" si="77"/>
        <v>-21</v>
      </c>
      <c r="AH586" s="29"/>
      <c r="AI586" s="29"/>
      <c r="AJ586" s="11"/>
    </row>
    <row r="587" spans="1:37" s="12" customFormat="1" hidden="1" outlineLevel="1" collapsed="1">
      <c r="A587" s="95">
        <v>45683</v>
      </c>
      <c r="B587" s="25" t="s">
        <v>17</v>
      </c>
      <c r="C587" s="26"/>
      <c r="D587" s="29"/>
      <c r="E587" s="29">
        <f t="shared" si="72"/>
        <v>-79</v>
      </c>
      <c r="G587" s="64"/>
      <c r="H587" s="63"/>
      <c r="I587" s="27"/>
      <c r="J587" s="28"/>
      <c r="K587" s="43"/>
      <c r="L587" s="29"/>
      <c r="M587" s="29"/>
      <c r="N587" s="29"/>
      <c r="O587" s="29"/>
      <c r="Q587" s="64"/>
      <c r="R587" s="63"/>
      <c r="S587" s="27"/>
      <c r="T587" s="28"/>
      <c r="U587" s="43"/>
      <c r="V587" s="29">
        <f t="shared" si="74"/>
        <v>1</v>
      </c>
      <c r="W587" s="29">
        <f t="shared" si="75"/>
        <v>1</v>
      </c>
      <c r="X587" s="29"/>
      <c r="Y587" s="29"/>
      <c r="AA587" s="79"/>
      <c r="AB587" s="63"/>
      <c r="AC587" s="27"/>
      <c r="AD587" s="28"/>
      <c r="AE587" s="43"/>
      <c r="AF587" s="29">
        <f t="shared" si="76"/>
        <v>-21</v>
      </c>
      <c r="AG587" s="29">
        <f t="shared" si="77"/>
        <v>-21</v>
      </c>
      <c r="AH587" s="29"/>
      <c r="AI587" s="29"/>
      <c r="AJ587" s="11"/>
    </row>
    <row r="588" spans="1:37" hidden="1" outlineLevel="1">
      <c r="A588" s="96">
        <v>45684</v>
      </c>
      <c r="B588" s="17" t="s">
        <v>18</v>
      </c>
      <c r="C588" s="18">
        <v>84</v>
      </c>
      <c r="D588" s="23">
        <v>84</v>
      </c>
      <c r="E588" s="23">
        <f t="shared" si="72"/>
        <v>-79</v>
      </c>
      <c r="G588" s="19"/>
      <c r="H588" s="62"/>
      <c r="I588" s="20"/>
      <c r="J588" s="21"/>
      <c r="K588" s="42"/>
      <c r="L588" s="23"/>
      <c r="M588" s="23"/>
      <c r="N588" s="23"/>
      <c r="O588" s="23"/>
      <c r="Q588" s="19"/>
      <c r="R588" s="62"/>
      <c r="S588" s="20"/>
      <c r="T588" s="21"/>
      <c r="U588" s="42"/>
      <c r="V588" s="23">
        <f t="shared" si="74"/>
        <v>1</v>
      </c>
      <c r="W588" s="23">
        <f t="shared" si="75"/>
        <v>1</v>
      </c>
      <c r="X588" s="23"/>
      <c r="Y588" s="23"/>
      <c r="AA588" s="78">
        <v>72</v>
      </c>
      <c r="AB588" s="62">
        <f>C584</f>
        <v>72</v>
      </c>
      <c r="AC588" s="20"/>
      <c r="AD588" s="21"/>
      <c r="AE588" s="57">
        <v>72</v>
      </c>
      <c r="AF588" s="23">
        <f t="shared" si="76"/>
        <v>-21</v>
      </c>
      <c r="AG588" s="23">
        <f t="shared" si="77"/>
        <v>-21</v>
      </c>
      <c r="AH588" s="23"/>
      <c r="AI588" s="23">
        <v>41</v>
      </c>
    </row>
    <row r="589" spans="1:37" hidden="1" outlineLevel="1">
      <c r="A589" s="96">
        <v>45685</v>
      </c>
      <c r="B589" s="17" t="s">
        <v>19</v>
      </c>
      <c r="C589" s="18">
        <v>84</v>
      </c>
      <c r="D589" s="23">
        <v>84</v>
      </c>
      <c r="E589" s="23">
        <f t="shared" si="72"/>
        <v>-79</v>
      </c>
      <c r="G589" s="19"/>
      <c r="H589" s="62"/>
      <c r="I589" s="20"/>
      <c r="J589" s="21"/>
      <c r="K589" s="42"/>
      <c r="L589" s="23"/>
      <c r="M589" s="23"/>
      <c r="N589" s="23"/>
      <c r="O589" s="23"/>
      <c r="Q589" s="19"/>
      <c r="R589" s="62"/>
      <c r="S589" s="20"/>
      <c r="T589" s="21"/>
      <c r="U589" s="42"/>
      <c r="V589" s="23">
        <f t="shared" si="74"/>
        <v>1</v>
      </c>
      <c r="W589" s="23">
        <f t="shared" si="75"/>
        <v>1</v>
      </c>
      <c r="X589" s="23"/>
      <c r="Y589" s="23"/>
      <c r="AA589" s="78">
        <v>75</v>
      </c>
      <c r="AB589" s="62">
        <f>C585</f>
        <v>72</v>
      </c>
      <c r="AC589" s="20"/>
      <c r="AD589" s="21"/>
      <c r="AE589" s="57">
        <v>72</v>
      </c>
      <c r="AF589" s="23">
        <f t="shared" si="76"/>
        <v>-24</v>
      </c>
      <c r="AG589" s="23">
        <f t="shared" si="77"/>
        <v>-24</v>
      </c>
      <c r="AH589" s="23"/>
      <c r="AI589" s="23">
        <v>22</v>
      </c>
    </row>
    <row r="590" spans="1:37" hidden="1" outlineLevel="1">
      <c r="A590" s="96">
        <v>45686</v>
      </c>
      <c r="B590" s="17" t="s">
        <v>20</v>
      </c>
      <c r="C590" s="18">
        <v>84</v>
      </c>
      <c r="D590" s="23">
        <v>72</v>
      </c>
      <c r="E590" s="23">
        <f t="shared" si="72"/>
        <v>-91</v>
      </c>
      <c r="G590" s="19"/>
      <c r="H590" s="62"/>
      <c r="I590" s="20"/>
      <c r="J590" s="21"/>
      <c r="K590" s="42"/>
      <c r="L590" s="23"/>
      <c r="M590" s="23"/>
      <c r="N590" s="23"/>
      <c r="O590" s="23"/>
      <c r="Q590" s="19"/>
      <c r="R590" s="62"/>
      <c r="S590" s="20"/>
      <c r="T590" s="21"/>
      <c r="U590" s="42"/>
      <c r="V590" s="23">
        <f t="shared" si="74"/>
        <v>1</v>
      </c>
      <c r="W590" s="23">
        <f t="shared" si="75"/>
        <v>1</v>
      </c>
      <c r="X590" s="23"/>
      <c r="Y590" s="23"/>
      <c r="AA590" s="78">
        <v>60</v>
      </c>
      <c r="AB590" s="62">
        <f>C588</f>
        <v>84</v>
      </c>
      <c r="AC590" s="20"/>
      <c r="AD590" s="21"/>
      <c r="AE590" s="57">
        <v>84</v>
      </c>
      <c r="AF590" s="23">
        <f t="shared" si="76"/>
        <v>0</v>
      </c>
      <c r="AG590" s="23">
        <f t="shared" si="77"/>
        <v>0</v>
      </c>
      <c r="AH590" s="23"/>
      <c r="AI590" s="23">
        <v>16</v>
      </c>
    </row>
    <row r="591" spans="1:37" hidden="1" outlineLevel="1">
      <c r="A591" s="96">
        <v>45687</v>
      </c>
      <c r="B591" s="17" t="s">
        <v>14</v>
      </c>
      <c r="C591" s="18">
        <v>84</v>
      </c>
      <c r="D591" s="23">
        <v>79</v>
      </c>
      <c r="E591" s="23">
        <f t="shared" si="72"/>
        <v>-96</v>
      </c>
      <c r="G591" s="19"/>
      <c r="H591" s="62"/>
      <c r="I591" s="20"/>
      <c r="J591" s="21"/>
      <c r="K591" s="42"/>
      <c r="L591" s="23"/>
      <c r="M591" s="23"/>
      <c r="N591" s="23"/>
      <c r="O591" s="23"/>
      <c r="Q591" s="19"/>
      <c r="R591" s="62"/>
      <c r="S591" s="20"/>
      <c r="T591" s="21"/>
      <c r="U591" s="42"/>
      <c r="V591" s="23">
        <f t="shared" si="74"/>
        <v>1</v>
      </c>
      <c r="W591" s="23">
        <f t="shared" si="75"/>
        <v>1</v>
      </c>
      <c r="X591" s="23"/>
      <c r="Y591" s="23"/>
      <c r="AA591" s="78">
        <v>96</v>
      </c>
      <c r="AB591" s="62">
        <f>C589</f>
        <v>84</v>
      </c>
      <c r="AC591" s="20"/>
      <c r="AD591" s="21"/>
      <c r="AE591" s="57">
        <v>84</v>
      </c>
      <c r="AF591" s="23">
        <f t="shared" si="76"/>
        <v>-12</v>
      </c>
      <c r="AG591" s="23">
        <f t="shared" si="77"/>
        <v>-12</v>
      </c>
      <c r="AH591" s="23"/>
      <c r="AI591" s="23">
        <v>0</v>
      </c>
    </row>
    <row r="592" spans="1:37" hidden="1" outlineLevel="1">
      <c r="A592" s="96">
        <v>45688</v>
      </c>
      <c r="B592" s="17" t="s">
        <v>15</v>
      </c>
      <c r="C592" s="18">
        <v>84</v>
      </c>
      <c r="D592" s="23">
        <v>70</v>
      </c>
      <c r="E592" s="23">
        <f t="shared" si="72"/>
        <v>-110</v>
      </c>
      <c r="G592" s="19"/>
      <c r="H592" s="62"/>
      <c r="I592" s="20"/>
      <c r="J592" s="21"/>
      <c r="K592" s="42"/>
      <c r="L592" s="23"/>
      <c r="M592" s="23"/>
      <c r="N592" s="23"/>
      <c r="O592" s="23"/>
      <c r="Q592" s="19"/>
      <c r="R592" s="62"/>
      <c r="S592" s="20"/>
      <c r="T592" s="21"/>
      <c r="U592" s="42"/>
      <c r="V592" s="23">
        <f t="shared" si="74"/>
        <v>1</v>
      </c>
      <c r="W592" s="23">
        <f t="shared" si="75"/>
        <v>1</v>
      </c>
      <c r="X592" s="23"/>
      <c r="Y592" s="23"/>
      <c r="AA592" s="78">
        <v>84</v>
      </c>
      <c r="AB592" s="62">
        <f>C590</f>
        <v>84</v>
      </c>
      <c r="AC592" s="20"/>
      <c r="AD592" s="21"/>
      <c r="AE592" s="57">
        <v>84</v>
      </c>
      <c r="AF592" s="23">
        <f t="shared" si="76"/>
        <v>-12</v>
      </c>
      <c r="AG592" s="23">
        <f t="shared" si="77"/>
        <v>-12</v>
      </c>
      <c r="AH592" s="23"/>
      <c r="AI592" s="23">
        <v>14</v>
      </c>
      <c r="AK592" s="1">
        <f>AVERAGE(AA588:AA592)</f>
        <v>77.400000000000006</v>
      </c>
    </row>
    <row r="593" spans="1:38" s="12" customFormat="1" hidden="1" outlineLevel="1">
      <c r="A593" s="95">
        <v>45689</v>
      </c>
      <c r="B593" s="25" t="s">
        <v>16</v>
      </c>
      <c r="C593" s="26"/>
      <c r="D593" s="29"/>
      <c r="E593" s="29">
        <f t="shared" si="72"/>
        <v>-110</v>
      </c>
      <c r="G593" s="64"/>
      <c r="H593" s="63"/>
      <c r="I593" s="27"/>
      <c r="J593" s="28"/>
      <c r="K593" s="43"/>
      <c r="L593" s="29"/>
      <c r="M593" s="29"/>
      <c r="N593" s="29"/>
      <c r="O593" s="29"/>
      <c r="Q593" s="64"/>
      <c r="R593" s="63"/>
      <c r="S593" s="27"/>
      <c r="T593" s="28"/>
      <c r="U593" s="43"/>
      <c r="V593" s="29">
        <f t="shared" ref="V593:V621" si="78">V592-Q593+U593</f>
        <v>1</v>
      </c>
      <c r="W593" s="29">
        <f t="shared" ref="W593:W621" si="79">W592-Q593+R593</f>
        <v>1</v>
      </c>
      <c r="X593" s="29"/>
      <c r="Y593" s="29"/>
      <c r="AA593" s="79"/>
      <c r="AB593" s="63"/>
      <c r="AC593" s="27"/>
      <c r="AD593" s="28"/>
      <c r="AE593" s="43"/>
      <c r="AF593" s="29">
        <f t="shared" ref="AF593:AF621" si="80">AF592-AA593+AE593</f>
        <v>-12</v>
      </c>
      <c r="AG593" s="29">
        <f t="shared" ref="AG593:AG621" si="81">AG592-AA593+AB593</f>
        <v>-12</v>
      </c>
      <c r="AH593" s="29"/>
      <c r="AI593" s="29"/>
      <c r="AJ593" s="11"/>
    </row>
    <row r="594" spans="1:38" s="12" customFormat="1" hidden="1" outlineLevel="1" collapsed="1">
      <c r="A594" s="95">
        <v>45690</v>
      </c>
      <c r="B594" s="25" t="s">
        <v>17</v>
      </c>
      <c r="C594" s="26"/>
      <c r="D594" s="29"/>
      <c r="E594" s="29">
        <f t="shared" si="72"/>
        <v>-110</v>
      </c>
      <c r="G594" s="64"/>
      <c r="H594" s="63"/>
      <c r="I594" s="27"/>
      <c r="J594" s="28"/>
      <c r="K594" s="43"/>
      <c r="L594" s="29"/>
      <c r="M594" s="29"/>
      <c r="N594" s="29"/>
      <c r="O594" s="29"/>
      <c r="Q594" s="64"/>
      <c r="R594" s="63"/>
      <c r="S594" s="27"/>
      <c r="T594" s="28"/>
      <c r="U594" s="43"/>
      <c r="V594" s="29">
        <f t="shared" si="78"/>
        <v>1</v>
      </c>
      <c r="W594" s="29">
        <f t="shared" si="79"/>
        <v>1</v>
      </c>
      <c r="X594" s="29"/>
      <c r="Y594" s="29"/>
      <c r="AA594" s="79"/>
      <c r="AB594" s="63"/>
      <c r="AC594" s="27"/>
      <c r="AD594" s="28"/>
      <c r="AE594" s="43"/>
      <c r="AF594" s="29">
        <f t="shared" si="80"/>
        <v>-12</v>
      </c>
      <c r="AG594" s="29">
        <f t="shared" si="81"/>
        <v>-12</v>
      </c>
      <c r="AH594" s="29"/>
      <c r="AI594" s="29"/>
      <c r="AJ594" s="11"/>
    </row>
    <row r="595" spans="1:38" hidden="1" outlineLevel="1">
      <c r="A595" s="96">
        <v>45691</v>
      </c>
      <c r="B595" s="17" t="s">
        <v>18</v>
      </c>
      <c r="C595" s="18">
        <v>60</v>
      </c>
      <c r="D595" s="23">
        <v>84</v>
      </c>
      <c r="E595" s="23">
        <f t="shared" si="72"/>
        <v>-86</v>
      </c>
      <c r="G595" s="19"/>
      <c r="H595" s="62"/>
      <c r="I595" s="20"/>
      <c r="J595" s="21"/>
      <c r="K595" s="42"/>
      <c r="L595" s="23"/>
      <c r="M595" s="23"/>
      <c r="N595" s="23"/>
      <c r="O595" s="23"/>
      <c r="Q595" s="19"/>
      <c r="R595" s="62"/>
      <c r="S595" s="20"/>
      <c r="T595" s="21"/>
      <c r="U595" s="42"/>
      <c r="V595" s="23">
        <f t="shared" si="78"/>
        <v>1</v>
      </c>
      <c r="W595" s="23">
        <f t="shared" si="79"/>
        <v>1</v>
      </c>
      <c r="X595" s="23"/>
      <c r="Y595" s="23"/>
      <c r="AA595" s="78">
        <f>66+1</f>
        <v>67</v>
      </c>
      <c r="AB595" s="62">
        <f>C591+AC595</f>
        <v>85</v>
      </c>
      <c r="AC595" s="20">
        <v>1</v>
      </c>
      <c r="AD595" s="21"/>
      <c r="AE595" s="57">
        <v>85</v>
      </c>
      <c r="AF595" s="23">
        <f t="shared" si="80"/>
        <v>6</v>
      </c>
      <c r="AG595" s="23">
        <f t="shared" si="81"/>
        <v>6</v>
      </c>
      <c r="AH595" s="23"/>
      <c r="AI595" s="23">
        <v>14</v>
      </c>
      <c r="AL595" s="287" t="s">
        <v>68</v>
      </c>
    </row>
    <row r="596" spans="1:38" hidden="1" outlineLevel="1">
      <c r="A596" s="96">
        <v>45692</v>
      </c>
      <c r="B596" s="17" t="s">
        <v>19</v>
      </c>
      <c r="C596" s="18">
        <v>60</v>
      </c>
      <c r="D596" s="23">
        <v>74</v>
      </c>
      <c r="E596" s="23">
        <f t="shared" si="72"/>
        <v>-72</v>
      </c>
      <c r="G596" s="19"/>
      <c r="H596" s="62"/>
      <c r="I596" s="20"/>
      <c r="J596" s="21"/>
      <c r="K596" s="42"/>
      <c r="L596" s="23"/>
      <c r="M596" s="23"/>
      <c r="N596" s="23"/>
      <c r="O596" s="23"/>
      <c r="Q596" s="19"/>
      <c r="R596" s="62"/>
      <c r="S596" s="20"/>
      <c r="T596" s="21"/>
      <c r="U596" s="42"/>
      <c r="V596" s="23">
        <f t="shared" si="78"/>
        <v>1</v>
      </c>
      <c r="W596" s="23">
        <f t="shared" si="79"/>
        <v>1</v>
      </c>
      <c r="X596" s="23"/>
      <c r="Y596" s="23"/>
      <c r="AA596" s="78">
        <v>69</v>
      </c>
      <c r="AB596" s="62">
        <f>C592</f>
        <v>84</v>
      </c>
      <c r="AC596" s="20"/>
      <c r="AD596" s="21"/>
      <c r="AE596" s="57">
        <v>84</v>
      </c>
      <c r="AF596" s="23">
        <f t="shared" si="80"/>
        <v>21</v>
      </c>
      <c r="AG596" s="23">
        <f t="shared" si="81"/>
        <v>21</v>
      </c>
      <c r="AH596" s="23"/>
      <c r="AI596" s="23">
        <v>17</v>
      </c>
    </row>
    <row r="597" spans="1:38" hidden="1" outlineLevel="1">
      <c r="A597" s="96">
        <v>45693</v>
      </c>
      <c r="B597" s="17" t="s">
        <v>20</v>
      </c>
      <c r="C597" s="18">
        <v>60</v>
      </c>
      <c r="D597" s="23">
        <v>66</v>
      </c>
      <c r="E597" s="23">
        <f t="shared" si="72"/>
        <v>-66</v>
      </c>
      <c r="G597" s="19"/>
      <c r="H597" s="62"/>
      <c r="I597" s="20"/>
      <c r="J597" s="21"/>
      <c r="K597" s="42"/>
      <c r="L597" s="23"/>
      <c r="M597" s="23"/>
      <c r="N597" s="23"/>
      <c r="O597" s="23"/>
      <c r="Q597" s="19"/>
      <c r="R597" s="62"/>
      <c r="S597" s="20"/>
      <c r="T597" s="21"/>
      <c r="U597" s="42"/>
      <c r="V597" s="23">
        <f t="shared" si="78"/>
        <v>1</v>
      </c>
      <c r="W597" s="23">
        <f t="shared" si="79"/>
        <v>1</v>
      </c>
      <c r="X597" s="23"/>
      <c r="Y597" s="23"/>
      <c r="AA597" s="78">
        <v>54</v>
      </c>
      <c r="AB597" s="62">
        <f>C595</f>
        <v>60</v>
      </c>
      <c r="AC597" s="20"/>
      <c r="AD597" s="21"/>
      <c r="AE597" s="57">
        <v>60</v>
      </c>
      <c r="AF597" s="23">
        <f t="shared" si="80"/>
        <v>27</v>
      </c>
      <c r="AG597" s="23">
        <f t="shared" si="81"/>
        <v>27</v>
      </c>
      <c r="AH597" s="23"/>
      <c r="AI597" s="23">
        <v>0</v>
      </c>
    </row>
    <row r="598" spans="1:38" hidden="1" outlineLevel="1">
      <c r="A598" s="96">
        <v>45694</v>
      </c>
      <c r="B598" s="17" t="s">
        <v>14</v>
      </c>
      <c r="C598" s="18">
        <v>66</v>
      </c>
      <c r="D598" s="23">
        <v>72</v>
      </c>
      <c r="E598" s="23">
        <f t="shared" si="72"/>
        <v>-60</v>
      </c>
      <c r="G598" s="19"/>
      <c r="H598" s="62"/>
      <c r="I598" s="20"/>
      <c r="J598" s="21"/>
      <c r="K598" s="42"/>
      <c r="L598" s="23"/>
      <c r="M598" s="23"/>
      <c r="N598" s="23"/>
      <c r="O598" s="23"/>
      <c r="Q598" s="19"/>
      <c r="R598" s="62"/>
      <c r="S598" s="20"/>
      <c r="T598" s="21"/>
      <c r="U598" s="42"/>
      <c r="V598" s="23">
        <f t="shared" si="78"/>
        <v>1</v>
      </c>
      <c r="W598" s="23">
        <f t="shared" si="79"/>
        <v>1</v>
      </c>
      <c r="X598" s="23"/>
      <c r="Y598" s="23"/>
      <c r="AA598" s="78">
        <v>72</v>
      </c>
      <c r="AB598" s="62">
        <f>C596</f>
        <v>60</v>
      </c>
      <c r="AC598" s="20"/>
      <c r="AD598" s="21"/>
      <c r="AE598" s="57">
        <v>60</v>
      </c>
      <c r="AF598" s="23">
        <f t="shared" si="80"/>
        <v>15</v>
      </c>
      <c r="AG598" s="23">
        <f t="shared" si="81"/>
        <v>15</v>
      </c>
      <c r="AH598" s="23"/>
      <c r="AI598" s="23"/>
    </row>
    <row r="599" spans="1:38" hidden="1" outlineLevel="1">
      <c r="A599" s="96">
        <v>45695</v>
      </c>
      <c r="B599" s="17" t="s">
        <v>15</v>
      </c>
      <c r="C599" s="18">
        <v>66</v>
      </c>
      <c r="D599" s="23">
        <v>66</v>
      </c>
      <c r="E599" s="23">
        <f t="shared" si="72"/>
        <v>-60</v>
      </c>
      <c r="G599" s="19"/>
      <c r="H599" s="62"/>
      <c r="I599" s="20"/>
      <c r="J599" s="21"/>
      <c r="K599" s="42"/>
      <c r="L599" s="23"/>
      <c r="M599" s="23"/>
      <c r="N599" s="23"/>
      <c r="O599" s="23"/>
      <c r="Q599" s="19"/>
      <c r="R599" s="62"/>
      <c r="S599" s="20"/>
      <c r="T599" s="21"/>
      <c r="U599" s="42"/>
      <c r="V599" s="23">
        <f t="shared" si="78"/>
        <v>1</v>
      </c>
      <c r="W599" s="23">
        <f t="shared" si="79"/>
        <v>1</v>
      </c>
      <c r="X599" s="23"/>
      <c r="Y599" s="23"/>
      <c r="AA599" s="78">
        <v>57</v>
      </c>
      <c r="AB599" s="62">
        <f>C597</f>
        <v>60</v>
      </c>
      <c r="AC599" s="20"/>
      <c r="AD599" s="21"/>
      <c r="AE599" s="57">
        <v>60</v>
      </c>
      <c r="AF599" s="23">
        <f t="shared" si="80"/>
        <v>18</v>
      </c>
      <c r="AG599" s="23">
        <f t="shared" si="81"/>
        <v>18</v>
      </c>
      <c r="AH599" s="23"/>
      <c r="AI599" s="23"/>
      <c r="AK599" s="1">
        <f>AVERAGE(AA595:AA599)</f>
        <v>63.8</v>
      </c>
    </row>
    <row r="600" spans="1:38" s="12" customFormat="1" hidden="1" outlineLevel="1">
      <c r="A600" s="95">
        <v>45696</v>
      </c>
      <c r="B600" s="25" t="s">
        <v>16</v>
      </c>
      <c r="C600" s="26"/>
      <c r="D600" s="29"/>
      <c r="E600" s="29">
        <f t="shared" si="72"/>
        <v>-60</v>
      </c>
      <c r="G600" s="64"/>
      <c r="H600" s="63"/>
      <c r="I600" s="27"/>
      <c r="J600" s="28"/>
      <c r="K600" s="43"/>
      <c r="L600" s="29"/>
      <c r="M600" s="29"/>
      <c r="N600" s="29"/>
      <c r="O600" s="29"/>
      <c r="Q600" s="64"/>
      <c r="R600" s="63"/>
      <c r="S600" s="27"/>
      <c r="T600" s="28"/>
      <c r="U600" s="43"/>
      <c r="V600" s="29">
        <f t="shared" si="78"/>
        <v>1</v>
      </c>
      <c r="W600" s="29">
        <f t="shared" si="79"/>
        <v>1</v>
      </c>
      <c r="X600" s="29"/>
      <c r="Y600" s="29"/>
      <c r="AA600" s="79"/>
      <c r="AB600" s="63"/>
      <c r="AC600" s="27"/>
      <c r="AD600" s="28"/>
      <c r="AE600" s="43"/>
      <c r="AF600" s="29">
        <f t="shared" si="80"/>
        <v>18</v>
      </c>
      <c r="AG600" s="29">
        <f t="shared" si="81"/>
        <v>18</v>
      </c>
      <c r="AH600" s="29"/>
      <c r="AI600" s="29"/>
      <c r="AJ600" s="11"/>
    </row>
    <row r="601" spans="1:38" s="12" customFormat="1" hidden="1" outlineLevel="1" collapsed="1">
      <c r="A601" s="95">
        <v>45697</v>
      </c>
      <c r="B601" s="25" t="s">
        <v>17</v>
      </c>
      <c r="C601" s="26"/>
      <c r="D601" s="29"/>
      <c r="E601" s="29">
        <f t="shared" si="72"/>
        <v>-60</v>
      </c>
      <c r="G601" s="64"/>
      <c r="H601" s="63"/>
      <c r="I601" s="27"/>
      <c r="J601" s="28"/>
      <c r="K601" s="43"/>
      <c r="L601" s="29"/>
      <c r="M601" s="29"/>
      <c r="N601" s="29"/>
      <c r="O601" s="29"/>
      <c r="Q601" s="64"/>
      <c r="R601" s="63"/>
      <c r="S601" s="27"/>
      <c r="T601" s="28"/>
      <c r="U601" s="43"/>
      <c r="V601" s="29">
        <f t="shared" si="78"/>
        <v>1</v>
      </c>
      <c r="W601" s="29">
        <f t="shared" si="79"/>
        <v>1</v>
      </c>
      <c r="X601" s="29"/>
      <c r="Y601" s="29"/>
      <c r="AA601" s="79"/>
      <c r="AB601" s="63"/>
      <c r="AC601" s="27"/>
      <c r="AD601" s="28"/>
      <c r="AE601" s="43"/>
      <c r="AF601" s="29">
        <f t="shared" si="80"/>
        <v>18</v>
      </c>
      <c r="AG601" s="29">
        <f t="shared" si="81"/>
        <v>18</v>
      </c>
      <c r="AH601" s="29"/>
      <c r="AI601" s="29"/>
      <c r="AJ601" s="11"/>
    </row>
    <row r="602" spans="1:38" hidden="1" outlineLevel="1">
      <c r="A602" s="96">
        <v>45698</v>
      </c>
      <c r="B602" s="17" t="s">
        <v>18</v>
      </c>
      <c r="C602" s="18">
        <v>66</v>
      </c>
      <c r="D602" s="23">
        <v>66</v>
      </c>
      <c r="E602" s="23">
        <f t="shared" si="72"/>
        <v>-60</v>
      </c>
      <c r="G602" s="19"/>
      <c r="H602" s="62"/>
      <c r="I602" s="20"/>
      <c r="J602" s="21"/>
      <c r="K602" s="42"/>
      <c r="L602" s="23"/>
      <c r="M602" s="23"/>
      <c r="N602" s="23"/>
      <c r="O602" s="23"/>
      <c r="Q602" s="19"/>
      <c r="R602" s="62"/>
      <c r="S602" s="20"/>
      <c r="T602" s="21"/>
      <c r="U602" s="42"/>
      <c r="V602" s="23">
        <f t="shared" si="78"/>
        <v>1</v>
      </c>
      <c r="W602" s="23">
        <f t="shared" si="79"/>
        <v>1</v>
      </c>
      <c r="X602" s="23"/>
      <c r="Y602" s="23"/>
      <c r="AA602" s="78">
        <v>72</v>
      </c>
      <c r="AB602" s="62">
        <f>C598</f>
        <v>66</v>
      </c>
      <c r="AC602" s="20"/>
      <c r="AD602" s="21"/>
      <c r="AE602" s="57">
        <v>66</v>
      </c>
      <c r="AF602" s="23">
        <f t="shared" si="80"/>
        <v>12</v>
      </c>
      <c r="AG602" s="23">
        <f t="shared" si="81"/>
        <v>12</v>
      </c>
      <c r="AH602" s="23"/>
      <c r="AI602" s="23"/>
    </row>
    <row r="603" spans="1:38" hidden="1" outlineLevel="1">
      <c r="A603" s="96">
        <v>45699</v>
      </c>
      <c r="B603" s="17" t="s">
        <v>19</v>
      </c>
      <c r="C603" s="18">
        <v>66</v>
      </c>
      <c r="D603" s="23">
        <v>66</v>
      </c>
      <c r="E603" s="23">
        <f t="shared" si="72"/>
        <v>-60</v>
      </c>
      <c r="G603" s="19"/>
      <c r="H603" s="62"/>
      <c r="I603" s="20"/>
      <c r="J603" s="21"/>
      <c r="K603" s="42"/>
      <c r="L603" s="23"/>
      <c r="M603" s="23"/>
      <c r="N603" s="23"/>
      <c r="O603" s="23"/>
      <c r="Q603" s="19"/>
      <c r="R603" s="62"/>
      <c r="S603" s="20"/>
      <c r="T603" s="21"/>
      <c r="U603" s="42"/>
      <c r="V603" s="23">
        <f t="shared" si="78"/>
        <v>1</v>
      </c>
      <c r="W603" s="23">
        <f t="shared" si="79"/>
        <v>1</v>
      </c>
      <c r="X603" s="23"/>
      <c r="Y603" s="23"/>
      <c r="AA603" s="78">
        <v>75</v>
      </c>
      <c r="AB603" s="62">
        <f>C599</f>
        <v>66</v>
      </c>
      <c r="AC603" s="20"/>
      <c r="AD603" s="21"/>
      <c r="AE603" s="57">
        <v>66</v>
      </c>
      <c r="AF603" s="23">
        <f t="shared" si="80"/>
        <v>3</v>
      </c>
      <c r="AG603" s="23">
        <f t="shared" si="81"/>
        <v>3</v>
      </c>
      <c r="AH603" s="23"/>
      <c r="AI603" s="23">
        <v>10</v>
      </c>
    </row>
    <row r="604" spans="1:38" hidden="1" outlineLevel="1">
      <c r="A604" s="96">
        <v>45700</v>
      </c>
      <c r="B604" s="17" t="s">
        <v>20</v>
      </c>
      <c r="C604" s="18">
        <v>72</v>
      </c>
      <c r="D604" s="23">
        <v>72</v>
      </c>
      <c r="E604" s="23">
        <f t="shared" si="72"/>
        <v>-60</v>
      </c>
      <c r="G604" s="19"/>
      <c r="H604" s="62"/>
      <c r="I604" s="20"/>
      <c r="J604" s="21"/>
      <c r="K604" s="42"/>
      <c r="L604" s="23"/>
      <c r="M604" s="23"/>
      <c r="N604" s="23"/>
      <c r="O604" s="23"/>
      <c r="Q604" s="19"/>
      <c r="R604" s="62"/>
      <c r="S604" s="20"/>
      <c r="T604" s="21"/>
      <c r="U604" s="42"/>
      <c r="V604" s="23">
        <f t="shared" si="78"/>
        <v>1</v>
      </c>
      <c r="W604" s="23">
        <f t="shared" si="79"/>
        <v>1</v>
      </c>
      <c r="X604" s="23"/>
      <c r="Y604" s="23"/>
      <c r="AA604" s="78">
        <v>57</v>
      </c>
      <c r="AB604" s="62">
        <f>C602</f>
        <v>66</v>
      </c>
      <c r="AC604" s="20"/>
      <c r="AD604" s="21"/>
      <c r="AE604" s="57">
        <v>66</v>
      </c>
      <c r="AF604" s="23">
        <f t="shared" si="80"/>
        <v>12</v>
      </c>
      <c r="AG604" s="23">
        <f t="shared" si="81"/>
        <v>12</v>
      </c>
      <c r="AH604" s="23"/>
      <c r="AI604" s="23">
        <v>9</v>
      </c>
    </row>
    <row r="605" spans="1:38" hidden="1" outlineLevel="1">
      <c r="A605" s="96">
        <v>45701</v>
      </c>
      <c r="B605" s="17" t="s">
        <v>14</v>
      </c>
      <c r="C605" s="18">
        <v>72</v>
      </c>
      <c r="D605" s="23">
        <v>72</v>
      </c>
      <c r="E605" s="23">
        <f t="shared" si="72"/>
        <v>-60</v>
      </c>
      <c r="G605" s="19"/>
      <c r="H605" s="62"/>
      <c r="I605" s="20"/>
      <c r="J605" s="21"/>
      <c r="K605" s="42"/>
      <c r="L605" s="23"/>
      <c r="M605" s="23"/>
      <c r="N605" s="23"/>
      <c r="O605" s="23"/>
      <c r="Q605" s="19"/>
      <c r="R605" s="62"/>
      <c r="S605" s="20"/>
      <c r="T605" s="21"/>
      <c r="U605" s="42"/>
      <c r="V605" s="23">
        <f t="shared" si="78"/>
        <v>1</v>
      </c>
      <c r="W605" s="23">
        <f t="shared" si="79"/>
        <v>1</v>
      </c>
      <c r="X605" s="23"/>
      <c r="Y605" s="23"/>
      <c r="AA605" s="78">
        <v>75</v>
      </c>
      <c r="AB605" s="62">
        <f>C603</f>
        <v>66</v>
      </c>
      <c r="AC605" s="20"/>
      <c r="AD605" s="21"/>
      <c r="AE605" s="57">
        <v>66</v>
      </c>
      <c r="AF605" s="23">
        <f t="shared" si="80"/>
        <v>3</v>
      </c>
      <c r="AG605" s="23">
        <f t="shared" si="81"/>
        <v>3</v>
      </c>
      <c r="AH605" s="23"/>
      <c r="AI605" s="23">
        <v>18</v>
      </c>
    </row>
    <row r="606" spans="1:38" hidden="1" outlineLevel="1">
      <c r="A606" s="96">
        <v>45702</v>
      </c>
      <c r="B606" s="17" t="s">
        <v>15</v>
      </c>
      <c r="C606" s="18">
        <v>72</v>
      </c>
      <c r="D606" s="23">
        <v>76</v>
      </c>
      <c r="E606" s="23">
        <f t="shared" si="72"/>
        <v>-56</v>
      </c>
      <c r="G606" s="19"/>
      <c r="H606" s="62"/>
      <c r="I606" s="20"/>
      <c r="J606" s="21"/>
      <c r="K606" s="42"/>
      <c r="L606" s="23"/>
      <c r="M606" s="23"/>
      <c r="N606" s="23"/>
      <c r="O606" s="23"/>
      <c r="Q606" s="19"/>
      <c r="R606" s="62"/>
      <c r="S606" s="20"/>
      <c r="T606" s="21"/>
      <c r="U606" s="42"/>
      <c r="V606" s="23">
        <f t="shared" si="78"/>
        <v>1</v>
      </c>
      <c r="W606" s="23">
        <f t="shared" si="79"/>
        <v>1</v>
      </c>
      <c r="X606" s="23"/>
      <c r="Y606" s="23"/>
      <c r="AA606" s="78">
        <v>54</v>
      </c>
      <c r="AB606" s="62">
        <f>C604</f>
        <v>72</v>
      </c>
      <c r="AC606" s="20"/>
      <c r="AD606" s="21"/>
      <c r="AE606" s="57">
        <v>72</v>
      </c>
      <c r="AF606" s="23">
        <f t="shared" si="80"/>
        <v>21</v>
      </c>
      <c r="AG606" s="23">
        <f t="shared" si="81"/>
        <v>21</v>
      </c>
      <c r="AH606" s="23"/>
      <c r="AI606" s="23">
        <v>6</v>
      </c>
      <c r="AK606" s="1">
        <f>AVERAGE(AA602:AA606)</f>
        <v>66.599999999999994</v>
      </c>
    </row>
    <row r="607" spans="1:38" s="12" customFormat="1" hidden="1" outlineLevel="1">
      <c r="A607" s="95">
        <v>45703</v>
      </c>
      <c r="B607" s="25" t="s">
        <v>16</v>
      </c>
      <c r="C607" s="26"/>
      <c r="D607" s="29"/>
      <c r="E607" s="29">
        <f t="shared" si="72"/>
        <v>-56</v>
      </c>
      <c r="G607" s="64"/>
      <c r="H607" s="63"/>
      <c r="I607" s="27"/>
      <c r="J607" s="28"/>
      <c r="K607" s="43"/>
      <c r="L607" s="29"/>
      <c r="M607" s="29"/>
      <c r="N607" s="29"/>
      <c r="O607" s="29"/>
      <c r="Q607" s="64"/>
      <c r="R607" s="63"/>
      <c r="S607" s="27"/>
      <c r="T607" s="28"/>
      <c r="U607" s="43"/>
      <c r="V607" s="29">
        <f t="shared" si="78"/>
        <v>1</v>
      </c>
      <c r="W607" s="29">
        <f t="shared" si="79"/>
        <v>1</v>
      </c>
      <c r="X607" s="29"/>
      <c r="Y607" s="29"/>
      <c r="AA607" s="79"/>
      <c r="AB607" s="63"/>
      <c r="AC607" s="27"/>
      <c r="AD607" s="28"/>
      <c r="AE607" s="43"/>
      <c r="AF607" s="29">
        <f t="shared" si="80"/>
        <v>21</v>
      </c>
      <c r="AG607" s="29">
        <f t="shared" si="81"/>
        <v>21</v>
      </c>
      <c r="AH607" s="29"/>
      <c r="AI607" s="29"/>
      <c r="AJ607" s="11"/>
    </row>
    <row r="608" spans="1:38" s="12" customFormat="1" hidden="1" outlineLevel="1" collapsed="1">
      <c r="A608" s="95">
        <v>45704</v>
      </c>
      <c r="B608" s="25" t="s">
        <v>17</v>
      </c>
      <c r="C608" s="26"/>
      <c r="D608" s="29"/>
      <c r="E608" s="29">
        <f t="shared" si="72"/>
        <v>-56</v>
      </c>
      <c r="G608" s="64"/>
      <c r="H608" s="63"/>
      <c r="I608" s="27"/>
      <c r="J608" s="28"/>
      <c r="K608" s="43"/>
      <c r="L608" s="29"/>
      <c r="M608" s="29"/>
      <c r="N608" s="29"/>
      <c r="O608" s="29"/>
      <c r="Q608" s="64"/>
      <c r="R608" s="63"/>
      <c r="S608" s="27"/>
      <c r="T608" s="28"/>
      <c r="U608" s="43"/>
      <c r="V608" s="29">
        <f t="shared" si="78"/>
        <v>1</v>
      </c>
      <c r="W608" s="29">
        <f t="shared" si="79"/>
        <v>1</v>
      </c>
      <c r="X608" s="29"/>
      <c r="Y608" s="29"/>
      <c r="AA608" s="79"/>
      <c r="AB608" s="63"/>
      <c r="AC608" s="27"/>
      <c r="AD608" s="28"/>
      <c r="AE608" s="43"/>
      <c r="AF608" s="29">
        <f t="shared" si="80"/>
        <v>21</v>
      </c>
      <c r="AG608" s="29">
        <f t="shared" si="81"/>
        <v>21</v>
      </c>
      <c r="AH608" s="29"/>
      <c r="AI608" s="29"/>
      <c r="AJ608" s="11"/>
    </row>
    <row r="609" spans="1:37" hidden="1" outlineLevel="1">
      <c r="A609" s="96">
        <v>45705</v>
      </c>
      <c r="B609" s="17" t="s">
        <v>18</v>
      </c>
      <c r="C609" s="18">
        <v>78</v>
      </c>
      <c r="D609" s="23">
        <v>72</v>
      </c>
      <c r="E609" s="23">
        <f t="shared" ref="E609:E651" si="82">E608-C609+D609</f>
        <v>-62</v>
      </c>
      <c r="G609" s="19"/>
      <c r="H609" s="62"/>
      <c r="I609" s="20"/>
      <c r="J609" s="21"/>
      <c r="K609" s="42"/>
      <c r="L609" s="23"/>
      <c r="M609" s="23"/>
      <c r="N609" s="23"/>
      <c r="O609" s="23"/>
      <c r="Q609" s="19"/>
      <c r="R609" s="62"/>
      <c r="S609" s="20"/>
      <c r="T609" s="21"/>
      <c r="U609" s="42"/>
      <c r="V609" s="23">
        <f t="shared" si="78"/>
        <v>1</v>
      </c>
      <c r="W609" s="23">
        <f t="shared" si="79"/>
        <v>1</v>
      </c>
      <c r="X609" s="23"/>
      <c r="Y609" s="23"/>
      <c r="AA609" s="78">
        <v>75</v>
      </c>
      <c r="AB609" s="62">
        <f>C605</f>
        <v>72</v>
      </c>
      <c r="AC609" s="20"/>
      <c r="AD609" s="21"/>
      <c r="AE609" s="57">
        <v>72</v>
      </c>
      <c r="AF609" s="23">
        <f t="shared" si="80"/>
        <v>18</v>
      </c>
      <c r="AG609" s="23">
        <f t="shared" si="81"/>
        <v>18</v>
      </c>
      <c r="AH609" s="23"/>
      <c r="AI609" s="23">
        <v>6</v>
      </c>
    </row>
    <row r="610" spans="1:37" hidden="1" outlineLevel="1">
      <c r="A610" s="96">
        <v>45706</v>
      </c>
      <c r="B610" s="17" t="s">
        <v>19</v>
      </c>
      <c r="C610" s="18">
        <v>72</v>
      </c>
      <c r="D610" s="23">
        <v>72</v>
      </c>
      <c r="E610" s="23">
        <f t="shared" si="82"/>
        <v>-62</v>
      </c>
      <c r="G610" s="19"/>
      <c r="H610" s="62"/>
      <c r="I610" s="20"/>
      <c r="J610" s="21"/>
      <c r="K610" s="42"/>
      <c r="L610" s="23"/>
      <c r="M610" s="23"/>
      <c r="N610" s="23"/>
      <c r="O610" s="23"/>
      <c r="Q610" s="19"/>
      <c r="R610" s="62"/>
      <c r="S610" s="20"/>
      <c r="T610" s="21"/>
      <c r="U610" s="42"/>
      <c r="V610" s="23">
        <f t="shared" si="78"/>
        <v>1</v>
      </c>
      <c r="W610" s="23">
        <f t="shared" si="79"/>
        <v>1</v>
      </c>
      <c r="X610" s="23"/>
      <c r="Y610" s="23"/>
      <c r="AA610" s="78">
        <v>75</v>
      </c>
      <c r="AB610" s="62">
        <f>C606</f>
        <v>72</v>
      </c>
      <c r="AC610" s="20"/>
      <c r="AD610" s="21"/>
      <c r="AE610" s="57">
        <v>72</v>
      </c>
      <c r="AF610" s="23">
        <f t="shared" si="80"/>
        <v>15</v>
      </c>
      <c r="AG610" s="23">
        <f t="shared" si="81"/>
        <v>15</v>
      </c>
      <c r="AH610" s="23"/>
      <c r="AI610" s="23">
        <v>20</v>
      </c>
    </row>
    <row r="611" spans="1:37" hidden="1" outlineLevel="1">
      <c r="A611" s="96">
        <v>45707</v>
      </c>
      <c r="B611" s="17" t="s">
        <v>20</v>
      </c>
      <c r="C611" s="18">
        <v>72</v>
      </c>
      <c r="D611" s="23">
        <v>72</v>
      </c>
      <c r="E611" s="23">
        <f t="shared" si="82"/>
        <v>-62</v>
      </c>
      <c r="G611" s="19"/>
      <c r="H611" s="62"/>
      <c r="I611" s="20"/>
      <c r="J611" s="21"/>
      <c r="K611" s="42"/>
      <c r="L611" s="23"/>
      <c r="M611" s="23"/>
      <c r="N611" s="23"/>
      <c r="O611" s="23"/>
      <c r="Q611" s="19"/>
      <c r="R611" s="62"/>
      <c r="S611" s="20"/>
      <c r="T611" s="21"/>
      <c r="U611" s="42"/>
      <c r="V611" s="23">
        <f t="shared" si="78"/>
        <v>1</v>
      </c>
      <c r="W611" s="23">
        <f t="shared" si="79"/>
        <v>1</v>
      </c>
      <c r="X611" s="23"/>
      <c r="Y611" s="23"/>
      <c r="AA611" s="78">
        <v>66</v>
      </c>
      <c r="AB611" s="62">
        <f>C609</f>
        <v>78</v>
      </c>
      <c r="AC611" s="20"/>
      <c r="AD611" s="21"/>
      <c r="AE611" s="57">
        <v>78</v>
      </c>
      <c r="AF611" s="23">
        <f t="shared" si="80"/>
        <v>27</v>
      </c>
      <c r="AG611" s="23">
        <f t="shared" si="81"/>
        <v>27</v>
      </c>
      <c r="AH611" s="23"/>
      <c r="AI611" s="23">
        <v>9</v>
      </c>
    </row>
    <row r="612" spans="1:37" hidden="1" outlineLevel="1">
      <c r="A612" s="96">
        <v>45708</v>
      </c>
      <c r="B612" s="17" t="s">
        <v>14</v>
      </c>
      <c r="C612" s="18">
        <v>72</v>
      </c>
      <c r="D612" s="23">
        <v>72</v>
      </c>
      <c r="E612" s="23">
        <f t="shared" si="82"/>
        <v>-62</v>
      </c>
      <c r="G612" s="19"/>
      <c r="H612" s="62"/>
      <c r="I612" s="20"/>
      <c r="J612" s="21"/>
      <c r="K612" s="42"/>
      <c r="L612" s="23"/>
      <c r="M612" s="23"/>
      <c r="N612" s="23"/>
      <c r="O612" s="23"/>
      <c r="Q612" s="19"/>
      <c r="R612" s="62"/>
      <c r="S612" s="20"/>
      <c r="T612" s="21"/>
      <c r="U612" s="42"/>
      <c r="V612" s="23">
        <f t="shared" si="78"/>
        <v>1</v>
      </c>
      <c r="W612" s="23">
        <f t="shared" si="79"/>
        <v>1</v>
      </c>
      <c r="X612" s="23"/>
      <c r="Y612" s="23"/>
      <c r="AA612" s="78">
        <v>72</v>
      </c>
      <c r="AB612" s="62">
        <f>C610</f>
        <v>72</v>
      </c>
      <c r="AC612" s="20"/>
      <c r="AD612" s="21"/>
      <c r="AE612" s="57">
        <v>72</v>
      </c>
      <c r="AF612" s="23">
        <f t="shared" si="80"/>
        <v>27</v>
      </c>
      <c r="AG612" s="23">
        <f t="shared" si="81"/>
        <v>27</v>
      </c>
      <c r="AH612" s="23"/>
      <c r="AI612" s="23">
        <v>12</v>
      </c>
    </row>
    <row r="613" spans="1:37" hidden="1" outlineLevel="1">
      <c r="A613" s="96">
        <v>45709</v>
      </c>
      <c r="B613" s="17" t="s">
        <v>15</v>
      </c>
      <c r="C613" s="18">
        <v>72</v>
      </c>
      <c r="D613" s="23">
        <v>72</v>
      </c>
      <c r="E613" s="23">
        <f t="shared" si="82"/>
        <v>-62</v>
      </c>
      <c r="G613" s="19"/>
      <c r="H613" s="62"/>
      <c r="I613" s="20"/>
      <c r="J613" s="21"/>
      <c r="K613" s="42"/>
      <c r="L613" s="23"/>
      <c r="M613" s="23"/>
      <c r="N613" s="23"/>
      <c r="O613" s="23"/>
      <c r="Q613" s="19"/>
      <c r="R613" s="62"/>
      <c r="S613" s="20"/>
      <c r="T613" s="21"/>
      <c r="U613" s="42"/>
      <c r="V613" s="23">
        <f t="shared" si="78"/>
        <v>1</v>
      </c>
      <c r="W613" s="23">
        <f t="shared" si="79"/>
        <v>1</v>
      </c>
      <c r="X613" s="23"/>
      <c r="Y613" s="23"/>
      <c r="AA613" s="78">
        <v>60</v>
      </c>
      <c r="AB613" s="62">
        <f>C611</f>
        <v>72</v>
      </c>
      <c r="AC613" s="20"/>
      <c r="AD613" s="21"/>
      <c r="AE613" s="57">
        <v>72</v>
      </c>
      <c r="AF613" s="23">
        <f t="shared" si="80"/>
        <v>39</v>
      </c>
      <c r="AG613" s="23">
        <f t="shared" si="81"/>
        <v>39</v>
      </c>
      <c r="AH613" s="23"/>
      <c r="AI613" s="23">
        <v>12</v>
      </c>
      <c r="AK613" s="1">
        <f>AVERAGE(AA609:AA613)</f>
        <v>69.599999999999994</v>
      </c>
    </row>
    <row r="614" spans="1:37" s="12" customFormat="1" hidden="1" outlineLevel="1">
      <c r="A614" s="95">
        <v>45710</v>
      </c>
      <c r="B614" s="25" t="s">
        <v>16</v>
      </c>
      <c r="C614" s="26"/>
      <c r="D614" s="29"/>
      <c r="E614" s="29">
        <f t="shared" si="82"/>
        <v>-62</v>
      </c>
      <c r="G614" s="64"/>
      <c r="H614" s="63"/>
      <c r="I614" s="27"/>
      <c r="J614" s="28"/>
      <c r="K614" s="43"/>
      <c r="L614" s="29"/>
      <c r="M614" s="29"/>
      <c r="N614" s="29"/>
      <c r="O614" s="29"/>
      <c r="Q614" s="64"/>
      <c r="R614" s="63"/>
      <c r="S614" s="27"/>
      <c r="T614" s="28"/>
      <c r="U614" s="43"/>
      <c r="V614" s="29">
        <f t="shared" si="78"/>
        <v>1</v>
      </c>
      <c r="W614" s="29">
        <f t="shared" si="79"/>
        <v>1</v>
      </c>
      <c r="X614" s="29"/>
      <c r="Y614" s="29"/>
      <c r="AA614" s="79"/>
      <c r="AB614" s="63"/>
      <c r="AC614" s="27"/>
      <c r="AD614" s="28"/>
      <c r="AE614" s="43"/>
      <c r="AF614" s="29">
        <f t="shared" si="80"/>
        <v>39</v>
      </c>
      <c r="AG614" s="29">
        <f t="shared" si="81"/>
        <v>39</v>
      </c>
      <c r="AH614" s="29"/>
      <c r="AI614" s="29"/>
      <c r="AJ614" s="11"/>
    </row>
    <row r="615" spans="1:37" s="12" customFormat="1" hidden="1" outlineLevel="1" collapsed="1">
      <c r="A615" s="95">
        <v>45711</v>
      </c>
      <c r="B615" s="25" t="s">
        <v>17</v>
      </c>
      <c r="C615" s="26"/>
      <c r="D615" s="29"/>
      <c r="E615" s="29">
        <f t="shared" si="82"/>
        <v>-62</v>
      </c>
      <c r="G615" s="64"/>
      <c r="H615" s="63"/>
      <c r="I615" s="27"/>
      <c r="J615" s="28"/>
      <c r="K615" s="43"/>
      <c r="L615" s="29"/>
      <c r="M615" s="29"/>
      <c r="N615" s="29"/>
      <c r="O615" s="29"/>
      <c r="Q615" s="64"/>
      <c r="R615" s="63"/>
      <c r="S615" s="27"/>
      <c r="T615" s="28"/>
      <c r="U615" s="43"/>
      <c r="V615" s="29">
        <f t="shared" si="78"/>
        <v>1</v>
      </c>
      <c r="W615" s="29">
        <f t="shared" si="79"/>
        <v>1</v>
      </c>
      <c r="X615" s="29"/>
      <c r="Y615" s="29"/>
      <c r="AA615" s="79"/>
      <c r="AB615" s="63"/>
      <c r="AC615" s="27"/>
      <c r="AD615" s="28"/>
      <c r="AE615" s="43"/>
      <c r="AF615" s="29">
        <f t="shared" si="80"/>
        <v>39</v>
      </c>
      <c r="AG615" s="29">
        <f t="shared" si="81"/>
        <v>39</v>
      </c>
      <c r="AH615" s="29"/>
      <c r="AI615" s="29"/>
      <c r="AJ615" s="11"/>
    </row>
    <row r="616" spans="1:37" hidden="1" outlineLevel="1">
      <c r="A616" s="96">
        <v>45712</v>
      </c>
      <c r="B616" s="17" t="s">
        <v>18</v>
      </c>
      <c r="C616" s="18">
        <v>66</v>
      </c>
      <c r="D616" s="23">
        <v>38</v>
      </c>
      <c r="E616" s="23">
        <f t="shared" si="82"/>
        <v>-90</v>
      </c>
      <c r="G616" s="19"/>
      <c r="H616" s="62"/>
      <c r="I616" s="20"/>
      <c r="J616" s="21"/>
      <c r="K616" s="42"/>
      <c r="L616" s="23"/>
      <c r="M616" s="23"/>
      <c r="N616" s="23"/>
      <c r="O616" s="23"/>
      <c r="Q616" s="19"/>
      <c r="R616" s="62"/>
      <c r="S616" s="20"/>
      <c r="T616" s="21"/>
      <c r="U616" s="42"/>
      <c r="V616" s="23">
        <f t="shared" si="78"/>
        <v>1</v>
      </c>
      <c r="W616" s="23">
        <f t="shared" si="79"/>
        <v>1</v>
      </c>
      <c r="X616" s="23"/>
      <c r="Y616" s="23"/>
      <c r="AA616" s="78">
        <v>72</v>
      </c>
      <c r="AB616" s="62">
        <f>C612</f>
        <v>72</v>
      </c>
      <c r="AC616" s="20"/>
      <c r="AD616" s="21"/>
      <c r="AE616" s="57">
        <v>72</v>
      </c>
      <c r="AF616" s="23">
        <f t="shared" si="80"/>
        <v>39</v>
      </c>
      <c r="AG616" s="23">
        <f t="shared" si="81"/>
        <v>39</v>
      </c>
      <c r="AH616" s="23"/>
      <c r="AI616" s="23"/>
    </row>
    <row r="617" spans="1:37" hidden="1" outlineLevel="1">
      <c r="A617" s="96">
        <v>45713</v>
      </c>
      <c r="B617" s="17" t="s">
        <v>19</v>
      </c>
      <c r="C617" s="18">
        <v>66</v>
      </c>
      <c r="D617" s="23">
        <v>32</v>
      </c>
      <c r="E617" s="23">
        <f t="shared" si="82"/>
        <v>-124</v>
      </c>
      <c r="G617" s="19"/>
      <c r="H617" s="62"/>
      <c r="I617" s="20"/>
      <c r="J617" s="21"/>
      <c r="K617" s="42"/>
      <c r="L617" s="23"/>
      <c r="M617" s="23"/>
      <c r="N617" s="23"/>
      <c r="O617" s="23"/>
      <c r="Q617" s="19"/>
      <c r="R617" s="62"/>
      <c r="S617" s="20"/>
      <c r="T617" s="21"/>
      <c r="U617" s="42"/>
      <c r="V617" s="23">
        <f t="shared" si="78"/>
        <v>1</v>
      </c>
      <c r="W617" s="23">
        <f t="shared" si="79"/>
        <v>1</v>
      </c>
      <c r="X617" s="23"/>
      <c r="Y617" s="23"/>
      <c r="AA617" s="78">
        <v>78</v>
      </c>
      <c r="AB617" s="62">
        <f>C613</f>
        <v>72</v>
      </c>
      <c r="AC617" s="20"/>
      <c r="AD617" s="21"/>
      <c r="AE617" s="57">
        <v>72</v>
      </c>
      <c r="AF617" s="23">
        <f t="shared" si="80"/>
        <v>33</v>
      </c>
      <c r="AG617" s="23">
        <f t="shared" si="81"/>
        <v>33</v>
      </c>
      <c r="AH617" s="23"/>
      <c r="AI617" s="23">
        <v>18</v>
      </c>
    </row>
    <row r="618" spans="1:37" hidden="1" outlineLevel="1">
      <c r="A618" s="96">
        <v>45714</v>
      </c>
      <c r="B618" s="17" t="s">
        <v>20</v>
      </c>
      <c r="C618" s="18">
        <v>72</v>
      </c>
      <c r="D618" s="23">
        <v>74</v>
      </c>
      <c r="E618" s="23">
        <f t="shared" si="82"/>
        <v>-122</v>
      </c>
      <c r="G618" s="19"/>
      <c r="H618" s="62"/>
      <c r="I618" s="20"/>
      <c r="J618" s="21"/>
      <c r="K618" s="42"/>
      <c r="L618" s="23"/>
      <c r="M618" s="23"/>
      <c r="N618" s="23"/>
      <c r="O618" s="23"/>
      <c r="Q618" s="19"/>
      <c r="R618" s="62"/>
      <c r="S618" s="20"/>
      <c r="T618" s="21"/>
      <c r="U618" s="42"/>
      <c r="V618" s="23">
        <f t="shared" si="78"/>
        <v>1</v>
      </c>
      <c r="W618" s="23">
        <f t="shared" si="79"/>
        <v>1</v>
      </c>
      <c r="X618" s="23"/>
      <c r="Y618" s="23"/>
      <c r="AA618" s="78">
        <v>60</v>
      </c>
      <c r="AB618" s="62">
        <f>C616</f>
        <v>66</v>
      </c>
      <c r="AC618" s="20"/>
      <c r="AD618" s="21"/>
      <c r="AE618" s="57">
        <v>66</v>
      </c>
      <c r="AF618" s="23">
        <f t="shared" si="80"/>
        <v>39</v>
      </c>
      <c r="AG618" s="23">
        <f t="shared" si="81"/>
        <v>39</v>
      </c>
      <c r="AH618" s="23"/>
      <c r="AI618" s="23">
        <v>19</v>
      </c>
    </row>
    <row r="619" spans="1:37" hidden="1" outlineLevel="1">
      <c r="A619" s="96">
        <v>45715</v>
      </c>
      <c r="B619" s="17" t="s">
        <v>14</v>
      </c>
      <c r="C619" s="18">
        <v>72</v>
      </c>
      <c r="D619" s="23">
        <v>66</v>
      </c>
      <c r="E619" s="23">
        <f t="shared" si="82"/>
        <v>-128</v>
      </c>
      <c r="G619" s="19"/>
      <c r="H619" s="62"/>
      <c r="I619" s="20"/>
      <c r="J619" s="21"/>
      <c r="K619" s="42"/>
      <c r="L619" s="23"/>
      <c r="M619" s="23"/>
      <c r="N619" s="23"/>
      <c r="O619" s="23"/>
      <c r="Q619" s="19"/>
      <c r="R619" s="62"/>
      <c r="S619" s="20"/>
      <c r="T619" s="21"/>
      <c r="U619" s="42"/>
      <c r="V619" s="23">
        <f t="shared" si="78"/>
        <v>1</v>
      </c>
      <c r="W619" s="23">
        <f t="shared" si="79"/>
        <v>1</v>
      </c>
      <c r="X619" s="23"/>
      <c r="Y619" s="23"/>
      <c r="AA619" s="78">
        <v>78</v>
      </c>
      <c r="AB619" s="62">
        <f>C617</f>
        <v>66</v>
      </c>
      <c r="AC619" s="20"/>
      <c r="AD619" s="21"/>
      <c r="AE619" s="57">
        <v>66</v>
      </c>
      <c r="AF619" s="23">
        <f t="shared" si="80"/>
        <v>27</v>
      </c>
      <c r="AG619" s="23">
        <f t="shared" si="81"/>
        <v>27</v>
      </c>
      <c r="AH619" s="23"/>
      <c r="AI619" s="23">
        <v>18</v>
      </c>
    </row>
    <row r="620" spans="1:37" hidden="1" outlineLevel="1">
      <c r="A620" s="96">
        <v>45716</v>
      </c>
      <c r="B620" s="17" t="s">
        <v>15</v>
      </c>
      <c r="C620" s="18">
        <v>72</v>
      </c>
      <c r="D620" s="23">
        <v>92</v>
      </c>
      <c r="E620" s="23">
        <f t="shared" si="82"/>
        <v>-108</v>
      </c>
      <c r="G620" s="19"/>
      <c r="H620" s="62"/>
      <c r="I620" s="20"/>
      <c r="J620" s="21"/>
      <c r="K620" s="42"/>
      <c r="L620" s="23"/>
      <c r="M620" s="23"/>
      <c r="N620" s="23"/>
      <c r="O620" s="23"/>
      <c r="Q620" s="19"/>
      <c r="R620" s="62"/>
      <c r="S620" s="20"/>
      <c r="T620" s="21"/>
      <c r="U620" s="42"/>
      <c r="V620" s="23">
        <f t="shared" si="78"/>
        <v>1</v>
      </c>
      <c r="W620" s="23">
        <f t="shared" si="79"/>
        <v>1</v>
      </c>
      <c r="X620" s="23"/>
      <c r="Y620" s="23"/>
      <c r="AA620" s="78">
        <v>63</v>
      </c>
      <c r="AB620" s="62">
        <f>C618</f>
        <v>72</v>
      </c>
      <c r="AC620" s="20"/>
      <c r="AD620" s="21"/>
      <c r="AE620" s="57">
        <v>72</v>
      </c>
      <c r="AF620" s="23">
        <f t="shared" si="80"/>
        <v>36</v>
      </c>
      <c r="AG620" s="23">
        <f t="shared" si="81"/>
        <v>36</v>
      </c>
      <c r="AH620" s="23"/>
      <c r="AI620" s="23">
        <v>5</v>
      </c>
      <c r="AK620" s="1">
        <f>AVERAGE(AA616:AA620)</f>
        <v>70.2</v>
      </c>
    </row>
    <row r="621" spans="1:37" s="12" customFormat="1" hidden="1" outlineLevel="1">
      <c r="A621" s="95">
        <v>45717</v>
      </c>
      <c r="B621" s="25" t="s">
        <v>16</v>
      </c>
      <c r="C621" s="26"/>
      <c r="D621" s="29"/>
      <c r="E621" s="29">
        <f t="shared" si="82"/>
        <v>-108</v>
      </c>
      <c r="G621" s="64"/>
      <c r="H621" s="63"/>
      <c r="I621" s="27"/>
      <c r="J621" s="28"/>
      <c r="K621" s="43"/>
      <c r="L621" s="29"/>
      <c r="M621" s="29"/>
      <c r="N621" s="29"/>
      <c r="O621" s="29"/>
      <c r="Q621" s="64"/>
      <c r="R621" s="63"/>
      <c r="S621" s="27"/>
      <c r="T621" s="28"/>
      <c r="U621" s="43"/>
      <c r="V621" s="29">
        <f t="shared" si="78"/>
        <v>1</v>
      </c>
      <c r="W621" s="29">
        <f t="shared" si="79"/>
        <v>1</v>
      </c>
      <c r="X621" s="29"/>
      <c r="Y621" s="29"/>
      <c r="AA621" s="79"/>
      <c r="AB621" s="63"/>
      <c r="AC621" s="27"/>
      <c r="AD621" s="28"/>
      <c r="AE621" s="43"/>
      <c r="AF621" s="29">
        <f t="shared" si="80"/>
        <v>36</v>
      </c>
      <c r="AG621" s="29">
        <f t="shared" si="81"/>
        <v>36</v>
      </c>
      <c r="AH621" s="29"/>
      <c r="AI621" s="29"/>
      <c r="AJ621" s="11"/>
    </row>
    <row r="622" spans="1:37" s="12" customFormat="1" hidden="1" outlineLevel="1" collapsed="1">
      <c r="A622" s="95">
        <v>45718</v>
      </c>
      <c r="B622" s="25" t="s">
        <v>17</v>
      </c>
      <c r="C622" s="26"/>
      <c r="D622" s="29"/>
      <c r="E622" s="29">
        <f t="shared" si="82"/>
        <v>-108</v>
      </c>
      <c r="G622" s="64"/>
      <c r="H622" s="63"/>
      <c r="I622" s="27"/>
      <c r="J622" s="28"/>
      <c r="K622" s="43"/>
      <c r="L622" s="29"/>
      <c r="M622" s="29"/>
      <c r="N622" s="29"/>
      <c r="O622" s="29"/>
      <c r="Q622" s="64"/>
      <c r="R622" s="63"/>
      <c r="S622" s="27"/>
      <c r="T622" s="28"/>
      <c r="U622" s="43"/>
      <c r="V622" s="29">
        <f t="shared" ref="V622:V651" si="83">V621-Q622+U622</f>
        <v>1</v>
      </c>
      <c r="W622" s="29">
        <f t="shared" ref="W622:W651" si="84">W621-Q622+R622</f>
        <v>1</v>
      </c>
      <c r="X622" s="29"/>
      <c r="Y622" s="29"/>
      <c r="AA622" s="79"/>
      <c r="AB622" s="63"/>
      <c r="AC622" s="27"/>
      <c r="AD622" s="28"/>
      <c r="AE622" s="43"/>
      <c r="AF622" s="29">
        <f t="shared" ref="AF622:AF651" si="85">AF621-AA622+AE622</f>
        <v>36</v>
      </c>
      <c r="AG622" s="29">
        <f t="shared" ref="AG622:AG651" si="86">AG621-AA622+AB622</f>
        <v>36</v>
      </c>
      <c r="AH622" s="29"/>
      <c r="AI622" s="29"/>
      <c r="AJ622" s="11"/>
    </row>
    <row r="623" spans="1:37" hidden="1" outlineLevel="1">
      <c r="A623" s="96">
        <v>45719</v>
      </c>
      <c r="B623" s="17" t="s">
        <v>18</v>
      </c>
      <c r="C623" s="18">
        <v>72</v>
      </c>
      <c r="D623" s="23">
        <v>72</v>
      </c>
      <c r="E623" s="23">
        <f t="shared" si="82"/>
        <v>-108</v>
      </c>
      <c r="G623" s="19"/>
      <c r="H623" s="62"/>
      <c r="I623" s="20"/>
      <c r="J623" s="21"/>
      <c r="K623" s="42"/>
      <c r="L623" s="23"/>
      <c r="M623" s="23"/>
      <c r="N623" s="23"/>
      <c r="O623" s="23"/>
      <c r="Q623" s="19"/>
      <c r="R623" s="62"/>
      <c r="S623" s="20"/>
      <c r="T623" s="21"/>
      <c r="U623" s="42"/>
      <c r="V623" s="23">
        <f t="shared" si="83"/>
        <v>1</v>
      </c>
      <c r="W623" s="23">
        <f t="shared" si="84"/>
        <v>1</v>
      </c>
      <c r="X623" s="23"/>
      <c r="Y623" s="23"/>
      <c r="AA623" s="78">
        <v>78</v>
      </c>
      <c r="AB623" s="62">
        <f>C619</f>
        <v>72</v>
      </c>
      <c r="AC623" s="20"/>
      <c r="AD623" s="21"/>
      <c r="AE623" s="57">
        <v>72</v>
      </c>
      <c r="AF623" s="23">
        <f t="shared" si="85"/>
        <v>30</v>
      </c>
      <c r="AG623" s="23">
        <f t="shared" si="86"/>
        <v>30</v>
      </c>
      <c r="AH623" s="23"/>
      <c r="AI623" s="23">
        <v>4</v>
      </c>
    </row>
    <row r="624" spans="1:37" hidden="1" outlineLevel="1">
      <c r="A624" s="96">
        <v>45720</v>
      </c>
      <c r="B624" s="17" t="s">
        <v>19</v>
      </c>
      <c r="C624" s="18">
        <v>72</v>
      </c>
      <c r="D624" s="23">
        <v>100</v>
      </c>
      <c r="E624" s="23">
        <f t="shared" si="82"/>
        <v>-80</v>
      </c>
      <c r="G624" s="19"/>
      <c r="H624" s="62"/>
      <c r="I624" s="20"/>
      <c r="J624" s="21"/>
      <c r="K624" s="42"/>
      <c r="L624" s="23"/>
      <c r="M624" s="23"/>
      <c r="N624" s="23"/>
      <c r="O624" s="23"/>
      <c r="Q624" s="19"/>
      <c r="R624" s="62"/>
      <c r="S624" s="20"/>
      <c r="T624" s="21"/>
      <c r="U624" s="42"/>
      <c r="V624" s="23">
        <f t="shared" si="83"/>
        <v>1</v>
      </c>
      <c r="W624" s="23">
        <f t="shared" si="84"/>
        <v>1</v>
      </c>
      <c r="X624" s="23"/>
      <c r="Y624" s="23"/>
      <c r="AA624" s="78">
        <v>78</v>
      </c>
      <c r="AB624" s="62">
        <f>C620</f>
        <v>72</v>
      </c>
      <c r="AC624" s="20"/>
      <c r="AD624" s="21"/>
      <c r="AE624" s="57">
        <v>72</v>
      </c>
      <c r="AF624" s="23">
        <f t="shared" si="85"/>
        <v>24</v>
      </c>
      <c r="AG624" s="23">
        <f t="shared" si="86"/>
        <v>24</v>
      </c>
      <c r="AH624" s="23"/>
      <c r="AI624" s="23">
        <v>19</v>
      </c>
    </row>
    <row r="625" spans="1:37" hidden="1" outlineLevel="1">
      <c r="A625" s="96">
        <v>45721</v>
      </c>
      <c r="B625" s="17" t="s">
        <v>20</v>
      </c>
      <c r="C625" s="18">
        <v>60</v>
      </c>
      <c r="D625" s="23">
        <v>72</v>
      </c>
      <c r="E625" s="23">
        <f t="shared" si="82"/>
        <v>-68</v>
      </c>
      <c r="G625" s="19"/>
      <c r="H625" s="62"/>
      <c r="I625" s="20"/>
      <c r="J625" s="21"/>
      <c r="K625" s="42"/>
      <c r="L625" s="23"/>
      <c r="M625" s="23"/>
      <c r="N625" s="23"/>
      <c r="O625" s="23"/>
      <c r="Q625" s="19"/>
      <c r="R625" s="62"/>
      <c r="S625" s="20"/>
      <c r="T625" s="21"/>
      <c r="U625" s="42"/>
      <c r="V625" s="23">
        <f t="shared" si="83"/>
        <v>1</v>
      </c>
      <c r="W625" s="23">
        <f t="shared" si="84"/>
        <v>1</v>
      </c>
      <c r="X625" s="23"/>
      <c r="Y625" s="23"/>
      <c r="AA625" s="78">
        <v>60</v>
      </c>
      <c r="AB625" s="62">
        <f>C623</f>
        <v>72</v>
      </c>
      <c r="AC625" s="20"/>
      <c r="AD625" s="21"/>
      <c r="AE625" s="57">
        <v>72</v>
      </c>
      <c r="AF625" s="23">
        <f t="shared" si="85"/>
        <v>36</v>
      </c>
      <c r="AG625" s="23">
        <f t="shared" si="86"/>
        <v>36</v>
      </c>
      <c r="AH625" s="23"/>
      <c r="AI625" s="23">
        <v>20</v>
      </c>
    </row>
    <row r="626" spans="1:37" hidden="1" outlineLevel="1">
      <c r="A626" s="96">
        <v>45722</v>
      </c>
      <c r="B626" s="17" t="s">
        <v>14</v>
      </c>
      <c r="C626" s="18">
        <v>66</v>
      </c>
      <c r="D626" s="23">
        <v>78</v>
      </c>
      <c r="E626" s="23">
        <f t="shared" si="82"/>
        <v>-56</v>
      </c>
      <c r="G626" s="19"/>
      <c r="H626" s="62"/>
      <c r="I626" s="20"/>
      <c r="J626" s="21"/>
      <c r="K626" s="42"/>
      <c r="L626" s="23"/>
      <c r="M626" s="23"/>
      <c r="N626" s="23"/>
      <c r="O626" s="23"/>
      <c r="Q626" s="19"/>
      <c r="R626" s="62"/>
      <c r="S626" s="20"/>
      <c r="T626" s="21"/>
      <c r="U626" s="42"/>
      <c r="V626" s="23">
        <f t="shared" si="83"/>
        <v>1</v>
      </c>
      <c r="W626" s="23">
        <f t="shared" si="84"/>
        <v>1</v>
      </c>
      <c r="X626" s="23"/>
      <c r="Y626" s="23"/>
      <c r="AA626" s="78">
        <v>78</v>
      </c>
      <c r="AB626" s="62">
        <f>C624</f>
        <v>72</v>
      </c>
      <c r="AC626" s="20"/>
      <c r="AD626" s="21"/>
      <c r="AE626" s="57">
        <v>72</v>
      </c>
      <c r="AF626" s="23">
        <f t="shared" si="85"/>
        <v>30</v>
      </c>
      <c r="AG626" s="23">
        <f t="shared" si="86"/>
        <v>30</v>
      </c>
      <c r="AH626" s="23"/>
      <c r="AI626" s="23">
        <v>0</v>
      </c>
    </row>
    <row r="627" spans="1:37" hidden="1" outlineLevel="1">
      <c r="A627" s="96">
        <v>45723</v>
      </c>
      <c r="B627" s="17" t="s">
        <v>15</v>
      </c>
      <c r="C627" s="18">
        <v>66</v>
      </c>
      <c r="D627" s="23">
        <v>48</v>
      </c>
      <c r="E627" s="23">
        <f t="shared" si="82"/>
        <v>-74</v>
      </c>
      <c r="G627" s="19"/>
      <c r="H627" s="62"/>
      <c r="I627" s="20"/>
      <c r="J627" s="21"/>
      <c r="K627" s="42"/>
      <c r="L627" s="23"/>
      <c r="M627" s="23"/>
      <c r="N627" s="23"/>
      <c r="O627" s="23"/>
      <c r="Q627" s="19"/>
      <c r="R627" s="62"/>
      <c r="S627" s="20"/>
      <c r="T627" s="21"/>
      <c r="U627" s="42"/>
      <c r="V627" s="23">
        <f t="shared" si="83"/>
        <v>1</v>
      </c>
      <c r="W627" s="23">
        <f t="shared" si="84"/>
        <v>1</v>
      </c>
      <c r="X627" s="23"/>
      <c r="Y627" s="23"/>
      <c r="AA627" s="78">
        <v>54</v>
      </c>
      <c r="AB627" s="62">
        <f>C625</f>
        <v>60</v>
      </c>
      <c r="AC627" s="20"/>
      <c r="AD627" s="21"/>
      <c r="AE627" s="57">
        <v>60</v>
      </c>
      <c r="AF627" s="23">
        <f t="shared" si="85"/>
        <v>36</v>
      </c>
      <c r="AG627" s="23">
        <f t="shared" si="86"/>
        <v>36</v>
      </c>
      <c r="AH627" s="23"/>
      <c r="AI627" s="23">
        <v>16</v>
      </c>
      <c r="AK627" s="1">
        <f>AVERAGE(AA623:AA627)</f>
        <v>69.599999999999994</v>
      </c>
    </row>
    <row r="628" spans="1:37" s="12" customFormat="1" hidden="1" outlineLevel="1">
      <c r="A628" s="95">
        <v>45724</v>
      </c>
      <c r="B628" s="25" t="s">
        <v>16</v>
      </c>
      <c r="C628" s="26"/>
      <c r="D628" s="29"/>
      <c r="E628" s="29">
        <f t="shared" si="82"/>
        <v>-74</v>
      </c>
      <c r="G628" s="64"/>
      <c r="H628" s="63"/>
      <c r="I628" s="27"/>
      <c r="J628" s="28"/>
      <c r="K628" s="43"/>
      <c r="L628" s="29"/>
      <c r="M628" s="29"/>
      <c r="N628" s="29"/>
      <c r="O628" s="29"/>
      <c r="Q628" s="64"/>
      <c r="R628" s="63"/>
      <c r="S628" s="27"/>
      <c r="T628" s="28"/>
      <c r="U628" s="43"/>
      <c r="V628" s="29">
        <f t="shared" si="83"/>
        <v>1</v>
      </c>
      <c r="W628" s="29">
        <f t="shared" si="84"/>
        <v>1</v>
      </c>
      <c r="X628" s="29"/>
      <c r="Y628" s="29"/>
      <c r="AA628" s="79"/>
      <c r="AB628" s="63"/>
      <c r="AC628" s="27"/>
      <c r="AD628" s="28"/>
      <c r="AE628" s="43"/>
      <c r="AF628" s="29">
        <f t="shared" si="85"/>
        <v>36</v>
      </c>
      <c r="AG628" s="29">
        <f t="shared" si="86"/>
        <v>36</v>
      </c>
      <c r="AH628" s="29"/>
      <c r="AI628" s="29"/>
      <c r="AJ628" s="11"/>
    </row>
    <row r="629" spans="1:37" s="12" customFormat="1" hidden="1" outlineLevel="1" collapsed="1">
      <c r="A629" s="95">
        <v>45725</v>
      </c>
      <c r="B629" s="25" t="s">
        <v>17</v>
      </c>
      <c r="C629" s="26"/>
      <c r="D629" s="29"/>
      <c r="E629" s="29">
        <f t="shared" si="82"/>
        <v>-74</v>
      </c>
      <c r="G629" s="64"/>
      <c r="H629" s="63"/>
      <c r="I629" s="27"/>
      <c r="J629" s="28"/>
      <c r="K629" s="43"/>
      <c r="L629" s="29"/>
      <c r="M629" s="29"/>
      <c r="N629" s="29"/>
      <c r="O629" s="29"/>
      <c r="Q629" s="64"/>
      <c r="R629" s="63"/>
      <c r="S629" s="27"/>
      <c r="T629" s="28"/>
      <c r="U629" s="43"/>
      <c r="V629" s="29">
        <f t="shared" si="83"/>
        <v>1</v>
      </c>
      <c r="W629" s="29">
        <f t="shared" si="84"/>
        <v>1</v>
      </c>
      <c r="X629" s="29"/>
      <c r="Y629" s="29"/>
      <c r="AA629" s="79"/>
      <c r="AB629" s="63"/>
      <c r="AC629" s="27"/>
      <c r="AD629" s="28"/>
      <c r="AE629" s="43"/>
      <c r="AF629" s="29">
        <f t="shared" si="85"/>
        <v>36</v>
      </c>
      <c r="AG629" s="29">
        <f t="shared" si="86"/>
        <v>36</v>
      </c>
      <c r="AH629" s="29"/>
      <c r="AI629" s="29"/>
      <c r="AJ629" s="11"/>
    </row>
    <row r="630" spans="1:37" hidden="1" outlineLevel="1">
      <c r="A630" s="96">
        <v>45726</v>
      </c>
      <c r="B630" s="17" t="s">
        <v>18</v>
      </c>
      <c r="C630" s="18">
        <v>66</v>
      </c>
      <c r="D630" s="23">
        <v>66</v>
      </c>
      <c r="E630" s="23">
        <f t="shared" si="82"/>
        <v>-74</v>
      </c>
      <c r="G630" s="19"/>
      <c r="H630" s="62"/>
      <c r="I630" s="20"/>
      <c r="J630" s="21"/>
      <c r="K630" s="42"/>
      <c r="L630" s="23"/>
      <c r="M630" s="23"/>
      <c r="N630" s="23"/>
      <c r="O630" s="23"/>
      <c r="Q630" s="19"/>
      <c r="R630" s="62"/>
      <c r="S630" s="20"/>
      <c r="T630" s="21"/>
      <c r="U630" s="42"/>
      <c r="V630" s="23">
        <f t="shared" si="83"/>
        <v>1</v>
      </c>
      <c r="W630" s="23">
        <f t="shared" si="84"/>
        <v>1</v>
      </c>
      <c r="X630" s="23"/>
      <c r="Y630" s="23"/>
      <c r="AA630" s="78">
        <v>75</v>
      </c>
      <c r="AB630" s="62">
        <f>C626</f>
        <v>66</v>
      </c>
      <c r="AC630" s="20"/>
      <c r="AD630" s="21"/>
      <c r="AE630" s="57">
        <v>66</v>
      </c>
      <c r="AF630" s="23">
        <f t="shared" si="85"/>
        <v>27</v>
      </c>
      <c r="AG630" s="23">
        <f t="shared" si="86"/>
        <v>27</v>
      </c>
      <c r="AH630" s="23"/>
      <c r="AI630" s="23">
        <v>16</v>
      </c>
    </row>
    <row r="631" spans="1:37" hidden="1" outlineLevel="1">
      <c r="A631" s="96">
        <v>45727</v>
      </c>
      <c r="B631" s="17" t="s">
        <v>19</v>
      </c>
      <c r="C631" s="18">
        <v>66</v>
      </c>
      <c r="D631" s="23">
        <v>66</v>
      </c>
      <c r="E631" s="23">
        <f t="shared" si="82"/>
        <v>-74</v>
      </c>
      <c r="G631" s="19"/>
      <c r="H631" s="62"/>
      <c r="I631" s="20"/>
      <c r="J631" s="21"/>
      <c r="K631" s="42"/>
      <c r="L631" s="23"/>
      <c r="M631" s="23"/>
      <c r="N631" s="23"/>
      <c r="O631" s="23"/>
      <c r="Q631" s="19"/>
      <c r="R631" s="62"/>
      <c r="S631" s="20"/>
      <c r="T631" s="21"/>
      <c r="U631" s="42"/>
      <c r="V631" s="23">
        <f t="shared" si="83"/>
        <v>1</v>
      </c>
      <c r="W631" s="23">
        <f t="shared" si="84"/>
        <v>1</v>
      </c>
      <c r="X631" s="23"/>
      <c r="Y631" s="23"/>
      <c r="AA631" s="78">
        <v>78</v>
      </c>
      <c r="AB631" s="62">
        <f>C627</f>
        <v>66</v>
      </c>
      <c r="AC631" s="20"/>
      <c r="AD631" s="21"/>
      <c r="AE631" s="57">
        <v>66</v>
      </c>
      <c r="AF631" s="23">
        <f t="shared" si="85"/>
        <v>15</v>
      </c>
      <c r="AG631" s="23">
        <f t="shared" si="86"/>
        <v>15</v>
      </c>
      <c r="AH631" s="23"/>
      <c r="AI631" s="23">
        <v>19</v>
      </c>
    </row>
    <row r="632" spans="1:37" hidden="1" outlineLevel="1">
      <c r="A632" s="96">
        <v>45728</v>
      </c>
      <c r="B632" s="17" t="s">
        <v>20</v>
      </c>
      <c r="C632" s="18">
        <v>66</v>
      </c>
      <c r="D632" s="23">
        <v>66</v>
      </c>
      <c r="E632" s="23">
        <f t="shared" si="82"/>
        <v>-74</v>
      </c>
      <c r="G632" s="19"/>
      <c r="H632" s="62"/>
      <c r="I632" s="20"/>
      <c r="J632" s="21"/>
      <c r="K632" s="42"/>
      <c r="L632" s="23"/>
      <c r="M632" s="23"/>
      <c r="N632" s="23"/>
      <c r="O632" s="23"/>
      <c r="Q632" s="19"/>
      <c r="R632" s="62"/>
      <c r="S632" s="20"/>
      <c r="T632" s="21"/>
      <c r="U632" s="42"/>
      <c r="V632" s="23">
        <f t="shared" si="83"/>
        <v>1</v>
      </c>
      <c r="W632" s="23">
        <f t="shared" si="84"/>
        <v>1</v>
      </c>
      <c r="X632" s="23"/>
      <c r="Y632" s="23"/>
      <c r="AA632" s="78">
        <v>60</v>
      </c>
      <c r="AB632" s="62">
        <f>C630</f>
        <v>66</v>
      </c>
      <c r="AC632" s="20"/>
      <c r="AD632" s="21"/>
      <c r="AE632" s="57">
        <v>66</v>
      </c>
      <c r="AF632" s="23">
        <f t="shared" si="85"/>
        <v>21</v>
      </c>
      <c r="AG632" s="23">
        <f t="shared" si="86"/>
        <v>21</v>
      </c>
      <c r="AH632" s="23"/>
      <c r="AI632" s="23">
        <v>19</v>
      </c>
    </row>
    <row r="633" spans="1:37" hidden="1" outlineLevel="1">
      <c r="A633" s="96">
        <v>45729</v>
      </c>
      <c r="B633" s="17" t="s">
        <v>14</v>
      </c>
      <c r="C633" s="18">
        <v>66</v>
      </c>
      <c r="D633" s="23">
        <v>66</v>
      </c>
      <c r="E633" s="23">
        <f t="shared" si="82"/>
        <v>-74</v>
      </c>
      <c r="G633" s="19"/>
      <c r="H633" s="62"/>
      <c r="I633" s="20"/>
      <c r="J633" s="21"/>
      <c r="K633" s="42"/>
      <c r="L633" s="23"/>
      <c r="M633" s="23"/>
      <c r="N633" s="23"/>
      <c r="O633" s="23"/>
      <c r="Q633" s="19"/>
      <c r="R633" s="62"/>
      <c r="S633" s="20"/>
      <c r="T633" s="21"/>
      <c r="U633" s="42"/>
      <c r="V633" s="23">
        <f t="shared" si="83"/>
        <v>1</v>
      </c>
      <c r="W633" s="23">
        <f t="shared" si="84"/>
        <v>1</v>
      </c>
      <c r="X633" s="23"/>
      <c r="Y633" s="23"/>
      <c r="AA633" s="78">
        <v>75</v>
      </c>
      <c r="AB633" s="62">
        <f>C631</f>
        <v>66</v>
      </c>
      <c r="AC633" s="20"/>
      <c r="AD633" s="21"/>
      <c r="AE633" s="57">
        <v>66</v>
      </c>
      <c r="AF633" s="23">
        <f t="shared" si="85"/>
        <v>12</v>
      </c>
      <c r="AG633" s="23">
        <f t="shared" si="86"/>
        <v>12</v>
      </c>
      <c r="AH633" s="23"/>
      <c r="AI633" s="23">
        <v>20</v>
      </c>
    </row>
    <row r="634" spans="1:37" hidden="1" outlineLevel="1">
      <c r="A634" s="96">
        <v>45730</v>
      </c>
      <c r="B634" s="17" t="s">
        <v>15</v>
      </c>
      <c r="C634" s="18">
        <v>66</v>
      </c>
      <c r="D634" s="23">
        <v>66</v>
      </c>
      <c r="E634" s="23">
        <f t="shared" si="82"/>
        <v>-74</v>
      </c>
      <c r="G634" s="19"/>
      <c r="H634" s="62"/>
      <c r="I634" s="20"/>
      <c r="J634" s="21"/>
      <c r="K634" s="42"/>
      <c r="L634" s="23"/>
      <c r="M634" s="23"/>
      <c r="N634" s="23"/>
      <c r="O634" s="23"/>
      <c r="Q634" s="19"/>
      <c r="R634" s="62"/>
      <c r="S634" s="20"/>
      <c r="T634" s="21"/>
      <c r="U634" s="42"/>
      <c r="V634" s="23">
        <f t="shared" si="83"/>
        <v>1</v>
      </c>
      <c r="W634" s="23">
        <f t="shared" si="84"/>
        <v>1</v>
      </c>
      <c r="X634" s="23"/>
      <c r="Y634" s="23"/>
      <c r="AA634" s="78">
        <v>0</v>
      </c>
      <c r="AB634" s="62">
        <f>C632</f>
        <v>66</v>
      </c>
      <c r="AC634" s="20"/>
      <c r="AD634" s="21"/>
      <c r="AE634" s="57">
        <v>66</v>
      </c>
      <c r="AF634" s="23">
        <f t="shared" si="85"/>
        <v>78</v>
      </c>
      <c r="AG634" s="23">
        <f t="shared" si="86"/>
        <v>78</v>
      </c>
      <c r="AH634" s="23"/>
      <c r="AI634" s="23">
        <v>14</v>
      </c>
      <c r="AK634" s="1">
        <f>AVERAGE(AA630:AA634)</f>
        <v>57.6</v>
      </c>
    </row>
    <row r="635" spans="1:37" s="12" customFormat="1" hidden="1" outlineLevel="1">
      <c r="A635" s="95">
        <v>45731</v>
      </c>
      <c r="B635" s="25" t="s">
        <v>16</v>
      </c>
      <c r="C635" s="26"/>
      <c r="D635" s="29"/>
      <c r="E635" s="29">
        <f t="shared" si="82"/>
        <v>-74</v>
      </c>
      <c r="G635" s="64"/>
      <c r="H635" s="63"/>
      <c r="I635" s="27"/>
      <c r="J635" s="28"/>
      <c r="K635" s="43"/>
      <c r="L635" s="29"/>
      <c r="M635" s="29"/>
      <c r="N635" s="29"/>
      <c r="O635" s="29"/>
      <c r="Q635" s="64"/>
      <c r="R635" s="63"/>
      <c r="S635" s="27"/>
      <c r="T635" s="28"/>
      <c r="U635" s="43"/>
      <c r="V635" s="29">
        <f t="shared" si="83"/>
        <v>1</v>
      </c>
      <c r="W635" s="29">
        <f t="shared" si="84"/>
        <v>1</v>
      </c>
      <c r="X635" s="29"/>
      <c r="Y635" s="29"/>
      <c r="AA635" s="79"/>
      <c r="AB635" s="63"/>
      <c r="AC635" s="27"/>
      <c r="AD635" s="28"/>
      <c r="AE635" s="43"/>
      <c r="AF635" s="29">
        <f t="shared" si="85"/>
        <v>78</v>
      </c>
      <c r="AG635" s="29">
        <f t="shared" si="86"/>
        <v>78</v>
      </c>
      <c r="AH635" s="29"/>
      <c r="AI635" s="29"/>
      <c r="AJ635" s="11"/>
    </row>
    <row r="636" spans="1:37" s="12" customFormat="1" hidden="1" outlineLevel="1" collapsed="1">
      <c r="A636" s="95">
        <v>45732</v>
      </c>
      <c r="B636" s="25" t="s">
        <v>17</v>
      </c>
      <c r="C636" s="26"/>
      <c r="D636" s="29"/>
      <c r="E636" s="29">
        <f t="shared" si="82"/>
        <v>-74</v>
      </c>
      <c r="G636" s="64"/>
      <c r="H636" s="63"/>
      <c r="I636" s="27"/>
      <c r="J636" s="28"/>
      <c r="K636" s="43"/>
      <c r="L636" s="29"/>
      <c r="M636" s="29"/>
      <c r="N636" s="29"/>
      <c r="O636" s="29"/>
      <c r="Q636" s="64"/>
      <c r="R636" s="63"/>
      <c r="S636" s="27"/>
      <c r="T636" s="28"/>
      <c r="U636" s="43"/>
      <c r="V636" s="29">
        <f t="shared" si="83"/>
        <v>1</v>
      </c>
      <c r="W636" s="29">
        <f t="shared" si="84"/>
        <v>1</v>
      </c>
      <c r="X636" s="29"/>
      <c r="Y636" s="29"/>
      <c r="AA636" s="79"/>
      <c r="AB636" s="63"/>
      <c r="AC636" s="27"/>
      <c r="AD636" s="28"/>
      <c r="AE636" s="43"/>
      <c r="AF636" s="29">
        <f t="shared" si="85"/>
        <v>78</v>
      </c>
      <c r="AG636" s="29">
        <f t="shared" si="86"/>
        <v>78</v>
      </c>
      <c r="AH636" s="29"/>
      <c r="AI636" s="29"/>
      <c r="AJ636" s="11"/>
    </row>
    <row r="637" spans="1:37" hidden="1" outlineLevel="1">
      <c r="A637" s="96">
        <v>45733</v>
      </c>
      <c r="B637" s="17" t="s">
        <v>18</v>
      </c>
      <c r="C637" s="18">
        <v>48</v>
      </c>
      <c r="D637" s="23">
        <v>42</v>
      </c>
      <c r="E637" s="23">
        <f t="shared" si="82"/>
        <v>-80</v>
      </c>
      <c r="G637" s="19"/>
      <c r="H637" s="62"/>
      <c r="I637" s="20"/>
      <c r="J637" s="21"/>
      <c r="K637" s="42"/>
      <c r="L637" s="23"/>
      <c r="M637" s="23"/>
      <c r="N637" s="23"/>
      <c r="O637" s="23"/>
      <c r="Q637" s="19"/>
      <c r="R637" s="62"/>
      <c r="S637" s="20"/>
      <c r="T637" s="21"/>
      <c r="U637" s="42"/>
      <c r="V637" s="23">
        <f t="shared" si="83"/>
        <v>1</v>
      </c>
      <c r="W637" s="23">
        <f t="shared" si="84"/>
        <v>1</v>
      </c>
      <c r="X637" s="23"/>
      <c r="Y637" s="23"/>
      <c r="AA637" s="78">
        <v>36</v>
      </c>
      <c r="AB637" s="62">
        <f>C633</f>
        <v>66</v>
      </c>
      <c r="AC637" s="20"/>
      <c r="AD637" s="21"/>
      <c r="AE637" s="57">
        <v>66</v>
      </c>
      <c r="AF637" s="23">
        <f t="shared" si="85"/>
        <v>108</v>
      </c>
      <c r="AG637" s="23">
        <f t="shared" si="86"/>
        <v>108</v>
      </c>
      <c r="AH637" s="23"/>
      <c r="AI637" s="23">
        <v>11</v>
      </c>
    </row>
    <row r="638" spans="1:37" hidden="1" outlineLevel="1">
      <c r="A638" s="96">
        <v>45734</v>
      </c>
      <c r="B638" s="17" t="s">
        <v>19</v>
      </c>
      <c r="C638" s="18">
        <v>48</v>
      </c>
      <c r="D638" s="23">
        <v>50</v>
      </c>
      <c r="E638" s="23">
        <f t="shared" si="82"/>
        <v>-78</v>
      </c>
      <c r="G638" s="19"/>
      <c r="H638" s="62"/>
      <c r="I638" s="20"/>
      <c r="J638" s="21"/>
      <c r="K638" s="42"/>
      <c r="L638" s="23"/>
      <c r="M638" s="23"/>
      <c r="N638" s="23"/>
      <c r="O638" s="23"/>
      <c r="Q638" s="19"/>
      <c r="R638" s="62"/>
      <c r="S638" s="20"/>
      <c r="T638" s="21"/>
      <c r="U638" s="42"/>
      <c r="V638" s="23">
        <f t="shared" si="83"/>
        <v>1</v>
      </c>
      <c r="W638" s="23">
        <f t="shared" si="84"/>
        <v>1</v>
      </c>
      <c r="X638" s="23"/>
      <c r="Y638" s="23"/>
      <c r="AA638" s="78">
        <v>80</v>
      </c>
      <c r="AB638" s="62">
        <f>C634</f>
        <v>66</v>
      </c>
      <c r="AC638" s="20"/>
      <c r="AD638" s="21"/>
      <c r="AE638" s="57">
        <v>66</v>
      </c>
      <c r="AF638" s="23">
        <f t="shared" si="85"/>
        <v>94</v>
      </c>
      <c r="AG638" s="23">
        <f t="shared" si="86"/>
        <v>94</v>
      </c>
      <c r="AH638" s="23"/>
      <c r="AI638" s="23">
        <v>11</v>
      </c>
    </row>
    <row r="639" spans="1:37" hidden="1" outlineLevel="1">
      <c r="A639" s="96">
        <v>45735</v>
      </c>
      <c r="B639" s="17" t="s">
        <v>20</v>
      </c>
      <c r="C639" s="18">
        <v>48</v>
      </c>
      <c r="D639" s="23">
        <v>48</v>
      </c>
      <c r="E639" s="23">
        <f t="shared" si="82"/>
        <v>-78</v>
      </c>
      <c r="G639" s="19"/>
      <c r="H639" s="62"/>
      <c r="I639" s="20"/>
      <c r="J639" s="21"/>
      <c r="K639" s="42"/>
      <c r="L639" s="23"/>
      <c r="M639" s="23"/>
      <c r="N639" s="23"/>
      <c r="O639" s="23"/>
      <c r="Q639" s="19"/>
      <c r="R639" s="62"/>
      <c r="S639" s="20"/>
      <c r="T639" s="21"/>
      <c r="U639" s="42"/>
      <c r="V639" s="23">
        <f t="shared" si="83"/>
        <v>1</v>
      </c>
      <c r="W639" s="23">
        <f t="shared" si="84"/>
        <v>1</v>
      </c>
      <c r="X639" s="23"/>
      <c r="Y639" s="23"/>
      <c r="AA639" s="78">
        <v>60</v>
      </c>
      <c r="AB639" s="62">
        <f>C637+AC639</f>
        <v>44</v>
      </c>
      <c r="AC639" s="20">
        <v>-4</v>
      </c>
      <c r="AD639" s="21"/>
      <c r="AE639" s="57">
        <v>44</v>
      </c>
      <c r="AF639" s="23">
        <f t="shared" si="85"/>
        <v>78</v>
      </c>
      <c r="AG639" s="23">
        <f t="shared" si="86"/>
        <v>78</v>
      </c>
      <c r="AH639" s="23"/>
      <c r="AI639" s="23">
        <v>10</v>
      </c>
    </row>
    <row r="640" spans="1:37" hidden="1" outlineLevel="1">
      <c r="A640" s="96">
        <v>45736</v>
      </c>
      <c r="B640" s="17" t="s">
        <v>14</v>
      </c>
      <c r="C640" s="18">
        <v>54</v>
      </c>
      <c r="D640" s="23">
        <v>54</v>
      </c>
      <c r="E640" s="23">
        <f t="shared" si="82"/>
        <v>-78</v>
      </c>
      <c r="G640" s="19"/>
      <c r="H640" s="62"/>
      <c r="I640" s="20"/>
      <c r="J640" s="21"/>
      <c r="K640" s="42"/>
      <c r="L640" s="23"/>
      <c r="M640" s="23"/>
      <c r="N640" s="23"/>
      <c r="O640" s="23"/>
      <c r="Q640" s="19"/>
      <c r="R640" s="62"/>
      <c r="S640" s="20"/>
      <c r="T640" s="21"/>
      <c r="U640" s="42"/>
      <c r="V640" s="23">
        <f t="shared" si="83"/>
        <v>1</v>
      </c>
      <c r="W640" s="23">
        <f t="shared" si="84"/>
        <v>1</v>
      </c>
      <c r="X640" s="23"/>
      <c r="Y640" s="23"/>
      <c r="AA640" s="78">
        <v>45</v>
      </c>
      <c r="AB640" s="62">
        <f>C638</f>
        <v>48</v>
      </c>
      <c r="AC640" s="20"/>
      <c r="AD640" s="21"/>
      <c r="AE640" s="57">
        <v>48</v>
      </c>
      <c r="AF640" s="23">
        <f t="shared" si="85"/>
        <v>81</v>
      </c>
      <c r="AG640" s="23">
        <f t="shared" si="86"/>
        <v>81</v>
      </c>
      <c r="AH640" s="23"/>
      <c r="AI640" s="23">
        <v>0</v>
      </c>
    </row>
    <row r="641" spans="1:37" hidden="1" outlineLevel="1">
      <c r="A641" s="96">
        <v>45737</v>
      </c>
      <c r="B641" s="17" t="s">
        <v>15</v>
      </c>
      <c r="C641" s="18">
        <v>54</v>
      </c>
      <c r="D641" s="23">
        <v>48</v>
      </c>
      <c r="E641" s="23">
        <f t="shared" si="82"/>
        <v>-84</v>
      </c>
      <c r="G641" s="19"/>
      <c r="H641" s="62"/>
      <c r="I641" s="20"/>
      <c r="J641" s="21"/>
      <c r="K641" s="42"/>
      <c r="L641" s="23"/>
      <c r="M641" s="23"/>
      <c r="N641" s="23"/>
      <c r="O641" s="23"/>
      <c r="Q641" s="19"/>
      <c r="R641" s="62"/>
      <c r="S641" s="20"/>
      <c r="T641" s="21"/>
      <c r="U641" s="42"/>
      <c r="V641" s="23">
        <f t="shared" si="83"/>
        <v>1</v>
      </c>
      <c r="W641" s="23">
        <f t="shared" si="84"/>
        <v>1</v>
      </c>
      <c r="X641" s="23"/>
      <c r="Y641" s="23"/>
      <c r="AA641" s="78">
        <v>54</v>
      </c>
      <c r="AB641" s="62">
        <f>C639</f>
        <v>48</v>
      </c>
      <c r="AC641" s="20"/>
      <c r="AD641" s="21"/>
      <c r="AE641" s="57">
        <v>48</v>
      </c>
      <c r="AF641" s="23">
        <f t="shared" si="85"/>
        <v>75</v>
      </c>
      <c r="AG641" s="23">
        <f t="shared" si="86"/>
        <v>75</v>
      </c>
      <c r="AH641" s="23"/>
      <c r="AI641" s="23">
        <v>9</v>
      </c>
      <c r="AK641" s="1">
        <f>AVERAGE(AA637:AA641)</f>
        <v>55</v>
      </c>
    </row>
    <row r="642" spans="1:37" s="12" customFormat="1" hidden="1" outlineLevel="1">
      <c r="A642" s="95">
        <v>45738</v>
      </c>
      <c r="B642" s="25" t="s">
        <v>16</v>
      </c>
      <c r="C642" s="26"/>
      <c r="D642" s="29"/>
      <c r="E642" s="29">
        <f t="shared" si="82"/>
        <v>-84</v>
      </c>
      <c r="G642" s="64"/>
      <c r="H642" s="63"/>
      <c r="I642" s="27"/>
      <c r="J642" s="28"/>
      <c r="K642" s="43"/>
      <c r="L642" s="29"/>
      <c r="M642" s="29"/>
      <c r="N642" s="29"/>
      <c r="O642" s="29"/>
      <c r="Q642" s="64"/>
      <c r="R642" s="63"/>
      <c r="S642" s="27"/>
      <c r="T642" s="28"/>
      <c r="U642" s="43"/>
      <c r="V642" s="29">
        <f t="shared" si="83"/>
        <v>1</v>
      </c>
      <c r="W642" s="29">
        <f t="shared" si="84"/>
        <v>1</v>
      </c>
      <c r="X642" s="29"/>
      <c r="Y642" s="29"/>
      <c r="AA642" s="79"/>
      <c r="AB642" s="63"/>
      <c r="AC642" s="27"/>
      <c r="AD642" s="28"/>
      <c r="AE642" s="43"/>
      <c r="AF642" s="29">
        <f t="shared" si="85"/>
        <v>75</v>
      </c>
      <c r="AG642" s="29">
        <f t="shared" si="86"/>
        <v>75</v>
      </c>
      <c r="AH642" s="29"/>
      <c r="AI642" s="29"/>
      <c r="AJ642" s="11"/>
    </row>
    <row r="643" spans="1:37" s="12" customFormat="1" hidden="1" outlineLevel="1" collapsed="1">
      <c r="A643" s="95">
        <v>45739</v>
      </c>
      <c r="B643" s="25" t="s">
        <v>17</v>
      </c>
      <c r="C643" s="26"/>
      <c r="D643" s="29"/>
      <c r="E643" s="29">
        <f t="shared" si="82"/>
        <v>-84</v>
      </c>
      <c r="G643" s="64"/>
      <c r="H643" s="63"/>
      <c r="I643" s="27"/>
      <c r="J643" s="28"/>
      <c r="K643" s="43"/>
      <c r="L643" s="29"/>
      <c r="M643" s="29"/>
      <c r="N643" s="29"/>
      <c r="O643" s="29"/>
      <c r="Q643" s="64"/>
      <c r="R643" s="63"/>
      <c r="S643" s="27"/>
      <c r="T643" s="28"/>
      <c r="U643" s="43"/>
      <c r="V643" s="29">
        <f t="shared" si="83"/>
        <v>1</v>
      </c>
      <c r="W643" s="29">
        <f t="shared" si="84"/>
        <v>1</v>
      </c>
      <c r="X643" s="29"/>
      <c r="Y643" s="29"/>
      <c r="AA643" s="79"/>
      <c r="AB643" s="63"/>
      <c r="AC643" s="27"/>
      <c r="AD643" s="28"/>
      <c r="AE643" s="43"/>
      <c r="AF643" s="29">
        <f t="shared" si="85"/>
        <v>75</v>
      </c>
      <c r="AG643" s="29">
        <f t="shared" si="86"/>
        <v>75</v>
      </c>
      <c r="AH643" s="29"/>
      <c r="AI643" s="29"/>
      <c r="AJ643" s="11"/>
    </row>
    <row r="644" spans="1:37" hidden="1" outlineLevel="1">
      <c r="A644" s="96">
        <v>45740</v>
      </c>
      <c r="B644" s="17" t="s">
        <v>18</v>
      </c>
      <c r="C644" s="18">
        <v>48</v>
      </c>
      <c r="D644" s="23">
        <v>48</v>
      </c>
      <c r="E644" s="23">
        <f t="shared" si="82"/>
        <v>-84</v>
      </c>
      <c r="G644" s="19"/>
      <c r="H644" s="62"/>
      <c r="I644" s="20"/>
      <c r="J644" s="21"/>
      <c r="K644" s="42"/>
      <c r="L644" s="23"/>
      <c r="M644" s="23"/>
      <c r="N644" s="23"/>
      <c r="O644" s="23"/>
      <c r="Q644" s="19"/>
      <c r="R644" s="62"/>
      <c r="S644" s="20"/>
      <c r="T644" s="21"/>
      <c r="U644" s="42"/>
      <c r="V644" s="23">
        <f t="shared" si="83"/>
        <v>1</v>
      </c>
      <c r="W644" s="23">
        <f t="shared" si="84"/>
        <v>1</v>
      </c>
      <c r="X644" s="23"/>
      <c r="Y644" s="23"/>
      <c r="AA644" s="78">
        <v>78</v>
      </c>
      <c r="AB644" s="62">
        <f>IF(C642&lt;&gt;"",C642+I644,IF(C640&lt;&gt;"",C640+I644,IF(C639&lt;&gt;"",C639+I644,IF(C638&lt;&gt;"",C638+I644,IF(C637&lt;&gt;"",C637+I644,IF(C636&lt;&gt;"",C636+I644))))))</f>
        <v>54</v>
      </c>
      <c r="AC644" s="20"/>
      <c r="AD644" s="21"/>
      <c r="AE644" s="57">
        <v>54</v>
      </c>
      <c r="AF644" s="23">
        <f t="shared" si="85"/>
        <v>51</v>
      </c>
      <c r="AG644" s="23">
        <f t="shared" si="86"/>
        <v>51</v>
      </c>
      <c r="AH644" s="23"/>
      <c r="AI644" s="23">
        <v>8</v>
      </c>
    </row>
    <row r="645" spans="1:37" hidden="1" outlineLevel="1">
      <c r="A645" s="96">
        <v>45741</v>
      </c>
      <c r="B645" s="17" t="s">
        <v>19</v>
      </c>
      <c r="C645" s="18">
        <v>48</v>
      </c>
      <c r="D645" s="23">
        <v>48</v>
      </c>
      <c r="E645" s="23">
        <f t="shared" si="82"/>
        <v>-84</v>
      </c>
      <c r="G645" s="19"/>
      <c r="H645" s="62"/>
      <c r="I645" s="20"/>
      <c r="J645" s="21"/>
      <c r="K645" s="42"/>
      <c r="L645" s="23"/>
      <c r="M645" s="23"/>
      <c r="N645" s="23"/>
      <c r="O645" s="23"/>
      <c r="Q645" s="19"/>
      <c r="R645" s="62"/>
      <c r="S645" s="20"/>
      <c r="T645" s="21"/>
      <c r="U645" s="42"/>
      <c r="V645" s="23">
        <f t="shared" si="83"/>
        <v>1</v>
      </c>
      <c r="W645" s="23">
        <f t="shared" si="84"/>
        <v>1</v>
      </c>
      <c r="X645" s="23"/>
      <c r="Y645" s="23"/>
      <c r="AA645" s="78">
        <v>66</v>
      </c>
      <c r="AB645" s="62">
        <f>IF(C643&lt;&gt;"",C643+I645,IF(C641&lt;&gt;"",C641+I645,IF(C640&lt;&gt;"",C640+I645,IF(C639&lt;&gt;"",C639+I645,IF(C638&lt;&gt;"",C638+I645,IF(C637&lt;&gt;"",C637+I645))))))</f>
        <v>54</v>
      </c>
      <c r="AC645" s="20"/>
      <c r="AD645" s="21"/>
      <c r="AE645" s="57">
        <v>54</v>
      </c>
      <c r="AF645" s="23">
        <f t="shared" si="85"/>
        <v>39</v>
      </c>
      <c r="AG645" s="23">
        <f t="shared" si="86"/>
        <v>39</v>
      </c>
      <c r="AH645" s="23"/>
      <c r="AI645" s="23">
        <v>8</v>
      </c>
    </row>
    <row r="646" spans="1:37" hidden="1" outlineLevel="1">
      <c r="A646" s="96">
        <v>45742</v>
      </c>
      <c r="B646" s="17" t="s">
        <v>20</v>
      </c>
      <c r="C646" s="18">
        <v>48</v>
      </c>
      <c r="D646" s="23">
        <v>54</v>
      </c>
      <c r="E646" s="23">
        <f t="shared" si="82"/>
        <v>-78</v>
      </c>
      <c r="G646" s="19"/>
      <c r="H646" s="62"/>
      <c r="I646" s="20"/>
      <c r="J646" s="21"/>
      <c r="K646" s="42"/>
      <c r="L646" s="23"/>
      <c r="M646" s="23"/>
      <c r="N646" s="23"/>
      <c r="O646" s="23"/>
      <c r="Q646" s="19"/>
      <c r="R646" s="62"/>
      <c r="S646" s="20"/>
      <c r="T646" s="21"/>
      <c r="U646" s="42"/>
      <c r="V646" s="23">
        <f t="shared" si="83"/>
        <v>1</v>
      </c>
      <c r="W646" s="23">
        <f t="shared" si="84"/>
        <v>1</v>
      </c>
      <c r="X646" s="23"/>
      <c r="Y646" s="23"/>
      <c r="AA646" s="78">
        <v>54</v>
      </c>
      <c r="AB646" s="62">
        <f>IF(C644&lt;&gt;"",C644+I646,IF(C642&lt;&gt;"",C642+I646,IF(C641&lt;&gt;"",C641+I646,IF(C640&lt;&gt;"",C640+I646,IF(C639&lt;&gt;"",C639+I646,IF(C638&lt;&gt;"",C638+I646))))))</f>
        <v>48</v>
      </c>
      <c r="AC646" s="20"/>
      <c r="AD646" s="21"/>
      <c r="AE646" s="57">
        <v>48</v>
      </c>
      <c r="AF646" s="23">
        <f t="shared" si="85"/>
        <v>33</v>
      </c>
      <c r="AG646" s="23">
        <f t="shared" si="86"/>
        <v>33</v>
      </c>
      <c r="AH646" s="23"/>
      <c r="AI646" s="23">
        <f>8+9</f>
        <v>17</v>
      </c>
    </row>
    <row r="647" spans="1:37" hidden="1" outlineLevel="1">
      <c r="A647" s="96">
        <v>45743</v>
      </c>
      <c r="B647" s="17" t="s">
        <v>14</v>
      </c>
      <c r="C647" s="18">
        <v>48</v>
      </c>
      <c r="D647" s="23">
        <v>54</v>
      </c>
      <c r="E647" s="23">
        <f t="shared" si="82"/>
        <v>-72</v>
      </c>
      <c r="G647" s="19"/>
      <c r="H647" s="62"/>
      <c r="I647" s="20"/>
      <c r="J647" s="21"/>
      <c r="K647" s="42"/>
      <c r="L647" s="23"/>
      <c r="M647" s="23"/>
      <c r="N647" s="23"/>
      <c r="O647" s="23"/>
      <c r="Q647" s="19"/>
      <c r="R647" s="62"/>
      <c r="S647" s="20"/>
      <c r="T647" s="21"/>
      <c r="U647" s="42"/>
      <c r="V647" s="23">
        <f t="shared" si="83"/>
        <v>1</v>
      </c>
      <c r="W647" s="23">
        <f t="shared" si="84"/>
        <v>1</v>
      </c>
      <c r="X647" s="23"/>
      <c r="Y647" s="23"/>
      <c r="AA647" s="78">
        <v>57</v>
      </c>
      <c r="AB647" s="62">
        <f>IF(C645&lt;&gt;"",C645+I647,IF(C643&lt;&gt;"",C643+I647,IF(C642&lt;&gt;"",C642+I647,IF(C641&lt;&gt;"",C641+I647,IF(C640&lt;&gt;"",C640+I647,IF(C639&lt;&gt;"",C639+I647))))))</f>
        <v>48</v>
      </c>
      <c r="AC647" s="20"/>
      <c r="AD647" s="21"/>
      <c r="AE647" s="57">
        <v>48</v>
      </c>
      <c r="AF647" s="23">
        <f t="shared" si="85"/>
        <v>24</v>
      </c>
      <c r="AG647" s="23">
        <f t="shared" si="86"/>
        <v>24</v>
      </c>
      <c r="AH647" s="23"/>
      <c r="AI647" s="23">
        <v>0</v>
      </c>
    </row>
    <row r="648" spans="1:37" hidden="1" outlineLevel="1">
      <c r="A648" s="96">
        <v>45744</v>
      </c>
      <c r="B648" s="17" t="s">
        <v>15</v>
      </c>
      <c r="C648" s="18">
        <v>48</v>
      </c>
      <c r="D648" s="23">
        <v>54</v>
      </c>
      <c r="E648" s="23">
        <f t="shared" si="82"/>
        <v>-66</v>
      </c>
      <c r="G648" s="19"/>
      <c r="H648" s="62"/>
      <c r="I648" s="20"/>
      <c r="J648" s="21"/>
      <c r="K648" s="42"/>
      <c r="L648" s="23"/>
      <c r="M648" s="23"/>
      <c r="N648" s="23"/>
      <c r="O648" s="23"/>
      <c r="Q648" s="19"/>
      <c r="R648" s="62"/>
      <c r="S648" s="20"/>
      <c r="T648" s="21"/>
      <c r="U648" s="42"/>
      <c r="V648" s="23">
        <f t="shared" si="83"/>
        <v>1</v>
      </c>
      <c r="W648" s="23">
        <f t="shared" si="84"/>
        <v>1</v>
      </c>
      <c r="X648" s="23"/>
      <c r="Y648" s="23"/>
      <c r="AA648" s="78">
        <v>69</v>
      </c>
      <c r="AB648" s="62">
        <f>IF(C646&lt;&gt;"",C646+I648,IF(C644&lt;&gt;"",C644+I648,IF(C643&lt;&gt;"",C643+I648,IF(C642&lt;&gt;"",C642+I648,IF(C641&lt;&gt;"",C641+I648,IF(C640&lt;&gt;"",C640+I648))))))</f>
        <v>48</v>
      </c>
      <c r="AC648" s="20"/>
      <c r="AD648" s="21"/>
      <c r="AE648" s="57">
        <v>48</v>
      </c>
      <c r="AF648" s="23">
        <f t="shared" si="85"/>
        <v>3</v>
      </c>
      <c r="AG648" s="23">
        <f t="shared" si="86"/>
        <v>3</v>
      </c>
      <c r="AH648" s="23"/>
      <c r="AI648" s="23">
        <v>17</v>
      </c>
      <c r="AK648" s="1">
        <f>AVERAGE(AA644:AA648)</f>
        <v>64.8</v>
      </c>
    </row>
    <row r="649" spans="1:37" s="12" customFormat="1" hidden="1" outlineLevel="1">
      <c r="A649" s="95">
        <v>45745</v>
      </c>
      <c r="B649" s="25" t="s">
        <v>16</v>
      </c>
      <c r="C649" s="26"/>
      <c r="D649" s="29"/>
      <c r="E649" s="29">
        <f t="shared" si="82"/>
        <v>-66</v>
      </c>
      <c r="G649" s="64"/>
      <c r="H649" s="63"/>
      <c r="I649" s="27"/>
      <c r="J649" s="28"/>
      <c r="K649" s="43"/>
      <c r="L649" s="29"/>
      <c r="M649" s="29"/>
      <c r="N649" s="29"/>
      <c r="O649" s="29"/>
      <c r="Q649" s="64"/>
      <c r="R649" s="63"/>
      <c r="S649" s="27"/>
      <c r="T649" s="28"/>
      <c r="U649" s="43"/>
      <c r="V649" s="29">
        <f t="shared" si="83"/>
        <v>1</v>
      </c>
      <c r="W649" s="29">
        <f t="shared" si="84"/>
        <v>1</v>
      </c>
      <c r="X649" s="29"/>
      <c r="Y649" s="29"/>
      <c r="AA649" s="79"/>
      <c r="AB649" s="63"/>
      <c r="AC649" s="27"/>
      <c r="AD649" s="28"/>
      <c r="AE649" s="43"/>
      <c r="AF649" s="29">
        <f t="shared" si="85"/>
        <v>3</v>
      </c>
      <c r="AG649" s="29">
        <f t="shared" si="86"/>
        <v>3</v>
      </c>
      <c r="AH649" s="29"/>
      <c r="AI649" s="29"/>
      <c r="AJ649" s="11"/>
    </row>
    <row r="650" spans="1:37" s="12" customFormat="1" hidden="1" outlineLevel="1" collapsed="1">
      <c r="A650" s="95">
        <v>45746</v>
      </c>
      <c r="B650" s="25" t="s">
        <v>17</v>
      </c>
      <c r="C650" s="26"/>
      <c r="D650" s="29"/>
      <c r="E650" s="29">
        <f t="shared" si="82"/>
        <v>-66</v>
      </c>
      <c r="G650" s="64"/>
      <c r="H650" s="63"/>
      <c r="I650" s="27"/>
      <c r="J650" s="28"/>
      <c r="K650" s="43"/>
      <c r="L650" s="29"/>
      <c r="M650" s="29"/>
      <c r="N650" s="29"/>
      <c r="O650" s="29"/>
      <c r="Q650" s="64"/>
      <c r="R650" s="63"/>
      <c r="S650" s="27"/>
      <c r="T650" s="28"/>
      <c r="U650" s="43"/>
      <c r="V650" s="29">
        <f t="shared" si="83"/>
        <v>1</v>
      </c>
      <c r="W650" s="29">
        <f t="shared" si="84"/>
        <v>1</v>
      </c>
      <c r="X650" s="29"/>
      <c r="Y650" s="29"/>
      <c r="AA650" s="79"/>
      <c r="AB650" s="63"/>
      <c r="AC650" s="27"/>
      <c r="AD650" s="28"/>
      <c r="AE650" s="43"/>
      <c r="AF650" s="29">
        <f t="shared" si="85"/>
        <v>3</v>
      </c>
      <c r="AG650" s="29">
        <f t="shared" si="86"/>
        <v>3</v>
      </c>
      <c r="AH650" s="29"/>
      <c r="AI650" s="29"/>
      <c r="AJ650" s="11"/>
    </row>
    <row r="651" spans="1:37" hidden="1" outlineLevel="1">
      <c r="A651" s="96">
        <v>45747</v>
      </c>
      <c r="B651" s="17" t="s">
        <v>18</v>
      </c>
      <c r="C651" s="18">
        <v>60</v>
      </c>
      <c r="D651" s="23">
        <v>60</v>
      </c>
      <c r="E651" s="23">
        <f t="shared" si="82"/>
        <v>-66</v>
      </c>
      <c r="G651" s="19"/>
      <c r="H651" s="62"/>
      <c r="I651" s="20"/>
      <c r="J651" s="21"/>
      <c r="K651" s="42"/>
      <c r="L651" s="23"/>
      <c r="M651" s="23"/>
      <c r="N651" s="23"/>
      <c r="O651" s="23"/>
      <c r="Q651" s="19"/>
      <c r="R651" s="62"/>
      <c r="S651" s="20"/>
      <c r="T651" s="21"/>
      <c r="U651" s="42"/>
      <c r="V651" s="23">
        <f t="shared" si="83"/>
        <v>1</v>
      </c>
      <c r="W651" s="23">
        <f t="shared" si="84"/>
        <v>1</v>
      </c>
      <c r="X651" s="23"/>
      <c r="Y651" s="23"/>
      <c r="AA651" s="78">
        <v>72</v>
      </c>
      <c r="AB651" s="62">
        <f>IF(C649&lt;&gt;"",C649+I651,IF(C647&lt;&gt;"",C647+I651,IF(C646&lt;&gt;"",C646+I651,IF(C645&lt;&gt;"",C645+I651,IF(C644&lt;&gt;"",C644+I651,IF(C643&lt;&gt;"",C643+I651))))))</f>
        <v>48</v>
      </c>
      <c r="AC651" s="20"/>
      <c r="AD651" s="21"/>
      <c r="AE651" s="57">
        <v>48</v>
      </c>
      <c r="AF651" s="23">
        <f t="shared" si="85"/>
        <v>-21</v>
      </c>
      <c r="AG651" s="23">
        <f t="shared" si="86"/>
        <v>-21</v>
      </c>
      <c r="AH651" s="23"/>
      <c r="AI651" s="23">
        <v>0</v>
      </c>
    </row>
    <row r="652" spans="1:37" hidden="1" outlineLevel="1">
      <c r="A652" s="96">
        <v>45748</v>
      </c>
      <c r="B652" s="17" t="s">
        <v>19</v>
      </c>
      <c r="C652" s="18">
        <v>0</v>
      </c>
      <c r="D652" s="23">
        <v>60</v>
      </c>
      <c r="E652" s="23">
        <f t="shared" ref="E652:E683" si="87">E651-C652+D652</f>
        <v>-6</v>
      </c>
      <c r="G652" s="19"/>
      <c r="H652" s="62"/>
      <c r="I652" s="20"/>
      <c r="J652" s="21"/>
      <c r="K652" s="42"/>
      <c r="L652" s="23"/>
      <c r="M652" s="23"/>
      <c r="N652" s="23"/>
      <c r="O652" s="23"/>
      <c r="Q652" s="19"/>
      <c r="R652" s="62"/>
      <c r="S652" s="20"/>
      <c r="T652" s="21"/>
      <c r="U652" s="42"/>
      <c r="V652" s="23">
        <f t="shared" ref="V652:V683" si="88">V651-Q652+U652</f>
        <v>1</v>
      </c>
      <c r="W652" s="23">
        <f t="shared" ref="W652:W683" si="89">W651-Q652+R652</f>
        <v>1</v>
      </c>
      <c r="X652" s="23"/>
      <c r="Y652" s="23"/>
      <c r="AA652" s="78">
        <v>54</v>
      </c>
      <c r="AB652" s="62">
        <f>IF(C650&lt;&gt;"",C650+I652,IF(C648&lt;&gt;"",C648+I652,IF(C647&lt;&gt;"",C647+I652,IF(C646&lt;&gt;"",C646+I652,IF(C645&lt;&gt;"",C645+I652,IF(C644&lt;&gt;"",C644+I652))))))</f>
        <v>48</v>
      </c>
      <c r="AC652" s="20"/>
      <c r="AD652" s="21"/>
      <c r="AE652" s="57">
        <v>48</v>
      </c>
      <c r="AF652" s="23">
        <f t="shared" ref="AF652:AF683" si="90">AF651-AA652+AE652</f>
        <v>-27</v>
      </c>
      <c r="AG652" s="23">
        <f t="shared" ref="AG652:AG683" si="91">AG651-AA652+AB652</f>
        <v>-27</v>
      </c>
      <c r="AH652" s="23"/>
      <c r="AI652" s="23">
        <v>5</v>
      </c>
    </row>
    <row r="653" spans="1:37" hidden="1" outlineLevel="1">
      <c r="A653" s="96">
        <v>45749</v>
      </c>
      <c r="B653" s="17" t="s">
        <v>20</v>
      </c>
      <c r="C653" s="18">
        <v>60</v>
      </c>
      <c r="D653" s="23">
        <v>60</v>
      </c>
      <c r="E653" s="23">
        <f t="shared" si="87"/>
        <v>-6</v>
      </c>
      <c r="G653" s="19"/>
      <c r="H653" s="62"/>
      <c r="I653" s="20"/>
      <c r="J653" s="21"/>
      <c r="K653" s="42"/>
      <c r="L653" s="23"/>
      <c r="M653" s="23"/>
      <c r="N653" s="23"/>
      <c r="O653" s="23"/>
      <c r="Q653" s="19"/>
      <c r="R653" s="62"/>
      <c r="S653" s="20"/>
      <c r="T653" s="21"/>
      <c r="U653" s="42"/>
      <c r="V653" s="23">
        <f t="shared" si="88"/>
        <v>1</v>
      </c>
      <c r="W653" s="23">
        <f t="shared" si="89"/>
        <v>1</v>
      </c>
      <c r="X653" s="23"/>
      <c r="Y653" s="23"/>
      <c r="AA653" s="78">
        <v>72</v>
      </c>
      <c r="AB653" s="62">
        <f>IF(C651&lt;&gt;"",C651+I653,IF(C649&lt;&gt;"",C649+I653,IF(C648&lt;&gt;"",C648+I653,IF(C647&lt;&gt;"",C647+I653,IF(C646&lt;&gt;"",C646+I653,IF(C645&lt;&gt;"",C645+I653))))))</f>
        <v>60</v>
      </c>
      <c r="AC653" s="20"/>
      <c r="AD653" s="21"/>
      <c r="AE653" s="57">
        <v>60</v>
      </c>
      <c r="AF653" s="23">
        <f t="shared" si="90"/>
        <v>-39</v>
      </c>
      <c r="AG653" s="23">
        <f t="shared" si="91"/>
        <v>-39</v>
      </c>
      <c r="AH653" s="23"/>
      <c r="AI653" s="23">
        <f>10+6</f>
        <v>16</v>
      </c>
    </row>
    <row r="654" spans="1:37" s="12" customFormat="1" hidden="1" outlineLevel="1">
      <c r="A654" s="95">
        <v>45750</v>
      </c>
      <c r="B654" s="25" t="s">
        <v>14</v>
      </c>
      <c r="C654" s="18">
        <v>60</v>
      </c>
      <c r="D654" s="29">
        <v>0</v>
      </c>
      <c r="E654" s="29">
        <f t="shared" si="87"/>
        <v>-66</v>
      </c>
      <c r="G654" s="64"/>
      <c r="H654" s="63"/>
      <c r="I654" s="27"/>
      <c r="J654" s="28"/>
      <c r="K654" s="43"/>
      <c r="L654" s="29"/>
      <c r="M654" s="29"/>
      <c r="N654" s="29"/>
      <c r="O654" s="29"/>
      <c r="Q654" s="64"/>
      <c r="R654" s="63"/>
      <c r="S654" s="27"/>
      <c r="T654" s="28"/>
      <c r="U654" s="43"/>
      <c r="V654" s="29">
        <f t="shared" si="88"/>
        <v>1</v>
      </c>
      <c r="W654" s="29">
        <f t="shared" si="89"/>
        <v>1</v>
      </c>
      <c r="X654" s="29"/>
      <c r="Y654" s="29"/>
      <c r="AA654" s="79">
        <v>0</v>
      </c>
      <c r="AB654" s="63">
        <v>0</v>
      </c>
      <c r="AC654" s="27"/>
      <c r="AD654" s="28"/>
      <c r="AE654" s="43"/>
      <c r="AF654" s="29">
        <f t="shared" si="90"/>
        <v>-39</v>
      </c>
      <c r="AG654" s="29">
        <f t="shared" si="91"/>
        <v>-39</v>
      </c>
      <c r="AH654" s="29"/>
      <c r="AI654" s="29"/>
      <c r="AJ654" s="11"/>
    </row>
    <row r="655" spans="1:37" hidden="1" outlineLevel="1">
      <c r="A655" s="96">
        <v>45751</v>
      </c>
      <c r="B655" s="17" t="s">
        <v>15</v>
      </c>
      <c r="C655" s="18">
        <v>60</v>
      </c>
      <c r="D655" s="23">
        <v>48</v>
      </c>
      <c r="E655" s="23">
        <f t="shared" si="87"/>
        <v>-78</v>
      </c>
      <c r="G655" s="19"/>
      <c r="H655" s="62"/>
      <c r="I655" s="20"/>
      <c r="J655" s="21"/>
      <c r="K655" s="42"/>
      <c r="L655" s="23"/>
      <c r="M655" s="23"/>
      <c r="N655" s="23"/>
      <c r="O655" s="23"/>
      <c r="Q655" s="19"/>
      <c r="R655" s="62"/>
      <c r="S655" s="20"/>
      <c r="T655" s="21"/>
      <c r="U655" s="42"/>
      <c r="V655" s="23">
        <f t="shared" si="88"/>
        <v>1</v>
      </c>
      <c r="W655" s="23">
        <f t="shared" si="89"/>
        <v>1</v>
      </c>
      <c r="X655" s="23"/>
      <c r="Y655" s="23"/>
      <c r="AA655" s="78">
        <v>24</v>
      </c>
      <c r="AB655" s="62">
        <f>IF(C653&lt;&gt;"",C653+I655,IF(C651&lt;&gt;"",C651+I655,IF(C650&lt;&gt;"",C650+I655,IF(C649&lt;&gt;"",C649+I655,IF(C648&lt;&gt;"",C648+I655,IF(C647&lt;&gt;"",C647+I655))))))</f>
        <v>60</v>
      </c>
      <c r="AC655" s="20"/>
      <c r="AD655" s="21"/>
      <c r="AE655" s="57">
        <v>60</v>
      </c>
      <c r="AF655" s="23">
        <f t="shared" si="90"/>
        <v>-3</v>
      </c>
      <c r="AG655" s="23">
        <f t="shared" si="91"/>
        <v>-3</v>
      </c>
      <c r="AH655" s="23"/>
      <c r="AI655" s="23"/>
      <c r="AK655" s="1">
        <f>AVERAGE(AA651:AA655)</f>
        <v>44.4</v>
      </c>
    </row>
    <row r="656" spans="1:37" s="12" customFormat="1" hidden="1" outlineLevel="1">
      <c r="A656" s="95">
        <v>45752</v>
      </c>
      <c r="B656" s="25" t="s">
        <v>16</v>
      </c>
      <c r="C656" s="26"/>
      <c r="D656" s="29"/>
      <c r="E656" s="29">
        <f t="shared" si="87"/>
        <v>-78</v>
      </c>
      <c r="G656" s="64"/>
      <c r="H656" s="63"/>
      <c r="I656" s="27"/>
      <c r="J656" s="28"/>
      <c r="K656" s="43"/>
      <c r="L656" s="29"/>
      <c r="M656" s="29"/>
      <c r="N656" s="29"/>
      <c r="O656" s="29"/>
      <c r="Q656" s="64"/>
      <c r="R656" s="63"/>
      <c r="S656" s="27"/>
      <c r="T656" s="28"/>
      <c r="U656" s="43"/>
      <c r="V656" s="29">
        <f t="shared" si="88"/>
        <v>1</v>
      </c>
      <c r="W656" s="29">
        <f t="shared" si="89"/>
        <v>1</v>
      </c>
      <c r="X656" s="29"/>
      <c r="Y656" s="29"/>
      <c r="AA656" s="79"/>
      <c r="AB656" s="63"/>
      <c r="AC656" s="27"/>
      <c r="AD656" s="28"/>
      <c r="AE656" s="43"/>
      <c r="AF656" s="29">
        <f t="shared" si="90"/>
        <v>-3</v>
      </c>
      <c r="AG656" s="29">
        <f t="shared" si="91"/>
        <v>-3</v>
      </c>
      <c r="AH656" s="29"/>
      <c r="AI656" s="29"/>
      <c r="AJ656" s="11"/>
    </row>
    <row r="657" spans="1:37" s="12" customFormat="1" hidden="1" outlineLevel="1" collapsed="1">
      <c r="A657" s="95">
        <v>45753</v>
      </c>
      <c r="B657" s="25" t="s">
        <v>17</v>
      </c>
      <c r="C657" s="26"/>
      <c r="D657" s="29"/>
      <c r="E657" s="29">
        <f t="shared" si="87"/>
        <v>-78</v>
      </c>
      <c r="G657" s="64"/>
      <c r="H657" s="63"/>
      <c r="I657" s="27"/>
      <c r="J657" s="28"/>
      <c r="K657" s="43"/>
      <c r="L657" s="29"/>
      <c r="M657" s="29"/>
      <c r="N657" s="29"/>
      <c r="O657" s="29"/>
      <c r="Q657" s="64"/>
      <c r="R657" s="63"/>
      <c r="S657" s="27"/>
      <c r="T657" s="28"/>
      <c r="U657" s="43"/>
      <c r="V657" s="29">
        <f t="shared" si="88"/>
        <v>1</v>
      </c>
      <c r="W657" s="29">
        <f t="shared" si="89"/>
        <v>1</v>
      </c>
      <c r="X657" s="29"/>
      <c r="Y657" s="29"/>
      <c r="AA657" s="79"/>
      <c r="AB657" s="63"/>
      <c r="AC657" s="27"/>
      <c r="AD657" s="28"/>
      <c r="AE657" s="43"/>
      <c r="AF657" s="29">
        <f t="shared" si="90"/>
        <v>-3</v>
      </c>
      <c r="AG657" s="29">
        <f t="shared" si="91"/>
        <v>-3</v>
      </c>
      <c r="AH657" s="29"/>
      <c r="AI657" s="29"/>
      <c r="AJ657" s="11"/>
    </row>
    <row r="658" spans="1:37" hidden="1" outlineLevel="1">
      <c r="A658" s="96">
        <v>45754</v>
      </c>
      <c r="B658" s="17" t="s">
        <v>18</v>
      </c>
      <c r="C658" s="18">
        <v>66</v>
      </c>
      <c r="D658" s="23">
        <v>66</v>
      </c>
      <c r="E658" s="23">
        <f t="shared" si="87"/>
        <v>-78</v>
      </c>
      <c r="G658" s="19"/>
      <c r="H658" s="62"/>
      <c r="I658" s="20"/>
      <c r="J658" s="21"/>
      <c r="K658" s="42"/>
      <c r="L658" s="23"/>
      <c r="M658" s="23"/>
      <c r="N658" s="23"/>
      <c r="O658" s="23"/>
      <c r="Q658" s="19"/>
      <c r="R658" s="62"/>
      <c r="S658" s="20"/>
      <c r="T658" s="21"/>
      <c r="U658" s="42"/>
      <c r="V658" s="23">
        <f t="shared" si="88"/>
        <v>1</v>
      </c>
      <c r="W658" s="23">
        <f t="shared" si="89"/>
        <v>1</v>
      </c>
      <c r="X658" s="23"/>
      <c r="Y658" s="23"/>
      <c r="AA658" s="78">
        <v>69</v>
      </c>
      <c r="AB658" s="62">
        <f>IF(C656&lt;&gt;"",C656+I658,IF(C654&lt;&gt;"",C654+I658,IF(C653&lt;&gt;"",C653+I658,IF(C652&lt;&gt;"",C652+I658,IF(C651&lt;&gt;"",C651+I658,IF(C650&lt;&gt;"",C650+I658))))))</f>
        <v>60</v>
      </c>
      <c r="AC658" s="20"/>
      <c r="AD658" s="21"/>
      <c r="AE658" s="57">
        <v>60</v>
      </c>
      <c r="AF658" s="23">
        <f t="shared" si="90"/>
        <v>-12</v>
      </c>
      <c r="AG658" s="23">
        <f t="shared" si="91"/>
        <v>-12</v>
      </c>
      <c r="AH658" s="23"/>
      <c r="AI658" s="23">
        <v>12</v>
      </c>
    </row>
    <row r="659" spans="1:37" hidden="1" outlineLevel="1">
      <c r="A659" s="96">
        <v>45755</v>
      </c>
      <c r="B659" s="17" t="s">
        <v>19</v>
      </c>
      <c r="C659" s="18">
        <v>66</v>
      </c>
      <c r="D659" s="23">
        <v>66</v>
      </c>
      <c r="E659" s="23">
        <f t="shared" si="87"/>
        <v>-78</v>
      </c>
      <c r="G659" s="19"/>
      <c r="H659" s="62"/>
      <c r="I659" s="20"/>
      <c r="J659" s="21"/>
      <c r="K659" s="42"/>
      <c r="L659" s="23"/>
      <c r="M659" s="23"/>
      <c r="N659" s="23"/>
      <c r="O659" s="23"/>
      <c r="Q659" s="19"/>
      <c r="R659" s="62"/>
      <c r="S659" s="20"/>
      <c r="T659" s="21"/>
      <c r="U659" s="42"/>
      <c r="V659" s="23">
        <f t="shared" si="88"/>
        <v>1</v>
      </c>
      <c r="W659" s="23">
        <f t="shared" si="89"/>
        <v>1</v>
      </c>
      <c r="X659" s="23"/>
      <c r="Y659" s="23"/>
      <c r="AA659" s="78">
        <v>63</v>
      </c>
      <c r="AB659" s="62">
        <f>IF(C657&lt;&gt;"",C657+I659,IF(C655&lt;&gt;"",C655+I659,IF(C654&lt;&gt;"",C654+I659,IF(C653&lt;&gt;"",C653+I659,IF(C652&lt;&gt;"",C652+I659,IF(C651&lt;&gt;"",C651+I659))))))</f>
        <v>60</v>
      </c>
      <c r="AC659" s="20"/>
      <c r="AD659" s="21"/>
      <c r="AE659" s="57">
        <v>60</v>
      </c>
      <c r="AF659" s="23">
        <f t="shared" si="90"/>
        <v>-15</v>
      </c>
      <c r="AG659" s="23">
        <f t="shared" si="91"/>
        <v>-15</v>
      </c>
      <c r="AH659" s="23"/>
      <c r="AI659" s="23">
        <v>18</v>
      </c>
    </row>
    <row r="660" spans="1:37" hidden="1" outlineLevel="1">
      <c r="A660" s="96">
        <v>45756</v>
      </c>
      <c r="B660" s="17" t="s">
        <v>20</v>
      </c>
      <c r="C660" s="18">
        <f t="shared" ref="C660:C662" si="92">ROUNDDOWN((MAX(AK660:AK671)/6),0)*6</f>
        <v>60</v>
      </c>
      <c r="D660" s="23">
        <v>66</v>
      </c>
      <c r="E660" s="23">
        <f t="shared" si="87"/>
        <v>-72</v>
      </c>
      <c r="G660" s="19"/>
      <c r="H660" s="62"/>
      <c r="I660" s="20"/>
      <c r="J660" s="21"/>
      <c r="K660" s="42"/>
      <c r="L660" s="23"/>
      <c r="M660" s="23"/>
      <c r="N660" s="23"/>
      <c r="O660" s="23"/>
      <c r="Q660" s="19"/>
      <c r="R660" s="62"/>
      <c r="S660" s="20"/>
      <c r="T660" s="21"/>
      <c r="U660" s="42"/>
      <c r="V660" s="23">
        <f t="shared" si="88"/>
        <v>1</v>
      </c>
      <c r="W660" s="23">
        <f t="shared" si="89"/>
        <v>1</v>
      </c>
      <c r="X660" s="23"/>
      <c r="Y660" s="23"/>
      <c r="AA660" s="78">
        <v>54</v>
      </c>
      <c r="AB660" s="62">
        <f>IF(C658&lt;&gt;"",C658+I660,IF(C656&lt;&gt;"",C656+I660,IF(C655&lt;&gt;"",C655+I660,IF(C654&lt;&gt;"",C654+I660,IF(C653&lt;&gt;"",C653+I660,IF(C652&lt;&gt;"",C652+I660))))))</f>
        <v>66</v>
      </c>
      <c r="AC660" s="20"/>
      <c r="AD660" s="21"/>
      <c r="AE660" s="57">
        <v>66</v>
      </c>
      <c r="AF660" s="23">
        <f t="shared" si="90"/>
        <v>-3</v>
      </c>
      <c r="AG660" s="23">
        <f t="shared" si="91"/>
        <v>-3</v>
      </c>
      <c r="AH660" s="23"/>
      <c r="AI660" s="23">
        <v>0</v>
      </c>
    </row>
    <row r="661" spans="1:37" hidden="1" outlineLevel="1">
      <c r="A661" s="96">
        <v>45757</v>
      </c>
      <c r="B661" s="17" t="s">
        <v>14</v>
      </c>
      <c r="C661" s="18">
        <f t="shared" si="92"/>
        <v>60</v>
      </c>
      <c r="D661" s="23">
        <v>60</v>
      </c>
      <c r="E661" s="23">
        <f t="shared" si="87"/>
        <v>-72</v>
      </c>
      <c r="G661" s="19"/>
      <c r="H661" s="62"/>
      <c r="I661" s="20"/>
      <c r="J661" s="21"/>
      <c r="K661" s="42"/>
      <c r="L661" s="23"/>
      <c r="M661" s="23"/>
      <c r="N661" s="23"/>
      <c r="O661" s="23"/>
      <c r="Q661" s="19"/>
      <c r="R661" s="62"/>
      <c r="S661" s="20"/>
      <c r="T661" s="21"/>
      <c r="U661" s="42"/>
      <c r="V661" s="23">
        <f t="shared" si="88"/>
        <v>1</v>
      </c>
      <c r="W661" s="23">
        <f t="shared" si="89"/>
        <v>1</v>
      </c>
      <c r="X661" s="23"/>
      <c r="Y661" s="23"/>
      <c r="AA661" s="78">
        <v>72</v>
      </c>
      <c r="AB661" s="62">
        <f>IF(C659&lt;&gt;"",C659+I661,IF(C657&lt;&gt;"",C657+I661,IF(C656&lt;&gt;"",C656+I661,IF(C655&lt;&gt;"",C655+I661,IF(C654&lt;&gt;"",C654+I661,IF(C653&lt;&gt;"",C653+I661))))))</f>
        <v>66</v>
      </c>
      <c r="AC661" s="20"/>
      <c r="AD661" s="21"/>
      <c r="AE661" s="57">
        <v>66</v>
      </c>
      <c r="AF661" s="23">
        <f t="shared" si="90"/>
        <v>-9</v>
      </c>
      <c r="AG661" s="23">
        <f t="shared" si="91"/>
        <v>-9</v>
      </c>
      <c r="AH661" s="23"/>
      <c r="AI661" s="23">
        <v>6</v>
      </c>
    </row>
    <row r="662" spans="1:37" hidden="1" outlineLevel="1">
      <c r="A662" s="96">
        <v>45758</v>
      </c>
      <c r="B662" s="17" t="s">
        <v>15</v>
      </c>
      <c r="C662" s="18">
        <f t="shared" si="92"/>
        <v>60</v>
      </c>
      <c r="D662" s="23">
        <v>60</v>
      </c>
      <c r="E662" s="23">
        <f t="shared" si="87"/>
        <v>-72</v>
      </c>
      <c r="G662" s="19"/>
      <c r="H662" s="62"/>
      <c r="I662" s="20"/>
      <c r="J662" s="21"/>
      <c r="K662" s="42"/>
      <c r="L662" s="23"/>
      <c r="M662" s="23"/>
      <c r="N662" s="23"/>
      <c r="O662" s="23"/>
      <c r="Q662" s="19"/>
      <c r="R662" s="62"/>
      <c r="S662" s="20"/>
      <c r="T662" s="21"/>
      <c r="U662" s="42"/>
      <c r="V662" s="23">
        <f t="shared" si="88"/>
        <v>1</v>
      </c>
      <c r="W662" s="23">
        <f t="shared" si="89"/>
        <v>1</v>
      </c>
      <c r="X662" s="23"/>
      <c r="Y662" s="23"/>
      <c r="AA662" s="78">
        <v>54</v>
      </c>
      <c r="AB662" s="62">
        <f>IF(C660&lt;&gt;"",C660+I662,IF(C658&lt;&gt;"",C658+I662,IF(C657&lt;&gt;"",C657+I662,IF(C656&lt;&gt;"",C656+I662,IF(C655&lt;&gt;"",C655+I662,IF(C654&lt;&gt;"",C654+I662))))))</f>
        <v>60</v>
      </c>
      <c r="AC662" s="20"/>
      <c r="AD662" s="21"/>
      <c r="AE662" s="57">
        <v>60</v>
      </c>
      <c r="AF662" s="23">
        <f t="shared" si="90"/>
        <v>-3</v>
      </c>
      <c r="AG662" s="23">
        <f t="shared" si="91"/>
        <v>-3</v>
      </c>
      <c r="AH662" s="23"/>
      <c r="AI662" s="23">
        <v>23</v>
      </c>
      <c r="AK662" s="1">
        <f>AVERAGE(AA658:AA662)</f>
        <v>62.4</v>
      </c>
    </row>
    <row r="663" spans="1:37" s="12" customFormat="1" hidden="1" outlineLevel="1">
      <c r="A663" s="95">
        <v>45759</v>
      </c>
      <c r="B663" s="25" t="s">
        <v>16</v>
      </c>
      <c r="C663" s="26"/>
      <c r="D663" s="29"/>
      <c r="E663" s="29">
        <f t="shared" si="87"/>
        <v>-72</v>
      </c>
      <c r="G663" s="64"/>
      <c r="H663" s="63"/>
      <c r="I663" s="27"/>
      <c r="J663" s="28"/>
      <c r="K663" s="43"/>
      <c r="L663" s="29"/>
      <c r="M663" s="29"/>
      <c r="N663" s="29"/>
      <c r="O663" s="29"/>
      <c r="Q663" s="64"/>
      <c r="R663" s="63"/>
      <c r="S663" s="27"/>
      <c r="T663" s="28"/>
      <c r="U663" s="43"/>
      <c r="V663" s="29">
        <f t="shared" si="88"/>
        <v>1</v>
      </c>
      <c r="W663" s="29">
        <f t="shared" si="89"/>
        <v>1</v>
      </c>
      <c r="X663" s="29"/>
      <c r="Y663" s="29"/>
      <c r="AA663" s="79"/>
      <c r="AB663" s="63"/>
      <c r="AC663" s="27"/>
      <c r="AD663" s="28"/>
      <c r="AE663" s="43"/>
      <c r="AF663" s="29">
        <f t="shared" si="90"/>
        <v>-3</v>
      </c>
      <c r="AG663" s="29">
        <f t="shared" si="91"/>
        <v>-3</v>
      </c>
      <c r="AH663" s="29"/>
      <c r="AI663" s="29"/>
      <c r="AJ663" s="11"/>
    </row>
    <row r="664" spans="1:37" s="12" customFormat="1" hidden="1" outlineLevel="1" collapsed="1">
      <c r="A664" s="95">
        <v>45760</v>
      </c>
      <c r="B664" s="25" t="s">
        <v>17</v>
      </c>
      <c r="C664" s="26"/>
      <c r="D664" s="29"/>
      <c r="E664" s="29">
        <f t="shared" si="87"/>
        <v>-72</v>
      </c>
      <c r="G664" s="64"/>
      <c r="H664" s="63"/>
      <c r="I664" s="27"/>
      <c r="J664" s="28"/>
      <c r="K664" s="43"/>
      <c r="L664" s="29"/>
      <c r="M664" s="29"/>
      <c r="N664" s="29"/>
      <c r="O664" s="29"/>
      <c r="Q664" s="64"/>
      <c r="R664" s="63"/>
      <c r="S664" s="27"/>
      <c r="T664" s="28"/>
      <c r="U664" s="43"/>
      <c r="V664" s="29">
        <f t="shared" si="88"/>
        <v>1</v>
      </c>
      <c r="W664" s="29">
        <f t="shared" si="89"/>
        <v>1</v>
      </c>
      <c r="X664" s="29"/>
      <c r="Y664" s="29"/>
      <c r="AA664" s="79"/>
      <c r="AB664" s="63"/>
      <c r="AC664" s="27"/>
      <c r="AD664" s="28"/>
      <c r="AE664" s="43"/>
      <c r="AF664" s="29">
        <f t="shared" si="90"/>
        <v>-3</v>
      </c>
      <c r="AG664" s="29">
        <f t="shared" si="91"/>
        <v>-3</v>
      </c>
      <c r="AH664" s="29"/>
      <c r="AI664" s="29"/>
      <c r="AJ664" s="11"/>
    </row>
    <row r="665" spans="1:37" hidden="1" outlineLevel="1">
      <c r="A665" s="96">
        <v>45761</v>
      </c>
      <c r="B665" s="17" t="s">
        <v>18</v>
      </c>
      <c r="C665" s="18">
        <v>60</v>
      </c>
      <c r="D665" s="23">
        <v>54</v>
      </c>
      <c r="E665" s="23">
        <f t="shared" si="87"/>
        <v>-78</v>
      </c>
      <c r="G665" s="19"/>
      <c r="H665" s="62"/>
      <c r="I665" s="20"/>
      <c r="J665" s="21"/>
      <c r="K665" s="42"/>
      <c r="L665" s="23"/>
      <c r="M665" s="23"/>
      <c r="N665" s="23"/>
      <c r="O665" s="23"/>
      <c r="Q665" s="19"/>
      <c r="R665" s="62"/>
      <c r="S665" s="20"/>
      <c r="T665" s="21"/>
      <c r="U665" s="42"/>
      <c r="V665" s="23">
        <f t="shared" si="88"/>
        <v>1</v>
      </c>
      <c r="W665" s="23">
        <f t="shared" si="89"/>
        <v>1</v>
      </c>
      <c r="X665" s="23"/>
      <c r="Y665" s="23"/>
      <c r="AA665" s="78">
        <v>72</v>
      </c>
      <c r="AB665" s="62">
        <f>IF(C663&lt;&gt;"",C663+I665,IF(C661&lt;&gt;"",C661+I665,IF(C660&lt;&gt;"",C660+I665,IF(C659&lt;&gt;"",C659+I665,IF(C658&lt;&gt;"",C658+I665,IF(C657&lt;&gt;"",C657+I665))))))</f>
        <v>60</v>
      </c>
      <c r="AC665" s="20"/>
      <c r="AD665" s="21"/>
      <c r="AE665" s="57">
        <v>60</v>
      </c>
      <c r="AF665" s="23">
        <f t="shared" si="90"/>
        <v>-15</v>
      </c>
      <c r="AG665" s="23">
        <f t="shared" si="91"/>
        <v>-15</v>
      </c>
      <c r="AH665" s="23"/>
      <c r="AI665" s="23">
        <v>15</v>
      </c>
    </row>
    <row r="666" spans="1:37" hidden="1" outlineLevel="1">
      <c r="A666" s="96">
        <v>45762</v>
      </c>
      <c r="B666" s="17" t="s">
        <v>19</v>
      </c>
      <c r="C666" s="18">
        <v>60</v>
      </c>
      <c r="D666" s="23">
        <v>66</v>
      </c>
      <c r="E666" s="23">
        <f t="shared" si="87"/>
        <v>-72</v>
      </c>
      <c r="G666" s="19"/>
      <c r="H666" s="62"/>
      <c r="I666" s="20"/>
      <c r="J666" s="21"/>
      <c r="K666" s="42"/>
      <c r="L666" s="23"/>
      <c r="M666" s="23"/>
      <c r="N666" s="23"/>
      <c r="O666" s="23"/>
      <c r="Q666" s="19"/>
      <c r="R666" s="62"/>
      <c r="S666" s="20"/>
      <c r="T666" s="21"/>
      <c r="U666" s="42"/>
      <c r="V666" s="23">
        <f t="shared" si="88"/>
        <v>1</v>
      </c>
      <c r="W666" s="23">
        <f t="shared" si="89"/>
        <v>1</v>
      </c>
      <c r="X666" s="23"/>
      <c r="Y666" s="23"/>
      <c r="AA666" s="78">
        <v>69</v>
      </c>
      <c r="AB666" s="62">
        <f>IF(C664&lt;&gt;"",C664+I666,IF(C662&lt;&gt;"",C662+I666,IF(C661&lt;&gt;"",C661+I666,IF(C660&lt;&gt;"",C660+I666,IF(C659&lt;&gt;"",C659+I666,IF(C658&lt;&gt;"",C658+I666))))))</f>
        <v>60</v>
      </c>
      <c r="AC666" s="20"/>
      <c r="AD666" s="21"/>
      <c r="AE666" s="57">
        <v>60</v>
      </c>
      <c r="AF666" s="23">
        <f t="shared" si="90"/>
        <v>-24</v>
      </c>
      <c r="AG666" s="23">
        <f t="shared" si="91"/>
        <v>-24</v>
      </c>
      <c r="AH666" s="23"/>
      <c r="AI666" s="23">
        <v>0</v>
      </c>
    </row>
    <row r="667" spans="1:37" hidden="1" outlineLevel="1">
      <c r="A667" s="96">
        <v>45763</v>
      </c>
      <c r="B667" s="17" t="s">
        <v>20</v>
      </c>
      <c r="C667" s="18">
        <v>66</v>
      </c>
      <c r="D667" s="23">
        <v>0</v>
      </c>
      <c r="E667" s="23">
        <f t="shared" si="87"/>
        <v>-138</v>
      </c>
      <c r="G667" s="19"/>
      <c r="H667" s="62"/>
      <c r="I667" s="20"/>
      <c r="J667" s="21"/>
      <c r="K667" s="42"/>
      <c r="L667" s="23"/>
      <c r="M667" s="23"/>
      <c r="N667" s="23"/>
      <c r="O667" s="23"/>
      <c r="Q667" s="19"/>
      <c r="R667" s="62"/>
      <c r="S667" s="20"/>
      <c r="T667" s="21"/>
      <c r="U667" s="42"/>
      <c r="V667" s="23">
        <f t="shared" si="88"/>
        <v>1</v>
      </c>
      <c r="W667" s="23">
        <f t="shared" si="89"/>
        <v>1</v>
      </c>
      <c r="X667" s="23"/>
      <c r="Y667" s="23"/>
      <c r="AA667" s="78">
        <v>54</v>
      </c>
      <c r="AB667" s="62">
        <f>IF(C665&lt;&gt;"",C665+I667,IF(C663&lt;&gt;"",C663+I667,IF(C662&lt;&gt;"",C662+I667,IF(C661&lt;&gt;"",C661+I667,IF(C660&lt;&gt;"",C660+I667,IF(C659&lt;&gt;"",C659+I667))))))</f>
        <v>60</v>
      </c>
      <c r="AC667" s="20"/>
      <c r="AD667" s="21"/>
      <c r="AE667" s="57">
        <v>60</v>
      </c>
      <c r="AF667" s="23">
        <f t="shared" si="90"/>
        <v>-18</v>
      </c>
      <c r="AG667" s="23">
        <f t="shared" si="91"/>
        <v>-18</v>
      </c>
      <c r="AH667" s="23"/>
      <c r="AI667" s="23">
        <f>6+10</f>
        <v>16</v>
      </c>
    </row>
    <row r="668" spans="1:37" hidden="1" outlineLevel="1">
      <c r="A668" s="96">
        <v>45764</v>
      </c>
      <c r="B668" s="17" t="s">
        <v>14</v>
      </c>
      <c r="C668" s="18">
        <v>66</v>
      </c>
      <c r="D668" s="23">
        <v>0</v>
      </c>
      <c r="E668" s="23">
        <f t="shared" si="87"/>
        <v>-204</v>
      </c>
      <c r="G668" s="19"/>
      <c r="H668" s="62"/>
      <c r="I668" s="20"/>
      <c r="J668" s="21"/>
      <c r="K668" s="42"/>
      <c r="L668" s="23"/>
      <c r="M668" s="23"/>
      <c r="N668" s="23"/>
      <c r="O668" s="23"/>
      <c r="Q668" s="19"/>
      <c r="R668" s="62"/>
      <c r="S668" s="20"/>
      <c r="T668" s="21"/>
      <c r="U668" s="42"/>
      <c r="V668" s="23">
        <f t="shared" si="88"/>
        <v>1</v>
      </c>
      <c r="W668" s="23">
        <f t="shared" si="89"/>
        <v>1</v>
      </c>
      <c r="X668" s="23"/>
      <c r="Y668" s="23"/>
      <c r="AA668" s="78">
        <v>54</v>
      </c>
      <c r="AB668" s="65">
        <f>IF(C666&lt;&gt;"",C666+AC668,IF(C664&lt;&gt;"",C664+AC668,IF(C663&lt;&gt;"",C663+AC668,IF(C662&lt;&gt;"",C662+AC668,IF(C661&lt;&gt;"",C661+AC668,IF(C660&lt;&gt;"",C660+AC668))))))</f>
        <v>60</v>
      </c>
      <c r="AC668" s="20"/>
      <c r="AD668" s="21"/>
      <c r="AE668" s="57">
        <v>60</v>
      </c>
      <c r="AF668" s="23">
        <f t="shared" si="90"/>
        <v>-12</v>
      </c>
      <c r="AG668" s="23">
        <f t="shared" si="91"/>
        <v>-12</v>
      </c>
      <c r="AH668" s="23"/>
      <c r="AI668" s="23">
        <v>4</v>
      </c>
    </row>
    <row r="669" spans="1:37" hidden="1" outlineLevel="1">
      <c r="A669" s="96">
        <v>45765</v>
      </c>
      <c r="B669" s="17" t="s">
        <v>15</v>
      </c>
      <c r="C669" s="18">
        <v>66</v>
      </c>
      <c r="D669" s="23">
        <v>66</v>
      </c>
      <c r="E669" s="23">
        <f t="shared" si="87"/>
        <v>-204</v>
      </c>
      <c r="G669" s="19"/>
      <c r="H669" s="62"/>
      <c r="I669" s="20"/>
      <c r="J669" s="21"/>
      <c r="K669" s="42"/>
      <c r="L669" s="23"/>
      <c r="M669" s="23"/>
      <c r="N669" s="23"/>
      <c r="O669" s="23"/>
      <c r="Q669" s="19"/>
      <c r="R669" s="62"/>
      <c r="S669" s="20"/>
      <c r="T669" s="21"/>
      <c r="U669" s="42"/>
      <c r="V669" s="23">
        <f t="shared" si="88"/>
        <v>1</v>
      </c>
      <c r="W669" s="23">
        <f t="shared" si="89"/>
        <v>1</v>
      </c>
      <c r="X669" s="23"/>
      <c r="Y669" s="23"/>
      <c r="AA669" s="78">
        <v>54</v>
      </c>
      <c r="AB669" s="175">
        <f>IF(C667&lt;&gt;"",C667+AC669,IF(C665&lt;&gt;"",C665+AC669,IF(C664&lt;&gt;"",C664+AC669,IF(C663&lt;&gt;"",C663+AC669,IF(C662&lt;&gt;"",C662+AC669,IF(C661&lt;&gt;"",C661+AC669))))))</f>
        <v>0</v>
      </c>
      <c r="AC669" s="20">
        <v>-66</v>
      </c>
      <c r="AD669" s="21"/>
      <c r="AE669" s="57">
        <v>0</v>
      </c>
      <c r="AF669" s="23">
        <f t="shared" si="90"/>
        <v>-66</v>
      </c>
      <c r="AG669" s="23">
        <f t="shared" si="91"/>
        <v>-66</v>
      </c>
      <c r="AH669" s="23"/>
      <c r="AI669" s="23">
        <v>0</v>
      </c>
      <c r="AK669" s="1">
        <f>AVERAGE(AA665:AA669)</f>
        <v>60.6</v>
      </c>
    </row>
    <row r="670" spans="1:37" s="12" customFormat="1" hidden="1" outlineLevel="1">
      <c r="A670" s="95">
        <v>45766</v>
      </c>
      <c r="B670" s="25" t="s">
        <v>16</v>
      </c>
      <c r="C670" s="26"/>
      <c r="D670" s="29"/>
      <c r="E670" s="29">
        <f t="shared" si="87"/>
        <v>-204</v>
      </c>
      <c r="G670" s="64"/>
      <c r="H670" s="63"/>
      <c r="I670" s="27"/>
      <c r="J670" s="28"/>
      <c r="K670" s="43"/>
      <c r="L670" s="29"/>
      <c r="M670" s="29"/>
      <c r="N670" s="29"/>
      <c r="O670" s="29"/>
      <c r="Q670" s="64"/>
      <c r="R670" s="63"/>
      <c r="S670" s="27"/>
      <c r="T670" s="28"/>
      <c r="U670" s="43"/>
      <c r="V670" s="29">
        <f t="shared" si="88"/>
        <v>1</v>
      </c>
      <c r="W670" s="29">
        <f t="shared" si="89"/>
        <v>1</v>
      </c>
      <c r="X670" s="29"/>
      <c r="Y670" s="29"/>
      <c r="AA670" s="79"/>
      <c r="AB670" s="63"/>
      <c r="AC670" s="27"/>
      <c r="AD670" s="28"/>
      <c r="AE670" s="43"/>
      <c r="AF670" s="29">
        <f t="shared" si="90"/>
        <v>-66</v>
      </c>
      <c r="AG670" s="29">
        <f t="shared" si="91"/>
        <v>-66</v>
      </c>
      <c r="AH670" s="29"/>
      <c r="AI670" s="29"/>
      <c r="AJ670" s="11"/>
    </row>
    <row r="671" spans="1:37" s="12" customFormat="1" hidden="1" outlineLevel="1" collapsed="1">
      <c r="A671" s="95">
        <v>45767</v>
      </c>
      <c r="B671" s="25" t="s">
        <v>17</v>
      </c>
      <c r="C671" s="26"/>
      <c r="D671" s="29"/>
      <c r="E671" s="29">
        <f t="shared" si="87"/>
        <v>-204</v>
      </c>
      <c r="G671" s="64"/>
      <c r="H671" s="63"/>
      <c r="I671" s="27"/>
      <c r="J671" s="28"/>
      <c r="K671" s="43"/>
      <c r="L671" s="29"/>
      <c r="M671" s="29"/>
      <c r="N671" s="29"/>
      <c r="O671" s="29"/>
      <c r="Q671" s="64"/>
      <c r="R671" s="63"/>
      <c r="S671" s="27"/>
      <c r="T671" s="28"/>
      <c r="U671" s="43"/>
      <c r="V671" s="29">
        <f t="shared" si="88"/>
        <v>1</v>
      </c>
      <c r="W671" s="29">
        <f t="shared" si="89"/>
        <v>1</v>
      </c>
      <c r="X671" s="29"/>
      <c r="Y671" s="29"/>
      <c r="AA671" s="79"/>
      <c r="AB671" s="63"/>
      <c r="AC671" s="27"/>
      <c r="AD671" s="28"/>
      <c r="AE671" s="43"/>
      <c r="AF671" s="29">
        <f t="shared" si="90"/>
        <v>-66</v>
      </c>
      <c r="AG671" s="29">
        <f t="shared" si="91"/>
        <v>-66</v>
      </c>
      <c r="AH671" s="29"/>
      <c r="AI671" s="29"/>
      <c r="AJ671" s="11"/>
    </row>
    <row r="672" spans="1:37" hidden="1" outlineLevel="1">
      <c r="A672" s="96">
        <v>45768</v>
      </c>
      <c r="B672" s="17" t="s">
        <v>18</v>
      </c>
      <c r="C672" s="18">
        <v>72</v>
      </c>
      <c r="D672" s="23">
        <v>71</v>
      </c>
      <c r="E672" s="23">
        <f t="shared" si="87"/>
        <v>-205</v>
      </c>
      <c r="G672" s="19"/>
      <c r="H672" s="62"/>
      <c r="I672" s="20"/>
      <c r="J672" s="21"/>
      <c r="K672" s="42"/>
      <c r="L672" s="23"/>
      <c r="M672" s="23"/>
      <c r="N672" s="23"/>
      <c r="O672" s="23"/>
      <c r="Q672" s="19"/>
      <c r="R672" s="62"/>
      <c r="S672" s="20"/>
      <c r="T672" s="21"/>
      <c r="U672" s="42"/>
      <c r="V672" s="23">
        <f t="shared" si="88"/>
        <v>1</v>
      </c>
      <c r="W672" s="23">
        <f t="shared" si="89"/>
        <v>1</v>
      </c>
      <c r="X672" s="23"/>
      <c r="Y672" s="23"/>
      <c r="AA672" s="78">
        <v>72</v>
      </c>
      <c r="AB672" s="175">
        <f t="shared" ref="AB672:AB676" si="93">IF(C670&lt;&gt;"",C670+AC672,IF(C668&lt;&gt;"",C668+AC672,IF(C667&lt;&gt;"",C667+AC672,IF(C666&lt;&gt;"",C666+AC672,IF(C665&lt;&gt;"",C665+AC672,IF(C664&lt;&gt;"",C664+AC672))))))</f>
        <v>63</v>
      </c>
      <c r="AC672" s="20">
        <v>-3</v>
      </c>
      <c r="AD672" s="21"/>
      <c r="AE672" s="57">
        <v>63</v>
      </c>
      <c r="AF672" s="23">
        <f t="shared" si="90"/>
        <v>-75</v>
      </c>
      <c r="AG672" s="23">
        <f t="shared" si="91"/>
        <v>-75</v>
      </c>
      <c r="AH672" s="23"/>
      <c r="AI672" s="23">
        <v>4</v>
      </c>
    </row>
    <row r="673" spans="1:42" hidden="1" outlineLevel="1">
      <c r="A673" s="96">
        <v>45769</v>
      </c>
      <c r="B673" s="17" t="s">
        <v>19</v>
      </c>
      <c r="C673" s="18">
        <v>72</v>
      </c>
      <c r="D673" s="23"/>
      <c r="E673" s="23">
        <f t="shared" si="87"/>
        <v>-277</v>
      </c>
      <c r="G673" s="19"/>
      <c r="H673" s="62"/>
      <c r="I673" s="20"/>
      <c r="J673" s="21"/>
      <c r="K673" s="42"/>
      <c r="L673" s="23"/>
      <c r="M673" s="23"/>
      <c r="N673" s="23"/>
      <c r="O673" s="23"/>
      <c r="Q673" s="19"/>
      <c r="R673" s="62"/>
      <c r="S673" s="20"/>
      <c r="T673" s="21"/>
      <c r="U673" s="42"/>
      <c r="V673" s="23">
        <f t="shared" si="88"/>
        <v>1</v>
      </c>
      <c r="W673" s="23">
        <f t="shared" si="89"/>
        <v>1</v>
      </c>
      <c r="X673" s="23"/>
      <c r="Y673" s="23"/>
      <c r="AA673" s="78">
        <v>72</v>
      </c>
      <c r="AB673" s="62">
        <f t="shared" si="93"/>
        <v>66</v>
      </c>
      <c r="AC673" s="20"/>
      <c r="AD673" s="21"/>
      <c r="AE673" s="57">
        <v>66</v>
      </c>
      <c r="AF673" s="23">
        <f t="shared" si="90"/>
        <v>-81</v>
      </c>
      <c r="AG673" s="23">
        <f t="shared" si="91"/>
        <v>-81</v>
      </c>
      <c r="AH673" s="23"/>
      <c r="AI673" s="23">
        <v>21</v>
      </c>
    </row>
    <row r="674" spans="1:42" hidden="1" outlineLevel="1">
      <c r="A674" s="96">
        <v>45770</v>
      </c>
      <c r="B674" s="17" t="s">
        <v>20</v>
      </c>
      <c r="C674" s="18">
        <v>72</v>
      </c>
      <c r="D674" s="23"/>
      <c r="E674" s="23">
        <f t="shared" si="87"/>
        <v>-349</v>
      </c>
      <c r="G674" s="19"/>
      <c r="H674" s="62"/>
      <c r="I674" s="20"/>
      <c r="J674" s="21"/>
      <c r="K674" s="42"/>
      <c r="L674" s="23"/>
      <c r="M674" s="23"/>
      <c r="N674" s="23"/>
      <c r="O674" s="23"/>
      <c r="Q674" s="19"/>
      <c r="R674" s="62"/>
      <c r="S674" s="20"/>
      <c r="T674" s="21"/>
      <c r="U674" s="42"/>
      <c r="V674" s="23">
        <f t="shared" si="88"/>
        <v>1</v>
      </c>
      <c r="W674" s="23">
        <f t="shared" si="89"/>
        <v>1</v>
      </c>
      <c r="X674" s="23"/>
      <c r="Y674" s="23"/>
      <c r="AA674" s="78">
        <v>33</v>
      </c>
      <c r="AB674" s="62">
        <f t="shared" si="93"/>
        <v>72</v>
      </c>
      <c r="AC674" s="20"/>
      <c r="AD674" s="21"/>
      <c r="AE674" s="57">
        <v>72</v>
      </c>
      <c r="AF674" s="23">
        <f t="shared" si="90"/>
        <v>-42</v>
      </c>
      <c r="AG674" s="23">
        <f t="shared" si="91"/>
        <v>-42</v>
      </c>
      <c r="AH674" s="23"/>
      <c r="AI674" s="23">
        <v>16</v>
      </c>
    </row>
    <row r="675" spans="1:42" hidden="1" outlineLevel="1">
      <c r="A675" s="96">
        <v>45771</v>
      </c>
      <c r="B675" s="17" t="s">
        <v>14</v>
      </c>
      <c r="C675" s="18">
        <v>72</v>
      </c>
      <c r="D675" s="23"/>
      <c r="E675" s="23">
        <f t="shared" si="87"/>
        <v>-421</v>
      </c>
      <c r="G675" s="19"/>
      <c r="H675" s="62"/>
      <c r="I675" s="20"/>
      <c r="J675" s="21"/>
      <c r="K675" s="42"/>
      <c r="L675" s="23"/>
      <c r="M675" s="23"/>
      <c r="N675" s="23"/>
      <c r="O675" s="23"/>
      <c r="Q675" s="19"/>
      <c r="R675" s="62"/>
      <c r="S675" s="20"/>
      <c r="T675" s="21"/>
      <c r="U675" s="42"/>
      <c r="V675" s="23">
        <f t="shared" si="88"/>
        <v>1</v>
      </c>
      <c r="W675" s="23">
        <f t="shared" si="89"/>
        <v>1</v>
      </c>
      <c r="X675" s="23"/>
      <c r="Y675" s="23"/>
      <c r="AA675" s="78">
        <v>21</v>
      </c>
      <c r="AB675" s="62">
        <f t="shared" si="93"/>
        <v>72</v>
      </c>
      <c r="AC675" s="20"/>
      <c r="AD675" s="21"/>
      <c r="AE675" s="57">
        <v>72</v>
      </c>
      <c r="AF675" s="23">
        <f t="shared" si="90"/>
        <v>9</v>
      </c>
      <c r="AG675" s="23">
        <f t="shared" si="91"/>
        <v>9</v>
      </c>
      <c r="AH675" s="23"/>
      <c r="AI675" s="23">
        <f>12+5</f>
        <v>17</v>
      </c>
    </row>
    <row r="676" spans="1:42" hidden="1" outlineLevel="1">
      <c r="A676" s="96">
        <v>45772</v>
      </c>
      <c r="B676" s="17" t="s">
        <v>15</v>
      </c>
      <c r="C676" s="18">
        <v>72</v>
      </c>
      <c r="D676" s="23"/>
      <c r="E676" s="23">
        <f t="shared" si="87"/>
        <v>-493</v>
      </c>
      <c r="G676" s="19"/>
      <c r="H676" s="62"/>
      <c r="I676" s="20"/>
      <c r="J676" s="21"/>
      <c r="K676" s="42"/>
      <c r="L676" s="23"/>
      <c r="M676" s="23"/>
      <c r="N676" s="23"/>
      <c r="O676" s="23"/>
      <c r="Q676" s="19"/>
      <c r="R676" s="62"/>
      <c r="S676" s="20"/>
      <c r="T676" s="21"/>
      <c r="U676" s="42"/>
      <c r="V676" s="23">
        <f t="shared" si="88"/>
        <v>1</v>
      </c>
      <c r="W676" s="23">
        <f t="shared" si="89"/>
        <v>1</v>
      </c>
      <c r="X676" s="23"/>
      <c r="Y676" s="23"/>
      <c r="AA676" s="78">
        <v>81</v>
      </c>
      <c r="AB676" s="62">
        <f t="shared" si="93"/>
        <v>72</v>
      </c>
      <c r="AC676" s="20"/>
      <c r="AD676" s="21"/>
      <c r="AE676" s="57">
        <v>72</v>
      </c>
      <c r="AF676" s="23">
        <f t="shared" si="90"/>
        <v>0</v>
      </c>
      <c r="AG676" s="23">
        <f t="shared" si="91"/>
        <v>0</v>
      </c>
      <c r="AH676" s="23"/>
      <c r="AI676" s="23">
        <v>12</v>
      </c>
      <c r="AK676" s="1">
        <f>AVERAGE(AA672:AA676)</f>
        <v>55.8</v>
      </c>
    </row>
    <row r="677" spans="1:42" s="12" customFormat="1" hidden="1" outlineLevel="1">
      <c r="A677" s="95">
        <v>45773</v>
      </c>
      <c r="B677" s="25" t="s">
        <v>16</v>
      </c>
      <c r="C677" s="26"/>
      <c r="D677" s="29"/>
      <c r="E677" s="29">
        <f t="shared" si="87"/>
        <v>-493</v>
      </c>
      <c r="G677" s="64"/>
      <c r="H677" s="63"/>
      <c r="I677" s="27"/>
      <c r="J677" s="28"/>
      <c r="K677" s="43"/>
      <c r="L677" s="29"/>
      <c r="M677" s="29"/>
      <c r="N677" s="29"/>
      <c r="O677" s="29"/>
      <c r="Q677" s="64"/>
      <c r="R677" s="63"/>
      <c r="S677" s="27"/>
      <c r="T677" s="28"/>
      <c r="U677" s="43"/>
      <c r="V677" s="29">
        <f t="shared" si="88"/>
        <v>1</v>
      </c>
      <c r="W677" s="29">
        <f t="shared" si="89"/>
        <v>1</v>
      </c>
      <c r="X677" s="29"/>
      <c r="Y677" s="29"/>
      <c r="AA677" s="79"/>
      <c r="AB677" s="63"/>
      <c r="AC677" s="27"/>
      <c r="AD677" s="28"/>
      <c r="AE677" s="43"/>
      <c r="AF677" s="29">
        <f t="shared" si="90"/>
        <v>0</v>
      </c>
      <c r="AG677" s="29">
        <f t="shared" si="91"/>
        <v>0</v>
      </c>
      <c r="AH677" s="29"/>
      <c r="AI677" s="29"/>
      <c r="AJ677" s="11"/>
    </row>
    <row r="678" spans="1:42" s="12" customFormat="1" hidden="1" outlineLevel="1">
      <c r="A678" s="95">
        <v>45774</v>
      </c>
      <c r="B678" s="25" t="s">
        <v>17</v>
      </c>
      <c r="C678" s="26"/>
      <c r="D678" s="29"/>
      <c r="E678" s="29">
        <f t="shared" si="87"/>
        <v>-493</v>
      </c>
      <c r="G678" s="64"/>
      <c r="H678" s="63"/>
      <c r="I678" s="27"/>
      <c r="J678" s="28"/>
      <c r="K678" s="43"/>
      <c r="L678" s="29"/>
      <c r="M678" s="29"/>
      <c r="N678" s="29"/>
      <c r="O678" s="29"/>
      <c r="Q678" s="64"/>
      <c r="R678" s="63"/>
      <c r="S678" s="27"/>
      <c r="T678" s="28"/>
      <c r="U678" s="43"/>
      <c r="V678" s="29">
        <f t="shared" si="88"/>
        <v>1</v>
      </c>
      <c r="W678" s="29">
        <f t="shared" si="89"/>
        <v>1</v>
      </c>
      <c r="X678" s="29"/>
      <c r="Y678" s="29"/>
      <c r="AA678" s="79"/>
      <c r="AB678" s="63"/>
      <c r="AC678" s="27"/>
      <c r="AD678" s="28"/>
      <c r="AE678" s="43"/>
      <c r="AF678" s="29">
        <f t="shared" si="90"/>
        <v>0</v>
      </c>
      <c r="AG678" s="29">
        <f t="shared" si="91"/>
        <v>0</v>
      </c>
      <c r="AH678" s="29"/>
      <c r="AI678" s="29"/>
      <c r="AJ678" s="11"/>
    </row>
    <row r="679" spans="1:42" hidden="1" outlineLevel="1">
      <c r="A679" s="96">
        <v>45775</v>
      </c>
      <c r="B679" s="17" t="s">
        <v>18</v>
      </c>
      <c r="C679" s="18">
        <v>72</v>
      </c>
      <c r="D679" s="23"/>
      <c r="E679" s="23">
        <f t="shared" si="87"/>
        <v>-565</v>
      </c>
      <c r="G679" s="19"/>
      <c r="H679" s="62"/>
      <c r="I679" s="20"/>
      <c r="J679" s="21"/>
      <c r="K679" s="42"/>
      <c r="L679" s="23"/>
      <c r="M679" s="23"/>
      <c r="N679" s="23"/>
      <c r="O679" s="23"/>
      <c r="Q679" s="19"/>
      <c r="R679" s="62"/>
      <c r="S679" s="20"/>
      <c r="T679" s="21"/>
      <c r="U679" s="42"/>
      <c r="V679" s="23">
        <f t="shared" si="88"/>
        <v>1</v>
      </c>
      <c r="W679" s="23">
        <f t="shared" si="89"/>
        <v>1</v>
      </c>
      <c r="X679" s="23"/>
      <c r="Y679" s="23"/>
      <c r="AA679" s="78">
        <v>81</v>
      </c>
      <c r="AB679" s="62">
        <f t="shared" ref="AB679:AB681" si="94">IF(C677&lt;&gt;"",C677+AC679,IF(C675&lt;&gt;"",C675+AC679,IF(C674&lt;&gt;"",C674+AC679,IF(C673&lt;&gt;"",C673+AC679,IF(C672&lt;&gt;"",C672+AC679,IF(C671&lt;&gt;"",C671+AC679))))))</f>
        <v>72</v>
      </c>
      <c r="AC679" s="20"/>
      <c r="AD679" s="21"/>
      <c r="AE679" s="57">
        <v>72</v>
      </c>
      <c r="AF679" s="23">
        <f t="shared" si="90"/>
        <v>-9</v>
      </c>
      <c r="AG679" s="23">
        <f t="shared" si="91"/>
        <v>-9</v>
      </c>
      <c r="AH679" s="23"/>
      <c r="AI679" s="23">
        <v>10</v>
      </c>
    </row>
    <row r="680" spans="1:42" hidden="1" outlineLevel="1">
      <c r="A680" s="96">
        <v>45776</v>
      </c>
      <c r="B680" s="17" t="s">
        <v>19</v>
      </c>
      <c r="C680" s="18">
        <f>72-60</f>
        <v>12</v>
      </c>
      <c r="D680" s="23"/>
      <c r="E680" s="23">
        <f t="shared" si="87"/>
        <v>-577</v>
      </c>
      <c r="G680" s="19"/>
      <c r="H680" s="62"/>
      <c r="I680" s="20"/>
      <c r="J680" s="21"/>
      <c r="K680" s="42"/>
      <c r="L680" s="23"/>
      <c r="M680" s="23"/>
      <c r="N680" s="23"/>
      <c r="O680" s="23"/>
      <c r="Q680" s="19"/>
      <c r="R680" s="62"/>
      <c r="S680" s="20"/>
      <c r="T680" s="21"/>
      <c r="U680" s="42"/>
      <c r="V680" s="23">
        <f t="shared" si="88"/>
        <v>1</v>
      </c>
      <c r="W680" s="23">
        <f t="shared" si="89"/>
        <v>1</v>
      </c>
      <c r="X680" s="23"/>
      <c r="Y680" s="23"/>
      <c r="AA680" s="78">
        <v>39</v>
      </c>
      <c r="AB680" s="62">
        <f t="shared" si="94"/>
        <v>78</v>
      </c>
      <c r="AC680" s="20">
        <v>6</v>
      </c>
      <c r="AD680" s="21"/>
      <c r="AE680" s="57">
        <v>78</v>
      </c>
      <c r="AF680" s="23">
        <f>AF679-AA680+AE680</f>
        <v>30</v>
      </c>
      <c r="AG680" s="23">
        <f t="shared" si="91"/>
        <v>30</v>
      </c>
      <c r="AH680" s="23"/>
      <c r="AI680" s="23">
        <v>0</v>
      </c>
    </row>
    <row r="681" spans="1:42" hidden="1" outlineLevel="1">
      <c r="A681" s="96">
        <v>45777</v>
      </c>
      <c r="B681" s="17" t="s">
        <v>20</v>
      </c>
      <c r="C681" s="280"/>
      <c r="D681" s="23"/>
      <c r="E681" s="23">
        <f t="shared" si="87"/>
        <v>-577</v>
      </c>
      <c r="G681" s="19"/>
      <c r="H681" s="62"/>
      <c r="I681" s="20"/>
      <c r="J681" s="21"/>
      <c r="K681" s="42"/>
      <c r="L681" s="23"/>
      <c r="M681" s="23"/>
      <c r="N681" s="23"/>
      <c r="O681" s="23"/>
      <c r="Q681" s="19"/>
      <c r="R681" s="62"/>
      <c r="S681" s="20"/>
      <c r="T681" s="21"/>
      <c r="U681" s="42"/>
      <c r="V681" s="23">
        <f t="shared" si="88"/>
        <v>1</v>
      </c>
      <c r="W681" s="23">
        <f t="shared" si="89"/>
        <v>1</v>
      </c>
      <c r="X681" s="23"/>
      <c r="Y681" s="23"/>
      <c r="AA681" s="78">
        <v>105</v>
      </c>
      <c r="AB681" s="62">
        <f t="shared" si="94"/>
        <v>78</v>
      </c>
      <c r="AC681" s="20">
        <v>6</v>
      </c>
      <c r="AD681" s="21"/>
      <c r="AE681" s="57">
        <v>78</v>
      </c>
      <c r="AF681" s="23">
        <f>AF680-AA681+AE681</f>
        <v>3</v>
      </c>
      <c r="AG681" s="23">
        <f t="shared" si="91"/>
        <v>3</v>
      </c>
      <c r="AH681" s="23"/>
      <c r="AI681" s="23">
        <v>0</v>
      </c>
      <c r="AK681" s="1">
        <f>AVERAGE(AA679:AA681)</f>
        <v>75</v>
      </c>
    </row>
    <row r="682" spans="1:42" s="12" customFormat="1" hidden="1" outlineLevel="1">
      <c r="A682" s="95">
        <v>45778</v>
      </c>
      <c r="B682" s="25" t="s">
        <v>14</v>
      </c>
      <c r="C682" s="26"/>
      <c r="D682" s="29"/>
      <c r="E682" s="29">
        <f t="shared" si="87"/>
        <v>-577</v>
      </c>
      <c r="G682" s="64"/>
      <c r="H682" s="63"/>
      <c r="I682" s="27"/>
      <c r="J682" s="28"/>
      <c r="K682" s="43"/>
      <c r="L682" s="29"/>
      <c r="M682" s="29"/>
      <c r="N682" s="29"/>
      <c r="O682" s="29"/>
      <c r="Q682" s="64"/>
      <c r="R682" s="63"/>
      <c r="S682" s="27"/>
      <c r="T682" s="28"/>
      <c r="U682" s="43"/>
      <c r="V682" s="29">
        <f t="shared" si="88"/>
        <v>1</v>
      </c>
      <c r="W682" s="29">
        <f t="shared" si="89"/>
        <v>1</v>
      </c>
      <c r="X682" s="29"/>
      <c r="Y682" s="29"/>
      <c r="AA682" s="79"/>
      <c r="AB682" s="63"/>
      <c r="AC682" s="27"/>
      <c r="AD682" s="28"/>
      <c r="AE682" s="43"/>
      <c r="AF682" s="29">
        <f t="shared" si="90"/>
        <v>3</v>
      </c>
      <c r="AG682" s="29">
        <f t="shared" si="91"/>
        <v>3</v>
      </c>
      <c r="AH682" s="29"/>
      <c r="AI682" s="29"/>
      <c r="AJ682" s="11"/>
    </row>
    <row r="683" spans="1:42" s="12" customFormat="1" hidden="1" outlineLevel="1">
      <c r="A683" s="95">
        <v>45779</v>
      </c>
      <c r="B683" s="25" t="s">
        <v>15</v>
      </c>
      <c r="C683" s="26"/>
      <c r="D683" s="29"/>
      <c r="E683" s="29">
        <f t="shared" si="87"/>
        <v>-577</v>
      </c>
      <c r="G683" s="64"/>
      <c r="H683" s="63"/>
      <c r="I683" s="27"/>
      <c r="J683" s="28"/>
      <c r="K683" s="43"/>
      <c r="L683" s="29"/>
      <c r="M683" s="29"/>
      <c r="N683" s="29"/>
      <c r="O683" s="29"/>
      <c r="Q683" s="64"/>
      <c r="R683" s="63"/>
      <c r="S683" s="27"/>
      <c r="T683" s="28"/>
      <c r="U683" s="43"/>
      <c r="V683" s="29">
        <f t="shared" si="88"/>
        <v>1</v>
      </c>
      <c r="W683" s="29">
        <f t="shared" si="89"/>
        <v>1</v>
      </c>
      <c r="X683" s="29"/>
      <c r="Y683" s="29"/>
      <c r="AA683" s="79"/>
      <c r="AB683" s="63"/>
      <c r="AC683" s="27"/>
      <c r="AD683" s="28"/>
      <c r="AE683" s="43"/>
      <c r="AF683" s="29">
        <f t="shared" si="90"/>
        <v>3</v>
      </c>
      <c r="AG683" s="29">
        <f t="shared" si="91"/>
        <v>3</v>
      </c>
      <c r="AH683" s="29"/>
      <c r="AI683" s="29"/>
      <c r="AJ683" s="11"/>
    </row>
    <row r="684" spans="1:42" s="12" customFormat="1" hidden="1" outlineLevel="1">
      <c r="A684" s="95">
        <v>45780</v>
      </c>
      <c r="B684" s="25" t="s">
        <v>16</v>
      </c>
      <c r="C684" s="26"/>
      <c r="D684" s="29"/>
      <c r="E684" s="29">
        <f t="shared" ref="E684:E715" si="95">E683-C684+D684</f>
        <v>-577</v>
      </c>
      <c r="G684" s="64"/>
      <c r="H684" s="63"/>
      <c r="I684" s="27"/>
      <c r="J684" s="28"/>
      <c r="K684" s="43"/>
      <c r="L684" s="29"/>
      <c r="M684" s="29"/>
      <c r="N684" s="29"/>
      <c r="O684" s="29"/>
      <c r="Q684" s="64"/>
      <c r="R684" s="63"/>
      <c r="S684" s="27"/>
      <c r="T684" s="28"/>
      <c r="U684" s="43"/>
      <c r="V684" s="29">
        <f t="shared" ref="V684:V715" si="96">V683-Q684+U684</f>
        <v>1</v>
      </c>
      <c r="W684" s="29">
        <f t="shared" ref="W684:W715" si="97">W683-Q684+R684</f>
        <v>1</v>
      </c>
      <c r="X684" s="29"/>
      <c r="Y684" s="29"/>
      <c r="AA684" s="79"/>
      <c r="AB684" s="63"/>
      <c r="AC684" s="27"/>
      <c r="AD684" s="28"/>
      <c r="AE684" s="43"/>
      <c r="AF684" s="29">
        <f t="shared" ref="AF684:AF715" si="98">AF683-AA684+AE684</f>
        <v>3</v>
      </c>
      <c r="AG684" s="29">
        <f t="shared" ref="AG684:AG715" si="99">AG683-AA684+AB684</f>
        <v>3</v>
      </c>
      <c r="AH684" s="29"/>
      <c r="AI684" s="29"/>
      <c r="AJ684" s="11"/>
    </row>
    <row r="685" spans="1:42" s="12" customFormat="1" hidden="1" outlineLevel="1">
      <c r="A685" s="95">
        <v>45781</v>
      </c>
      <c r="B685" s="25" t="s">
        <v>17</v>
      </c>
      <c r="C685" s="26"/>
      <c r="D685" s="29"/>
      <c r="E685" s="29">
        <f t="shared" si="95"/>
        <v>-577</v>
      </c>
      <c r="G685" s="64"/>
      <c r="H685" s="63"/>
      <c r="I685" s="27"/>
      <c r="J685" s="28"/>
      <c r="K685" s="43"/>
      <c r="L685" s="29"/>
      <c r="M685" s="29"/>
      <c r="N685" s="29"/>
      <c r="O685" s="29"/>
      <c r="Q685" s="64"/>
      <c r="R685" s="63"/>
      <c r="S685" s="27"/>
      <c r="T685" s="28"/>
      <c r="U685" s="43"/>
      <c r="V685" s="29">
        <f t="shared" si="96"/>
        <v>1</v>
      </c>
      <c r="W685" s="29">
        <f t="shared" si="97"/>
        <v>1</v>
      </c>
      <c r="X685" s="29"/>
      <c r="Y685" s="29"/>
      <c r="AA685" s="79"/>
      <c r="AB685" s="63"/>
      <c r="AC685" s="27"/>
      <c r="AD685" s="28"/>
      <c r="AE685" s="43"/>
      <c r="AF685" s="29">
        <f t="shared" si="98"/>
        <v>3</v>
      </c>
      <c r="AG685" s="29">
        <f t="shared" si="99"/>
        <v>3</v>
      </c>
      <c r="AH685" s="29"/>
      <c r="AI685" s="29"/>
      <c r="AJ685" s="11"/>
    </row>
    <row r="686" spans="1:42" s="12" customFormat="1" hidden="1" outlineLevel="1" collapsed="1">
      <c r="A686" s="95">
        <v>45782</v>
      </c>
      <c r="B686" s="25" t="s">
        <v>18</v>
      </c>
      <c r="C686" s="26"/>
      <c r="D686" s="29"/>
      <c r="E686" s="29">
        <f t="shared" si="95"/>
        <v>-577</v>
      </c>
      <c r="G686" s="64"/>
      <c r="H686" s="63"/>
      <c r="I686" s="27"/>
      <c r="J686" s="28"/>
      <c r="K686" s="43"/>
      <c r="L686" s="29"/>
      <c r="M686" s="29"/>
      <c r="N686" s="29"/>
      <c r="O686" s="29"/>
      <c r="Q686" s="64"/>
      <c r="R686" s="63"/>
      <c r="S686" s="27"/>
      <c r="T686" s="28"/>
      <c r="U686" s="43"/>
      <c r="V686" s="29">
        <f t="shared" si="96"/>
        <v>1</v>
      </c>
      <c r="W686" s="29">
        <f t="shared" si="97"/>
        <v>1</v>
      </c>
      <c r="X686" s="29"/>
      <c r="Y686" s="29"/>
      <c r="AA686" s="79"/>
      <c r="AB686" s="63"/>
      <c r="AC686" s="27"/>
      <c r="AD686" s="28"/>
      <c r="AE686" s="43"/>
      <c r="AF686" s="29">
        <f t="shared" si="98"/>
        <v>3</v>
      </c>
      <c r="AG686" s="29">
        <f t="shared" si="99"/>
        <v>3</v>
      </c>
      <c r="AH686" s="29"/>
      <c r="AI686" s="29"/>
      <c r="AJ686" s="11"/>
    </row>
    <row r="687" spans="1:42" s="12" customFormat="1" hidden="1" outlineLevel="1">
      <c r="A687" s="95">
        <v>45783</v>
      </c>
      <c r="B687" s="25" t="s">
        <v>19</v>
      </c>
      <c r="C687" s="18">
        <v>72</v>
      </c>
      <c r="D687" s="29"/>
      <c r="E687" s="29">
        <f t="shared" si="95"/>
        <v>-649</v>
      </c>
      <c r="G687" s="64"/>
      <c r="H687" s="63"/>
      <c r="I687" s="27"/>
      <c r="J687" s="28"/>
      <c r="K687" s="43"/>
      <c r="L687" s="29"/>
      <c r="M687" s="29"/>
      <c r="N687" s="29"/>
      <c r="O687" s="29"/>
      <c r="Q687" s="64"/>
      <c r="R687" s="63"/>
      <c r="S687" s="27"/>
      <c r="T687" s="28"/>
      <c r="U687" s="43"/>
      <c r="V687" s="29">
        <f t="shared" si="96"/>
        <v>1</v>
      </c>
      <c r="W687" s="29">
        <f t="shared" si="97"/>
        <v>1</v>
      </c>
      <c r="X687" s="29"/>
      <c r="Y687" s="29"/>
      <c r="AA687" s="79"/>
      <c r="AB687" s="63"/>
      <c r="AC687" s="27"/>
      <c r="AD687" s="28"/>
      <c r="AE687" s="43"/>
      <c r="AF687" s="29">
        <f t="shared" si="98"/>
        <v>3</v>
      </c>
      <c r="AG687" s="29">
        <f t="shared" si="99"/>
        <v>3</v>
      </c>
      <c r="AH687" s="29"/>
      <c r="AI687" s="29">
        <v>5</v>
      </c>
      <c r="AJ687" s="11"/>
    </row>
    <row r="688" spans="1:42" hidden="1" outlineLevel="1">
      <c r="A688" s="96">
        <v>45784</v>
      </c>
      <c r="B688" s="17" t="s">
        <v>20</v>
      </c>
      <c r="C688" s="18">
        <v>72</v>
      </c>
      <c r="D688" s="23"/>
      <c r="E688" s="23">
        <f t="shared" si="95"/>
        <v>-721</v>
      </c>
      <c r="G688" s="19"/>
      <c r="H688" s="62"/>
      <c r="I688" s="20"/>
      <c r="J688" s="21"/>
      <c r="K688" s="42"/>
      <c r="L688" s="23"/>
      <c r="M688" s="23"/>
      <c r="N688" s="23"/>
      <c r="O688" s="23"/>
      <c r="Q688" s="19"/>
      <c r="R688" s="62"/>
      <c r="S688" s="20"/>
      <c r="T688" s="21"/>
      <c r="U688" s="42"/>
      <c r="V688" s="23">
        <f t="shared" si="96"/>
        <v>1</v>
      </c>
      <c r="W688" s="23">
        <f t="shared" si="97"/>
        <v>1</v>
      </c>
      <c r="X688" s="23"/>
      <c r="Y688" s="23"/>
      <c r="AA688" s="78">
        <v>54</v>
      </c>
      <c r="AB688" s="62">
        <f t="shared" ref="AB688:AB690" si="100">IF(C686&lt;&gt;"",C686+AC688,IF(C684&lt;&gt;"",C684+AC688,IF(C683&lt;&gt;"",C683+AC688,IF(C682&lt;&gt;"",C682+AC688,IF(C681&lt;&gt;"",C681+AC688,IF(C680&lt;&gt;"",C680+AC688))))))</f>
        <v>0</v>
      </c>
      <c r="AC688" s="20">
        <v>-12</v>
      </c>
      <c r="AD688" s="21"/>
      <c r="AE688" s="57">
        <v>0</v>
      </c>
      <c r="AF688" s="285">
        <v>-87</v>
      </c>
      <c r="AG688" s="285">
        <v>-87</v>
      </c>
      <c r="AH688" s="23"/>
      <c r="AI688" s="23">
        <v>18</v>
      </c>
      <c r="AM688" s="1">
        <v>30</v>
      </c>
      <c r="AN688" s="1">
        <v>39</v>
      </c>
      <c r="AO688" s="1">
        <v>3</v>
      </c>
      <c r="AP688" s="1">
        <v>15</v>
      </c>
    </row>
    <row r="689" spans="1:43" hidden="1" outlineLevel="1">
      <c r="A689" s="96">
        <v>45785</v>
      </c>
      <c r="B689" s="17" t="s">
        <v>14</v>
      </c>
      <c r="C689" s="18">
        <v>72</v>
      </c>
      <c r="D689" s="23"/>
      <c r="E689" s="23">
        <f t="shared" si="95"/>
        <v>-793</v>
      </c>
      <c r="G689" s="19"/>
      <c r="H689" s="62"/>
      <c r="I689" s="20"/>
      <c r="J689" s="21"/>
      <c r="K689" s="42"/>
      <c r="L689" s="23"/>
      <c r="M689" s="23"/>
      <c r="N689" s="23"/>
      <c r="O689" s="23"/>
      <c r="Q689" s="19"/>
      <c r="R689" s="62"/>
      <c r="S689" s="20"/>
      <c r="T689" s="21"/>
      <c r="U689" s="42"/>
      <c r="V689" s="23">
        <f t="shared" si="96"/>
        <v>1</v>
      </c>
      <c r="W689" s="23">
        <f t="shared" si="97"/>
        <v>1</v>
      </c>
      <c r="X689" s="23"/>
      <c r="Y689" s="23"/>
      <c r="AA689" s="78">
        <f>75</f>
        <v>75</v>
      </c>
      <c r="AB689" s="62">
        <f>75+AC689</f>
        <v>117</v>
      </c>
      <c r="AC689" s="20">
        <v>42</v>
      </c>
      <c r="AD689" s="21"/>
      <c r="AE689" s="57">
        <v>117</v>
      </c>
      <c r="AF689" s="23">
        <f t="shared" si="98"/>
        <v>-45</v>
      </c>
      <c r="AG689" s="23">
        <f t="shared" si="99"/>
        <v>-45</v>
      </c>
      <c r="AH689" s="23"/>
      <c r="AI689" s="23">
        <v>0</v>
      </c>
      <c r="AM689" s="1" t="s">
        <v>66</v>
      </c>
      <c r="AN689" s="1">
        <f>6*7</f>
        <v>42</v>
      </c>
      <c r="AO689" s="88" t="s">
        <v>65</v>
      </c>
      <c r="AP689" s="1">
        <f>AN689/6</f>
        <v>7</v>
      </c>
      <c r="AQ689" s="88" t="s">
        <v>67</v>
      </c>
    </row>
    <row r="690" spans="1:43" hidden="1" outlineLevel="1">
      <c r="A690" s="96">
        <v>45786</v>
      </c>
      <c r="B690" s="17" t="s">
        <v>15</v>
      </c>
      <c r="C690" s="18">
        <v>72</v>
      </c>
      <c r="D690" s="23"/>
      <c r="E690" s="23">
        <f t="shared" si="95"/>
        <v>-865</v>
      </c>
      <c r="G690" s="19"/>
      <c r="H690" s="62"/>
      <c r="I690" s="20"/>
      <c r="J690" s="21"/>
      <c r="K690" s="42"/>
      <c r="L690" s="23"/>
      <c r="M690" s="23"/>
      <c r="N690" s="23"/>
      <c r="O690" s="23"/>
      <c r="Q690" s="19"/>
      <c r="R690" s="62"/>
      <c r="S690" s="20"/>
      <c r="T690" s="21"/>
      <c r="U690" s="42"/>
      <c r="V690" s="23">
        <f t="shared" si="96"/>
        <v>1</v>
      </c>
      <c r="W690" s="23">
        <f t="shared" si="97"/>
        <v>1</v>
      </c>
      <c r="X690" s="23"/>
      <c r="Y690" s="23"/>
      <c r="AA690" s="78">
        <v>54</v>
      </c>
      <c r="AB690" s="62">
        <f t="shared" si="100"/>
        <v>102</v>
      </c>
      <c r="AC690" s="20">
        <v>30</v>
      </c>
      <c r="AD690" s="21"/>
      <c r="AE690" s="57">
        <v>102</v>
      </c>
      <c r="AF690" s="23">
        <f t="shared" si="98"/>
        <v>3</v>
      </c>
      <c r="AG690" s="23">
        <f t="shared" si="99"/>
        <v>3</v>
      </c>
      <c r="AH690" s="23"/>
      <c r="AI690" s="23">
        <f>6+18</f>
        <v>24</v>
      </c>
      <c r="AK690" s="1">
        <f>AVERAGE(AA688:AA690)</f>
        <v>61</v>
      </c>
      <c r="AM690" s="1" t="s">
        <v>66</v>
      </c>
      <c r="AN690" s="1">
        <f>6*5</f>
        <v>30</v>
      </c>
      <c r="AO690" s="88" t="s">
        <v>65</v>
      </c>
      <c r="AP690" s="1">
        <f>AN690/6</f>
        <v>5</v>
      </c>
      <c r="AQ690" s="88" t="s">
        <v>67</v>
      </c>
    </row>
    <row r="691" spans="1:43" s="12" customFormat="1" hidden="1" outlineLevel="1">
      <c r="A691" s="95">
        <v>45787</v>
      </c>
      <c r="B691" s="25" t="s">
        <v>16</v>
      </c>
      <c r="C691" s="26"/>
      <c r="D691" s="29"/>
      <c r="E691" s="29">
        <f t="shared" si="95"/>
        <v>-865</v>
      </c>
      <c r="G691" s="64"/>
      <c r="H691" s="63"/>
      <c r="I691" s="27"/>
      <c r="J691" s="28"/>
      <c r="K691" s="43"/>
      <c r="L691" s="29"/>
      <c r="M691" s="29"/>
      <c r="N691" s="29"/>
      <c r="O691" s="29"/>
      <c r="Q691" s="64"/>
      <c r="R691" s="63"/>
      <c r="S691" s="27"/>
      <c r="T691" s="28"/>
      <c r="U691" s="43"/>
      <c r="V691" s="29">
        <f t="shared" si="96"/>
        <v>1</v>
      </c>
      <c r="W691" s="29">
        <f t="shared" si="97"/>
        <v>1</v>
      </c>
      <c r="X691" s="29"/>
      <c r="Y691" s="29"/>
      <c r="AA691" s="79"/>
      <c r="AB691" s="63"/>
      <c r="AC691" s="27"/>
      <c r="AD691" s="28"/>
      <c r="AE691" s="43"/>
      <c r="AF691" s="29">
        <f t="shared" si="98"/>
        <v>3</v>
      </c>
      <c r="AG691" s="29">
        <f t="shared" si="99"/>
        <v>3</v>
      </c>
      <c r="AH691" s="29"/>
      <c r="AI691" s="29"/>
      <c r="AJ691" s="11"/>
    </row>
    <row r="692" spans="1:43" s="12" customFormat="1" hidden="1" outlineLevel="1" collapsed="1">
      <c r="A692" s="95">
        <v>45788</v>
      </c>
      <c r="B692" s="25" t="s">
        <v>17</v>
      </c>
      <c r="C692" s="26"/>
      <c r="D692" s="29"/>
      <c r="E692" s="29">
        <f t="shared" si="95"/>
        <v>-865</v>
      </c>
      <c r="G692" s="64"/>
      <c r="H692" s="63"/>
      <c r="I692" s="27"/>
      <c r="J692" s="28"/>
      <c r="K692" s="43"/>
      <c r="L692" s="29"/>
      <c r="M692" s="29"/>
      <c r="N692" s="29"/>
      <c r="O692" s="29"/>
      <c r="Q692" s="64"/>
      <c r="R692" s="63"/>
      <c r="S692" s="27"/>
      <c r="T692" s="28"/>
      <c r="U692" s="43"/>
      <c r="V692" s="29">
        <f t="shared" si="96"/>
        <v>1</v>
      </c>
      <c r="W692" s="29">
        <f t="shared" si="97"/>
        <v>1</v>
      </c>
      <c r="X692" s="29"/>
      <c r="Y692" s="29"/>
      <c r="AA692" s="79"/>
      <c r="AB692" s="63"/>
      <c r="AC692" s="27"/>
      <c r="AD692" s="28"/>
      <c r="AE692" s="43"/>
      <c r="AF692" s="29">
        <f t="shared" si="98"/>
        <v>3</v>
      </c>
      <c r="AG692" s="29">
        <f t="shared" si="99"/>
        <v>3</v>
      </c>
      <c r="AH692" s="29"/>
      <c r="AI692" s="29"/>
      <c r="AJ692" s="11"/>
    </row>
    <row r="693" spans="1:43" hidden="1" outlineLevel="1">
      <c r="A693" s="96">
        <v>45789</v>
      </c>
      <c r="B693" s="17" t="s">
        <v>18</v>
      </c>
      <c r="C693" s="18">
        <v>72</v>
      </c>
      <c r="D693" s="23"/>
      <c r="E693" s="23">
        <f t="shared" si="95"/>
        <v>-937</v>
      </c>
      <c r="G693" s="19"/>
      <c r="H693" s="62"/>
      <c r="I693" s="20"/>
      <c r="J693" s="21"/>
      <c r="K693" s="42"/>
      <c r="L693" s="23"/>
      <c r="M693" s="23"/>
      <c r="N693" s="23"/>
      <c r="O693" s="23"/>
      <c r="Q693" s="19"/>
      <c r="R693" s="62"/>
      <c r="S693" s="20"/>
      <c r="T693" s="21"/>
      <c r="U693" s="42"/>
      <c r="V693" s="23">
        <f t="shared" si="96"/>
        <v>1</v>
      </c>
      <c r="W693" s="23">
        <f t="shared" si="97"/>
        <v>1</v>
      </c>
      <c r="X693" s="23"/>
      <c r="Y693" s="23"/>
      <c r="AA693" s="78">
        <v>72</v>
      </c>
      <c r="AB693" s="62">
        <f t="shared" ref="AB693:AB697" si="101">IF(C691&lt;&gt;"",C691+AC693,IF(C689&lt;&gt;"",C689+AC693,IF(C688&lt;&gt;"",C688+AC693,IF(C687&lt;&gt;"",C687+AC693,IF(C686&lt;&gt;"",C686+AC693,IF(C685&lt;&gt;"",C685+AC693))))))</f>
        <v>72</v>
      </c>
      <c r="AC693" s="20"/>
      <c r="AD693" s="21"/>
      <c r="AE693" s="57">
        <v>72</v>
      </c>
      <c r="AF693" s="23">
        <f t="shared" si="98"/>
        <v>3</v>
      </c>
      <c r="AG693" s="23">
        <f t="shared" si="99"/>
        <v>3</v>
      </c>
      <c r="AH693" s="23"/>
      <c r="AI693" s="23">
        <f>6+14</f>
        <v>20</v>
      </c>
    </row>
    <row r="694" spans="1:43" hidden="1" outlineLevel="1">
      <c r="A694" s="96">
        <v>45790</v>
      </c>
      <c r="B694" s="17" t="s">
        <v>19</v>
      </c>
      <c r="C694" s="18">
        <v>72</v>
      </c>
      <c r="D694" s="23"/>
      <c r="E694" s="23">
        <f t="shared" si="95"/>
        <v>-1009</v>
      </c>
      <c r="G694" s="19"/>
      <c r="H694" s="62"/>
      <c r="I694" s="20"/>
      <c r="J694" s="21"/>
      <c r="K694" s="42"/>
      <c r="L694" s="23"/>
      <c r="M694" s="23"/>
      <c r="N694" s="23"/>
      <c r="O694" s="23"/>
      <c r="Q694" s="19"/>
      <c r="R694" s="62"/>
      <c r="S694" s="20"/>
      <c r="T694" s="21"/>
      <c r="U694" s="42"/>
      <c r="V694" s="23">
        <f t="shared" si="96"/>
        <v>1</v>
      </c>
      <c r="W694" s="23">
        <f t="shared" si="97"/>
        <v>1</v>
      </c>
      <c r="X694" s="23"/>
      <c r="Y694" s="23"/>
      <c r="AA694" s="78">
        <v>69</v>
      </c>
      <c r="AB694" s="62">
        <f t="shared" si="101"/>
        <v>72</v>
      </c>
      <c r="AC694" s="20"/>
      <c r="AD694" s="21"/>
      <c r="AE694" s="57">
        <v>72</v>
      </c>
      <c r="AF694" s="23">
        <f t="shared" si="98"/>
        <v>6</v>
      </c>
      <c r="AG694" s="23">
        <f t="shared" si="99"/>
        <v>6</v>
      </c>
      <c r="AH694" s="23"/>
      <c r="AI694" s="23">
        <f>6+12</f>
        <v>18</v>
      </c>
    </row>
    <row r="695" spans="1:43" hidden="1" outlineLevel="1">
      <c r="A695" s="96">
        <v>45791</v>
      </c>
      <c r="B695" s="17" t="s">
        <v>20</v>
      </c>
      <c r="C695" s="18">
        <v>72</v>
      </c>
      <c r="D695" s="23"/>
      <c r="E695" s="23">
        <f t="shared" si="95"/>
        <v>-1081</v>
      </c>
      <c r="G695" s="19"/>
      <c r="H695" s="62"/>
      <c r="I695" s="20"/>
      <c r="J695" s="21"/>
      <c r="K695" s="42"/>
      <c r="L695" s="23"/>
      <c r="M695" s="23"/>
      <c r="N695" s="23"/>
      <c r="O695" s="23"/>
      <c r="Q695" s="19"/>
      <c r="R695" s="62"/>
      <c r="S695" s="20"/>
      <c r="T695" s="21"/>
      <c r="U695" s="42"/>
      <c r="V695" s="23">
        <f t="shared" si="96"/>
        <v>1</v>
      </c>
      <c r="W695" s="23">
        <f t="shared" si="97"/>
        <v>1</v>
      </c>
      <c r="X695" s="23"/>
      <c r="Y695" s="23"/>
      <c r="AA695" s="78">
        <v>57</v>
      </c>
      <c r="AB695" s="62">
        <f t="shared" si="101"/>
        <v>72</v>
      </c>
      <c r="AC695" s="20"/>
      <c r="AD695" s="21"/>
      <c r="AE695" s="57">
        <v>72</v>
      </c>
      <c r="AF695" s="23">
        <f t="shared" si="98"/>
        <v>21</v>
      </c>
      <c r="AG695" s="23">
        <f t="shared" si="99"/>
        <v>21</v>
      </c>
      <c r="AH695" s="23"/>
      <c r="AI695" s="23">
        <v>12</v>
      </c>
    </row>
    <row r="696" spans="1:43" hidden="1" outlineLevel="1">
      <c r="A696" s="96">
        <v>45792</v>
      </c>
      <c r="B696" s="17" t="s">
        <v>14</v>
      </c>
      <c r="C696" s="18">
        <v>66</v>
      </c>
      <c r="D696" s="23"/>
      <c r="E696" s="23">
        <f t="shared" si="95"/>
        <v>-1147</v>
      </c>
      <c r="G696" s="19"/>
      <c r="H696" s="62"/>
      <c r="I696" s="20"/>
      <c r="J696" s="21"/>
      <c r="K696" s="42"/>
      <c r="L696" s="23"/>
      <c r="M696" s="23"/>
      <c r="N696" s="23"/>
      <c r="O696" s="23"/>
      <c r="Q696" s="19"/>
      <c r="R696" s="62"/>
      <c r="S696" s="20"/>
      <c r="T696" s="21"/>
      <c r="U696" s="42"/>
      <c r="V696" s="23">
        <f t="shared" si="96"/>
        <v>1</v>
      </c>
      <c r="W696" s="23">
        <f t="shared" si="97"/>
        <v>1</v>
      </c>
      <c r="X696" s="23"/>
      <c r="Y696" s="23"/>
      <c r="AA696" s="78">
        <v>75</v>
      </c>
      <c r="AB696" s="62">
        <f t="shared" si="101"/>
        <v>72</v>
      </c>
      <c r="AC696" s="20"/>
      <c r="AD696" s="21"/>
      <c r="AE696" s="57">
        <v>72</v>
      </c>
      <c r="AF696" s="23">
        <f t="shared" si="98"/>
        <v>18</v>
      </c>
      <c r="AG696" s="23">
        <f t="shared" si="99"/>
        <v>18</v>
      </c>
      <c r="AH696" s="23"/>
      <c r="AI696" s="23">
        <v>13</v>
      </c>
    </row>
    <row r="697" spans="1:43" hidden="1" outlineLevel="1">
      <c r="A697" s="96">
        <v>45793</v>
      </c>
      <c r="B697" s="17" t="s">
        <v>15</v>
      </c>
      <c r="C697" s="18">
        <v>66</v>
      </c>
      <c r="D697" s="23"/>
      <c r="E697" s="23">
        <f t="shared" si="95"/>
        <v>-1213</v>
      </c>
      <c r="G697" s="19"/>
      <c r="H697" s="62"/>
      <c r="I697" s="20"/>
      <c r="J697" s="21"/>
      <c r="K697" s="42"/>
      <c r="L697" s="23"/>
      <c r="M697" s="23"/>
      <c r="N697" s="23"/>
      <c r="O697" s="23"/>
      <c r="Q697" s="19"/>
      <c r="R697" s="62"/>
      <c r="S697" s="20"/>
      <c r="T697" s="21"/>
      <c r="U697" s="42"/>
      <c r="V697" s="23">
        <f t="shared" si="96"/>
        <v>1</v>
      </c>
      <c r="W697" s="23">
        <f t="shared" si="97"/>
        <v>1</v>
      </c>
      <c r="X697" s="23"/>
      <c r="Y697" s="23"/>
      <c r="AA697" s="78">
        <v>60</v>
      </c>
      <c r="AB697" s="62">
        <f t="shared" si="101"/>
        <v>72</v>
      </c>
      <c r="AC697" s="20"/>
      <c r="AD697" s="21"/>
      <c r="AE697" s="57">
        <v>72</v>
      </c>
      <c r="AF697" s="23">
        <f t="shared" si="98"/>
        <v>30</v>
      </c>
      <c r="AG697" s="23">
        <f t="shared" si="99"/>
        <v>30</v>
      </c>
      <c r="AH697" s="23"/>
      <c r="AI697" s="23">
        <v>6</v>
      </c>
      <c r="AK697" s="1">
        <f>AVERAGE(AA693:AA697)</f>
        <v>66.599999999999994</v>
      </c>
    </row>
    <row r="698" spans="1:43" s="12" customFormat="1" hidden="1" outlineLevel="1">
      <c r="A698" s="95">
        <v>45794</v>
      </c>
      <c r="B698" s="25" t="s">
        <v>16</v>
      </c>
      <c r="C698" s="26"/>
      <c r="D698" s="29"/>
      <c r="E698" s="29">
        <f t="shared" si="95"/>
        <v>-1213</v>
      </c>
      <c r="G698" s="64"/>
      <c r="H698" s="63"/>
      <c r="I698" s="27"/>
      <c r="J698" s="28"/>
      <c r="K698" s="43"/>
      <c r="L698" s="29"/>
      <c r="M698" s="29"/>
      <c r="N698" s="29"/>
      <c r="O698" s="29"/>
      <c r="Q698" s="64"/>
      <c r="R698" s="63"/>
      <c r="S698" s="27"/>
      <c r="T698" s="28"/>
      <c r="U698" s="43"/>
      <c r="V698" s="29">
        <f t="shared" si="96"/>
        <v>1</v>
      </c>
      <c r="W698" s="29">
        <f t="shared" si="97"/>
        <v>1</v>
      </c>
      <c r="X698" s="29"/>
      <c r="Y698" s="29"/>
      <c r="AA698" s="79"/>
      <c r="AB698" s="63"/>
      <c r="AC698" s="27"/>
      <c r="AD698" s="28"/>
      <c r="AE698" s="43"/>
      <c r="AF698" s="29">
        <f t="shared" si="98"/>
        <v>30</v>
      </c>
      <c r="AG698" s="29">
        <f t="shared" si="99"/>
        <v>30</v>
      </c>
      <c r="AH698" s="29"/>
      <c r="AI698" s="29"/>
      <c r="AJ698" s="11"/>
    </row>
    <row r="699" spans="1:43" s="12" customFormat="1" hidden="1" outlineLevel="1" collapsed="1">
      <c r="A699" s="95">
        <v>45795</v>
      </c>
      <c r="B699" s="25" t="s">
        <v>17</v>
      </c>
      <c r="C699" s="26"/>
      <c r="D699" s="29"/>
      <c r="E699" s="29">
        <f t="shared" si="95"/>
        <v>-1213</v>
      </c>
      <c r="G699" s="64"/>
      <c r="H699" s="63"/>
      <c r="I699" s="27"/>
      <c r="J699" s="28"/>
      <c r="K699" s="43"/>
      <c r="L699" s="29"/>
      <c r="M699" s="29"/>
      <c r="N699" s="29"/>
      <c r="O699" s="29"/>
      <c r="Q699" s="64"/>
      <c r="R699" s="63"/>
      <c r="S699" s="27"/>
      <c r="T699" s="28"/>
      <c r="U699" s="43"/>
      <c r="V699" s="29">
        <f t="shared" si="96"/>
        <v>1</v>
      </c>
      <c r="W699" s="29">
        <f t="shared" si="97"/>
        <v>1</v>
      </c>
      <c r="X699" s="29"/>
      <c r="Y699" s="29"/>
      <c r="AA699" s="79"/>
      <c r="AB699" s="63"/>
      <c r="AC699" s="27"/>
      <c r="AD699" s="28"/>
      <c r="AE699" s="43"/>
      <c r="AF699" s="29">
        <f t="shared" si="98"/>
        <v>30</v>
      </c>
      <c r="AG699" s="29">
        <f t="shared" si="99"/>
        <v>30</v>
      </c>
      <c r="AH699" s="29"/>
      <c r="AI699" s="29"/>
      <c r="AJ699" s="11"/>
    </row>
    <row r="700" spans="1:43" hidden="1" outlineLevel="1">
      <c r="A700" s="96">
        <v>45796</v>
      </c>
      <c r="B700" s="17" t="s">
        <v>18</v>
      </c>
      <c r="C700" s="18">
        <v>54</v>
      </c>
      <c r="D700" s="23"/>
      <c r="E700" s="23">
        <f t="shared" si="95"/>
        <v>-1267</v>
      </c>
      <c r="G700" s="19"/>
      <c r="H700" s="62"/>
      <c r="I700" s="20"/>
      <c r="J700" s="21"/>
      <c r="K700" s="42"/>
      <c r="L700" s="23"/>
      <c r="M700" s="23"/>
      <c r="N700" s="23"/>
      <c r="O700" s="23"/>
      <c r="Q700" s="19"/>
      <c r="R700" s="62"/>
      <c r="S700" s="20"/>
      <c r="T700" s="21"/>
      <c r="U700" s="42"/>
      <c r="V700" s="23">
        <f t="shared" si="96"/>
        <v>1</v>
      </c>
      <c r="W700" s="23">
        <f t="shared" si="97"/>
        <v>1</v>
      </c>
      <c r="X700" s="23"/>
      <c r="Y700" s="23"/>
      <c r="AA700" s="78">
        <v>78</v>
      </c>
      <c r="AB700" s="62">
        <f t="shared" ref="AB700:AB704" si="102">IF(C698&lt;&gt;"",C698+AC700,IF(C696&lt;&gt;"",C696+AC700,IF(C695&lt;&gt;"",C695+AC700,IF(C694&lt;&gt;"",C694+AC700,IF(C693&lt;&gt;"",C693+AC700,IF(C692&lt;&gt;"",C692+AC700))))))</f>
        <v>66</v>
      </c>
      <c r="AC700" s="20"/>
      <c r="AD700" s="21"/>
      <c r="AE700" s="57">
        <v>66</v>
      </c>
      <c r="AF700" s="23">
        <f t="shared" si="98"/>
        <v>18</v>
      </c>
      <c r="AG700" s="23">
        <f t="shared" si="99"/>
        <v>18</v>
      </c>
      <c r="AH700" s="23"/>
      <c r="AI700" s="23">
        <v>18</v>
      </c>
      <c r="AL700" s="296" t="s">
        <v>70</v>
      </c>
    </row>
    <row r="701" spans="1:43" hidden="1" outlineLevel="1">
      <c r="A701" s="96">
        <v>45797</v>
      </c>
      <c r="B701" s="17" t="s">
        <v>19</v>
      </c>
      <c r="C701" s="18">
        <v>54</v>
      </c>
      <c r="D701" s="23"/>
      <c r="E701" s="23">
        <f t="shared" si="95"/>
        <v>-1321</v>
      </c>
      <c r="G701" s="19"/>
      <c r="H701" s="62"/>
      <c r="I701" s="20"/>
      <c r="J701" s="21"/>
      <c r="K701" s="42"/>
      <c r="L701" s="23"/>
      <c r="M701" s="23"/>
      <c r="N701" s="23"/>
      <c r="O701" s="23"/>
      <c r="Q701" s="19"/>
      <c r="R701" s="62"/>
      <c r="S701" s="20"/>
      <c r="T701" s="21"/>
      <c r="U701" s="42"/>
      <c r="V701" s="23">
        <f t="shared" si="96"/>
        <v>1</v>
      </c>
      <c r="W701" s="23">
        <f t="shared" si="97"/>
        <v>1</v>
      </c>
      <c r="X701" s="23"/>
      <c r="Y701" s="23"/>
      <c r="AA701" s="78">
        <v>66</v>
      </c>
      <c r="AB701" s="62">
        <f t="shared" si="102"/>
        <v>66</v>
      </c>
      <c r="AC701" s="20"/>
      <c r="AD701" s="21"/>
      <c r="AE701" s="57">
        <v>66</v>
      </c>
      <c r="AF701" s="23">
        <f t="shared" si="98"/>
        <v>18</v>
      </c>
      <c r="AG701" s="23">
        <f t="shared" si="99"/>
        <v>18</v>
      </c>
      <c r="AH701" s="23"/>
      <c r="AI701" s="23">
        <v>11</v>
      </c>
    </row>
    <row r="702" spans="1:43" hidden="1" outlineLevel="1">
      <c r="A702" s="96">
        <v>45798</v>
      </c>
      <c r="B702" s="17" t="s">
        <v>20</v>
      </c>
      <c r="C702" s="18">
        <v>48</v>
      </c>
      <c r="D702" s="23"/>
      <c r="E702" s="23">
        <f t="shared" si="95"/>
        <v>-1369</v>
      </c>
      <c r="G702" s="19"/>
      <c r="H702" s="62"/>
      <c r="I702" s="20"/>
      <c r="J702" s="21"/>
      <c r="K702" s="42"/>
      <c r="L702" s="23"/>
      <c r="M702" s="23"/>
      <c r="N702" s="23"/>
      <c r="O702" s="23"/>
      <c r="Q702" s="19"/>
      <c r="R702" s="62"/>
      <c r="S702" s="20"/>
      <c r="T702" s="21"/>
      <c r="U702" s="42"/>
      <c r="V702" s="23">
        <f t="shared" si="96"/>
        <v>1</v>
      </c>
      <c r="W702" s="23">
        <f t="shared" si="97"/>
        <v>1</v>
      </c>
      <c r="X702" s="23"/>
      <c r="Y702" s="23"/>
      <c r="AA702" s="78">
        <v>78</v>
      </c>
      <c r="AB702" s="62">
        <f t="shared" si="102"/>
        <v>54</v>
      </c>
      <c r="AC702" s="20"/>
      <c r="AD702" s="21"/>
      <c r="AE702" s="57">
        <v>54</v>
      </c>
      <c r="AF702" s="23">
        <f t="shared" si="98"/>
        <v>-6</v>
      </c>
      <c r="AG702" s="23">
        <f t="shared" si="99"/>
        <v>-6</v>
      </c>
      <c r="AH702" s="23"/>
      <c r="AI702" s="23"/>
    </row>
    <row r="703" spans="1:43" hidden="1" outlineLevel="1">
      <c r="A703" s="96">
        <v>45799</v>
      </c>
      <c r="B703" s="17" t="s">
        <v>14</v>
      </c>
      <c r="C703" s="18">
        <v>48</v>
      </c>
      <c r="D703" s="23"/>
      <c r="E703" s="23">
        <f t="shared" si="95"/>
        <v>-1417</v>
      </c>
      <c r="G703" s="19"/>
      <c r="H703" s="62"/>
      <c r="I703" s="20"/>
      <c r="J703" s="21"/>
      <c r="K703" s="42"/>
      <c r="L703" s="23"/>
      <c r="M703" s="23"/>
      <c r="N703" s="23"/>
      <c r="O703" s="23"/>
      <c r="Q703" s="19"/>
      <c r="R703" s="62"/>
      <c r="S703" s="20"/>
      <c r="T703" s="21"/>
      <c r="U703" s="42"/>
      <c r="V703" s="23">
        <f t="shared" si="96"/>
        <v>1</v>
      </c>
      <c r="W703" s="23">
        <f t="shared" si="97"/>
        <v>1</v>
      </c>
      <c r="X703" s="23"/>
      <c r="Y703" s="23"/>
      <c r="AA703" s="78">
        <v>45</v>
      </c>
      <c r="AB703" s="62">
        <f t="shared" si="102"/>
        <v>54</v>
      </c>
      <c r="AC703" s="20"/>
      <c r="AD703" s="21"/>
      <c r="AE703" s="57">
        <v>54</v>
      </c>
      <c r="AF703" s="23">
        <f t="shared" si="98"/>
        <v>3</v>
      </c>
      <c r="AG703" s="23">
        <f t="shared" si="99"/>
        <v>3</v>
      </c>
      <c r="AH703" s="23"/>
      <c r="AI703" s="23">
        <v>15</v>
      </c>
    </row>
    <row r="704" spans="1:43" hidden="1" outlineLevel="1">
      <c r="A704" s="96">
        <v>45800</v>
      </c>
      <c r="B704" s="17" t="s">
        <v>15</v>
      </c>
      <c r="C704" s="18">
        <v>48</v>
      </c>
      <c r="D704" s="23"/>
      <c r="E704" s="23">
        <f t="shared" si="95"/>
        <v>-1465</v>
      </c>
      <c r="G704" s="19"/>
      <c r="H704" s="62"/>
      <c r="I704" s="20"/>
      <c r="J704" s="21"/>
      <c r="K704" s="42"/>
      <c r="L704" s="23"/>
      <c r="M704" s="23"/>
      <c r="N704" s="23"/>
      <c r="O704" s="23"/>
      <c r="Q704" s="19"/>
      <c r="R704" s="62"/>
      <c r="S704" s="20"/>
      <c r="T704" s="21"/>
      <c r="U704" s="42"/>
      <c r="V704" s="23">
        <f t="shared" si="96"/>
        <v>1</v>
      </c>
      <c r="W704" s="23">
        <f t="shared" si="97"/>
        <v>1</v>
      </c>
      <c r="X704" s="23"/>
      <c r="Y704" s="23"/>
      <c r="AA704" s="78">
        <v>75</v>
      </c>
      <c r="AB704" s="62">
        <f t="shared" si="102"/>
        <v>48</v>
      </c>
      <c r="AC704" s="20"/>
      <c r="AD704" s="21"/>
      <c r="AE704" s="57">
        <v>48</v>
      </c>
      <c r="AF704" s="23">
        <f t="shared" si="98"/>
        <v>-24</v>
      </c>
      <c r="AG704" s="23">
        <f t="shared" si="99"/>
        <v>-24</v>
      </c>
      <c r="AH704" s="23"/>
      <c r="AI704" s="23">
        <v>13</v>
      </c>
      <c r="AK704" s="1">
        <f>AVERAGE(AA700:AA704)</f>
        <v>68.400000000000006</v>
      </c>
    </row>
    <row r="705" spans="1:38" s="12" customFormat="1" hidden="1" outlineLevel="1">
      <c r="A705" s="95">
        <v>45801</v>
      </c>
      <c r="B705" s="25" t="s">
        <v>16</v>
      </c>
      <c r="C705" s="26"/>
      <c r="D705" s="29"/>
      <c r="E705" s="29">
        <f t="shared" si="95"/>
        <v>-1465</v>
      </c>
      <c r="G705" s="64"/>
      <c r="H705" s="63"/>
      <c r="I705" s="27"/>
      <c r="J705" s="28"/>
      <c r="K705" s="43"/>
      <c r="L705" s="29"/>
      <c r="M705" s="29"/>
      <c r="N705" s="29"/>
      <c r="O705" s="29"/>
      <c r="Q705" s="64"/>
      <c r="R705" s="63"/>
      <c r="S705" s="27"/>
      <c r="T705" s="28"/>
      <c r="U705" s="43"/>
      <c r="V705" s="29">
        <f t="shared" si="96"/>
        <v>1</v>
      </c>
      <c r="W705" s="29">
        <f t="shared" si="97"/>
        <v>1</v>
      </c>
      <c r="X705" s="29"/>
      <c r="Y705" s="29"/>
      <c r="AA705" s="64"/>
      <c r="AB705" s="63"/>
      <c r="AC705" s="27"/>
      <c r="AD705" s="28"/>
      <c r="AE705" s="43"/>
      <c r="AF705" s="29">
        <f t="shared" si="98"/>
        <v>-24</v>
      </c>
      <c r="AG705" s="29">
        <f t="shared" si="99"/>
        <v>-24</v>
      </c>
      <c r="AH705" s="29"/>
      <c r="AI705" s="29"/>
      <c r="AJ705" s="11"/>
    </row>
    <row r="706" spans="1:38" s="12" customFormat="1" hidden="1" outlineLevel="1" collapsed="1">
      <c r="A706" s="95">
        <v>45802</v>
      </c>
      <c r="B706" s="25" t="s">
        <v>17</v>
      </c>
      <c r="C706" s="26"/>
      <c r="D706" s="29"/>
      <c r="E706" s="29">
        <f t="shared" si="95"/>
        <v>-1465</v>
      </c>
      <c r="G706" s="64"/>
      <c r="H706" s="63"/>
      <c r="I706" s="27"/>
      <c r="J706" s="28"/>
      <c r="K706" s="43"/>
      <c r="L706" s="29"/>
      <c r="M706" s="29"/>
      <c r="N706" s="29"/>
      <c r="O706" s="29"/>
      <c r="Q706" s="64"/>
      <c r="R706" s="63"/>
      <c r="S706" s="27"/>
      <c r="T706" s="28"/>
      <c r="U706" s="43"/>
      <c r="V706" s="29">
        <f t="shared" si="96"/>
        <v>1</v>
      </c>
      <c r="W706" s="29">
        <f t="shared" si="97"/>
        <v>1</v>
      </c>
      <c r="X706" s="29"/>
      <c r="Y706" s="29"/>
      <c r="AA706" s="64"/>
      <c r="AB706" s="63"/>
      <c r="AC706" s="27"/>
      <c r="AD706" s="28"/>
      <c r="AE706" s="43"/>
      <c r="AF706" s="29">
        <f t="shared" si="98"/>
        <v>-24</v>
      </c>
      <c r="AG706" s="29">
        <f t="shared" si="99"/>
        <v>-24</v>
      </c>
      <c r="AH706" s="29"/>
      <c r="AI706" s="29"/>
      <c r="AJ706" s="11"/>
    </row>
    <row r="707" spans="1:38" hidden="1" outlineLevel="1">
      <c r="A707" s="96">
        <v>45803</v>
      </c>
      <c r="B707" s="17" t="s">
        <v>18</v>
      </c>
      <c r="C707" s="18">
        <v>60</v>
      </c>
      <c r="D707" s="23"/>
      <c r="E707" s="23">
        <f t="shared" si="95"/>
        <v>-1525</v>
      </c>
      <c r="G707" s="19"/>
      <c r="H707" s="62"/>
      <c r="I707" s="20"/>
      <c r="J707" s="21"/>
      <c r="K707" s="42"/>
      <c r="L707" s="23"/>
      <c r="M707" s="23"/>
      <c r="N707" s="23"/>
      <c r="O707" s="23"/>
      <c r="Q707" s="19"/>
      <c r="R707" s="62"/>
      <c r="S707" s="20"/>
      <c r="T707" s="21"/>
      <c r="U707" s="42"/>
      <c r="V707" s="23">
        <f t="shared" si="96"/>
        <v>1</v>
      </c>
      <c r="W707" s="23">
        <f t="shared" si="97"/>
        <v>1</v>
      </c>
      <c r="X707" s="23"/>
      <c r="Y707" s="23"/>
      <c r="AA707" s="78">
        <v>60</v>
      </c>
      <c r="AB707" s="62">
        <f t="shared" ref="AB707:AB711" si="103">IF(C705&lt;&gt;"",C705+AC707,IF(C703&lt;&gt;"",C703+AC707,IF(C702&lt;&gt;"",C702+AC707,IF(C701&lt;&gt;"",C701+AC707,IF(C700&lt;&gt;"",C700+AC707,IF(C699&lt;&gt;"",C699+AC707))))))</f>
        <v>48</v>
      </c>
      <c r="AC707" s="20"/>
      <c r="AD707" s="21"/>
      <c r="AE707" s="57">
        <v>48</v>
      </c>
      <c r="AF707" s="23">
        <f t="shared" si="98"/>
        <v>-36</v>
      </c>
      <c r="AG707" s="23">
        <f t="shared" si="99"/>
        <v>-36</v>
      </c>
      <c r="AH707" s="23"/>
      <c r="AI707" s="23">
        <v>9</v>
      </c>
    </row>
    <row r="708" spans="1:38" hidden="1" outlineLevel="1">
      <c r="A708" s="96">
        <v>45804</v>
      </c>
      <c r="B708" s="17" t="s">
        <v>19</v>
      </c>
      <c r="C708" s="18">
        <v>66</v>
      </c>
      <c r="D708" s="23"/>
      <c r="E708" s="23">
        <f t="shared" si="95"/>
        <v>-1591</v>
      </c>
      <c r="G708" s="19"/>
      <c r="H708" s="62"/>
      <c r="I708" s="20"/>
      <c r="J708" s="21"/>
      <c r="K708" s="42"/>
      <c r="L708" s="23"/>
      <c r="M708" s="23"/>
      <c r="N708" s="23"/>
      <c r="O708" s="23"/>
      <c r="Q708" s="19"/>
      <c r="R708" s="62"/>
      <c r="S708" s="20"/>
      <c r="T708" s="21"/>
      <c r="U708" s="42"/>
      <c r="V708" s="23">
        <f t="shared" si="96"/>
        <v>1</v>
      </c>
      <c r="W708" s="23">
        <f t="shared" si="97"/>
        <v>1</v>
      </c>
      <c r="X708" s="23"/>
      <c r="Y708" s="23"/>
      <c r="AA708" s="78">
        <v>0</v>
      </c>
      <c r="AB708" s="62">
        <f t="shared" si="103"/>
        <v>48</v>
      </c>
      <c r="AC708" s="20"/>
      <c r="AD708" s="21"/>
      <c r="AE708" s="57">
        <v>48</v>
      </c>
      <c r="AF708" s="23">
        <f t="shared" si="98"/>
        <v>12</v>
      </c>
      <c r="AG708" s="23">
        <f t="shared" si="99"/>
        <v>12</v>
      </c>
      <c r="AH708" s="23"/>
      <c r="AI708" s="23">
        <v>4</v>
      </c>
    </row>
    <row r="709" spans="1:38" hidden="1" outlineLevel="1">
      <c r="A709" s="96">
        <v>45805</v>
      </c>
      <c r="B709" s="17" t="s">
        <v>20</v>
      </c>
      <c r="C709" s="18">
        <v>0</v>
      </c>
      <c r="D709" s="23"/>
      <c r="E709" s="23">
        <f t="shared" si="95"/>
        <v>-1591</v>
      </c>
      <c r="G709" s="19"/>
      <c r="H709" s="62"/>
      <c r="I709" s="20"/>
      <c r="J709" s="21"/>
      <c r="K709" s="42"/>
      <c r="L709" s="23"/>
      <c r="M709" s="23"/>
      <c r="N709" s="23"/>
      <c r="O709" s="23"/>
      <c r="Q709" s="19"/>
      <c r="R709" s="62"/>
      <c r="S709" s="20"/>
      <c r="T709" s="21"/>
      <c r="U709" s="42"/>
      <c r="V709" s="23">
        <f t="shared" si="96"/>
        <v>1</v>
      </c>
      <c r="W709" s="23">
        <f t="shared" si="97"/>
        <v>1</v>
      </c>
      <c r="X709" s="23"/>
      <c r="Y709" s="23"/>
      <c r="AA709" s="78">
        <v>75</v>
      </c>
      <c r="AB709" s="62">
        <f t="shared" si="103"/>
        <v>60</v>
      </c>
      <c r="AC709" s="20"/>
      <c r="AD709" s="21"/>
      <c r="AE709" s="57">
        <v>60</v>
      </c>
      <c r="AF709" s="23">
        <f t="shared" si="98"/>
        <v>-3</v>
      </c>
      <c r="AG709" s="23">
        <f t="shared" si="99"/>
        <v>-3</v>
      </c>
      <c r="AH709" s="23"/>
      <c r="AI709" s="23">
        <v>12</v>
      </c>
    </row>
    <row r="710" spans="1:38" hidden="1" outlineLevel="1">
      <c r="A710" s="96">
        <v>45806</v>
      </c>
      <c r="B710" s="17" t="s">
        <v>14</v>
      </c>
      <c r="C710" s="18">
        <f>AA714-3</f>
        <v>72</v>
      </c>
      <c r="D710" s="23"/>
      <c r="E710" s="23">
        <f t="shared" si="95"/>
        <v>-1663</v>
      </c>
      <c r="G710" s="19"/>
      <c r="H710" s="62"/>
      <c r="I710" s="20"/>
      <c r="J710" s="21"/>
      <c r="K710" s="42"/>
      <c r="L710" s="23"/>
      <c r="M710" s="23"/>
      <c r="N710" s="23"/>
      <c r="O710" s="23"/>
      <c r="Q710" s="19"/>
      <c r="R710" s="62"/>
      <c r="S710" s="20"/>
      <c r="T710" s="21"/>
      <c r="U710" s="42"/>
      <c r="V710" s="23">
        <f t="shared" si="96"/>
        <v>1</v>
      </c>
      <c r="W710" s="23">
        <f t="shared" si="97"/>
        <v>1</v>
      </c>
      <c r="X710" s="23"/>
      <c r="Y710" s="23"/>
      <c r="AA710" s="78">
        <v>60</v>
      </c>
      <c r="AB710" s="62">
        <f t="shared" si="103"/>
        <v>66</v>
      </c>
      <c r="AC710" s="20"/>
      <c r="AD710" s="21"/>
      <c r="AE710" s="57">
        <v>66</v>
      </c>
      <c r="AF710" s="23">
        <f t="shared" si="98"/>
        <v>3</v>
      </c>
      <c r="AG710" s="23">
        <f t="shared" si="99"/>
        <v>3</v>
      </c>
      <c r="AH710" s="23"/>
      <c r="AI710" s="23">
        <v>10</v>
      </c>
    </row>
    <row r="711" spans="1:38" hidden="1" outlineLevel="1">
      <c r="A711" s="96">
        <v>45807</v>
      </c>
      <c r="B711" s="17" t="s">
        <v>15</v>
      </c>
      <c r="C711" s="18">
        <f>AA715</f>
        <v>75</v>
      </c>
      <c r="D711" s="23"/>
      <c r="E711" s="23">
        <f t="shared" si="95"/>
        <v>-1738</v>
      </c>
      <c r="G711" s="19"/>
      <c r="H711" s="62"/>
      <c r="I711" s="20"/>
      <c r="J711" s="21"/>
      <c r="K711" s="42"/>
      <c r="L711" s="23"/>
      <c r="M711" s="23"/>
      <c r="N711" s="23"/>
      <c r="O711" s="23"/>
      <c r="Q711" s="19"/>
      <c r="R711" s="62"/>
      <c r="S711" s="20"/>
      <c r="T711" s="21"/>
      <c r="U711" s="42"/>
      <c r="V711" s="23">
        <f t="shared" si="96"/>
        <v>1</v>
      </c>
      <c r="W711" s="23">
        <f t="shared" si="97"/>
        <v>1</v>
      </c>
      <c r="X711" s="23"/>
      <c r="Y711" s="23"/>
      <c r="AA711" s="297">
        <v>0</v>
      </c>
      <c r="AB711" s="77">
        <f t="shared" si="103"/>
        <v>0</v>
      </c>
      <c r="AC711" s="289"/>
      <c r="AD711" s="290"/>
      <c r="AE711" s="291"/>
      <c r="AF711" s="23">
        <f t="shared" si="98"/>
        <v>3</v>
      </c>
      <c r="AG711" s="23">
        <f t="shared" si="99"/>
        <v>3</v>
      </c>
      <c r="AH711" s="23"/>
      <c r="AI711" s="23">
        <v>11</v>
      </c>
      <c r="AK711" s="1">
        <f>AVERAGE(AA707:AA711)</f>
        <v>39</v>
      </c>
    </row>
    <row r="712" spans="1:38" s="12" customFormat="1" hidden="1" outlineLevel="1">
      <c r="A712" s="95">
        <v>45808</v>
      </c>
      <c r="B712" s="25" t="s">
        <v>16</v>
      </c>
      <c r="C712" s="26"/>
      <c r="D712" s="29"/>
      <c r="E712" s="29">
        <f t="shared" si="95"/>
        <v>-1738</v>
      </c>
      <c r="G712" s="64"/>
      <c r="H712" s="63"/>
      <c r="I712" s="27"/>
      <c r="J712" s="28"/>
      <c r="K712" s="43"/>
      <c r="L712" s="29"/>
      <c r="M712" s="29"/>
      <c r="N712" s="29"/>
      <c r="O712" s="29"/>
      <c r="Q712" s="64"/>
      <c r="R712" s="63"/>
      <c r="S712" s="27"/>
      <c r="T712" s="28"/>
      <c r="U712" s="43"/>
      <c r="V712" s="29">
        <f t="shared" si="96"/>
        <v>1</v>
      </c>
      <c r="W712" s="29">
        <f t="shared" si="97"/>
        <v>1</v>
      </c>
      <c r="X712" s="29"/>
      <c r="Y712" s="29"/>
      <c r="AA712" s="79"/>
      <c r="AB712" s="63"/>
      <c r="AC712" s="27"/>
      <c r="AD712" s="28"/>
      <c r="AE712" s="43"/>
      <c r="AF712" s="29">
        <f t="shared" si="98"/>
        <v>3</v>
      </c>
      <c r="AG712" s="29">
        <f t="shared" si="99"/>
        <v>3</v>
      </c>
      <c r="AH712" s="29"/>
      <c r="AI712" s="29"/>
      <c r="AJ712" s="11"/>
    </row>
    <row r="713" spans="1:38" s="12" customFormat="1" hidden="1" outlineLevel="1" collapsed="1">
      <c r="A713" s="95">
        <v>45809</v>
      </c>
      <c r="B713" s="25" t="s">
        <v>17</v>
      </c>
      <c r="C713" s="26"/>
      <c r="D713" s="29"/>
      <c r="E713" s="29">
        <f t="shared" si="95"/>
        <v>-1738</v>
      </c>
      <c r="G713" s="64"/>
      <c r="H713" s="63"/>
      <c r="I713" s="27"/>
      <c r="J713" s="28"/>
      <c r="K713" s="43"/>
      <c r="L713" s="29"/>
      <c r="M713" s="29"/>
      <c r="N713" s="29"/>
      <c r="O713" s="29"/>
      <c r="Q713" s="64"/>
      <c r="R713" s="63"/>
      <c r="S713" s="27"/>
      <c r="T713" s="28"/>
      <c r="U713" s="43"/>
      <c r="V713" s="29">
        <f t="shared" si="96"/>
        <v>1</v>
      </c>
      <c r="W713" s="29">
        <f t="shared" si="97"/>
        <v>1</v>
      </c>
      <c r="X713" s="29"/>
      <c r="Y713" s="29"/>
      <c r="AA713" s="79"/>
      <c r="AB713" s="63"/>
      <c r="AC713" s="27"/>
      <c r="AD713" s="28"/>
      <c r="AE713" s="43"/>
      <c r="AF713" s="29">
        <f t="shared" si="98"/>
        <v>3</v>
      </c>
      <c r="AG713" s="29">
        <f t="shared" si="99"/>
        <v>3</v>
      </c>
      <c r="AH713" s="29"/>
      <c r="AI713" s="29"/>
      <c r="AJ713" s="11"/>
    </row>
    <row r="714" spans="1:38" hidden="1" outlineLevel="1">
      <c r="A714" s="96">
        <v>45810</v>
      </c>
      <c r="B714" s="17" t="s">
        <v>18</v>
      </c>
      <c r="C714" s="18">
        <f>AA716</f>
        <v>57</v>
      </c>
      <c r="D714" s="23"/>
      <c r="E714" s="23">
        <f t="shared" si="95"/>
        <v>-1795</v>
      </c>
      <c r="G714" s="19"/>
      <c r="H714" s="62"/>
      <c r="I714" s="20"/>
      <c r="J714" s="21"/>
      <c r="K714" s="42"/>
      <c r="L714" s="23"/>
      <c r="M714" s="23"/>
      <c r="N714" s="23"/>
      <c r="O714" s="23"/>
      <c r="Q714" s="19"/>
      <c r="R714" s="62"/>
      <c r="S714" s="20"/>
      <c r="T714" s="21"/>
      <c r="U714" s="42"/>
      <c r="V714" s="23">
        <f t="shared" si="96"/>
        <v>1</v>
      </c>
      <c r="W714" s="23">
        <f t="shared" si="97"/>
        <v>1</v>
      </c>
      <c r="X714" s="23"/>
      <c r="Y714" s="23"/>
      <c r="AA714" s="78">
        <v>75</v>
      </c>
      <c r="AB714" s="62">
        <f t="shared" ref="AB714:AB718" si="104">IF(C712&lt;&gt;"",C712+AC714,IF(C710&lt;&gt;"",C710+AC714,IF(C709&lt;&gt;"",C709+AC714,IF(C708&lt;&gt;"",C708+AC714,IF(C707&lt;&gt;"",C707+AC714,IF(C706&lt;&gt;"",C706+AC714))))))</f>
        <v>72</v>
      </c>
      <c r="AC714" s="20"/>
      <c r="AD714" s="21"/>
      <c r="AE714" s="57">
        <v>72</v>
      </c>
      <c r="AF714" s="23">
        <f t="shared" si="98"/>
        <v>0</v>
      </c>
      <c r="AG714" s="23">
        <f t="shared" si="99"/>
        <v>0</v>
      </c>
      <c r="AH714" s="23"/>
      <c r="AI714" s="23">
        <v>0</v>
      </c>
      <c r="AL714" s="292" t="s">
        <v>70</v>
      </c>
    </row>
    <row r="715" spans="1:38" hidden="1" outlineLevel="1">
      <c r="A715" s="96">
        <v>45811</v>
      </c>
      <c r="B715" s="17" t="s">
        <v>19</v>
      </c>
      <c r="C715" s="18">
        <f t="shared" ref="C715:C716" si="105">AA717</f>
        <v>78</v>
      </c>
      <c r="D715" s="23"/>
      <c r="E715" s="23">
        <f t="shared" si="95"/>
        <v>-1873</v>
      </c>
      <c r="G715" s="19"/>
      <c r="H715" s="62"/>
      <c r="I715" s="20"/>
      <c r="J715" s="21"/>
      <c r="K715" s="42"/>
      <c r="L715" s="23"/>
      <c r="M715" s="23"/>
      <c r="N715" s="23"/>
      <c r="O715" s="23"/>
      <c r="Q715" s="19"/>
      <c r="R715" s="62"/>
      <c r="S715" s="20"/>
      <c r="T715" s="21"/>
      <c r="U715" s="42"/>
      <c r="V715" s="23">
        <f t="shared" si="96"/>
        <v>1</v>
      </c>
      <c r="W715" s="23">
        <f t="shared" si="97"/>
        <v>1</v>
      </c>
      <c r="X715" s="23"/>
      <c r="Y715" s="23"/>
      <c r="AA715" s="78">
        <v>75</v>
      </c>
      <c r="AB715" s="62">
        <f t="shared" si="104"/>
        <v>75</v>
      </c>
      <c r="AC715" s="20"/>
      <c r="AD715" s="21"/>
      <c r="AE715" s="57">
        <v>75</v>
      </c>
      <c r="AF715" s="23">
        <f t="shared" si="98"/>
        <v>0</v>
      </c>
      <c r="AG715" s="23">
        <f t="shared" si="99"/>
        <v>0</v>
      </c>
      <c r="AH715" s="23"/>
      <c r="AI715" s="23">
        <v>10</v>
      </c>
    </row>
    <row r="716" spans="1:38" hidden="1" outlineLevel="1">
      <c r="A716" s="96">
        <v>45812</v>
      </c>
      <c r="B716" s="17" t="s">
        <v>20</v>
      </c>
      <c r="C716" s="18">
        <f t="shared" si="105"/>
        <v>60</v>
      </c>
      <c r="D716" s="23"/>
      <c r="E716" s="23">
        <f t="shared" ref="E716:E747" si="106">E715-C716+D716</f>
        <v>-1933</v>
      </c>
      <c r="G716" s="19"/>
      <c r="H716" s="62"/>
      <c r="I716" s="20"/>
      <c r="J716" s="21"/>
      <c r="K716" s="42"/>
      <c r="L716" s="23"/>
      <c r="M716" s="23"/>
      <c r="N716" s="23"/>
      <c r="O716" s="23"/>
      <c r="Q716" s="19"/>
      <c r="R716" s="62"/>
      <c r="S716" s="20"/>
      <c r="T716" s="21"/>
      <c r="U716" s="42"/>
      <c r="V716" s="23">
        <f t="shared" ref="V716:V747" si="107">V715-Q716+U716</f>
        <v>1</v>
      </c>
      <c r="W716" s="23">
        <f t="shared" ref="W716:W747" si="108">W715-Q716+R716</f>
        <v>1</v>
      </c>
      <c r="X716" s="23"/>
      <c r="Y716" s="23"/>
      <c r="AA716" s="78">
        <v>57</v>
      </c>
      <c r="AB716" s="62">
        <f t="shared" si="104"/>
        <v>57</v>
      </c>
      <c r="AC716" s="20"/>
      <c r="AD716" s="21"/>
      <c r="AE716" s="57">
        <v>60</v>
      </c>
      <c r="AF716" s="23">
        <f t="shared" ref="AF716:AF747" si="109">AF715-AA716+AE716</f>
        <v>3</v>
      </c>
      <c r="AG716" s="23">
        <f t="shared" ref="AG716:AG747" si="110">AG715-AA716+AB716</f>
        <v>0</v>
      </c>
      <c r="AH716" s="23"/>
      <c r="AI716" s="23">
        <v>12</v>
      </c>
    </row>
    <row r="717" spans="1:38" hidden="1" outlineLevel="1">
      <c r="A717" s="96">
        <v>45813</v>
      </c>
      <c r="B717" s="17" t="s">
        <v>14</v>
      </c>
      <c r="C717" s="18">
        <f>AA721</f>
        <v>60</v>
      </c>
      <c r="D717" s="23"/>
      <c r="E717" s="23">
        <f t="shared" si="106"/>
        <v>-1993</v>
      </c>
      <c r="G717" s="19"/>
      <c r="H717" s="62"/>
      <c r="I717" s="20"/>
      <c r="J717" s="21"/>
      <c r="K717" s="42"/>
      <c r="L717" s="23"/>
      <c r="M717" s="23"/>
      <c r="N717" s="23"/>
      <c r="O717" s="23"/>
      <c r="Q717" s="19"/>
      <c r="R717" s="62"/>
      <c r="S717" s="20"/>
      <c r="T717" s="21"/>
      <c r="U717" s="42"/>
      <c r="V717" s="23">
        <f t="shared" si="107"/>
        <v>1</v>
      </c>
      <c r="W717" s="23">
        <f t="shared" si="108"/>
        <v>1</v>
      </c>
      <c r="X717" s="23"/>
      <c r="Y717" s="23"/>
      <c r="AA717" s="78">
        <v>78</v>
      </c>
      <c r="AB717" s="62">
        <f t="shared" si="104"/>
        <v>78</v>
      </c>
      <c r="AC717" s="20"/>
      <c r="AD717" s="21"/>
      <c r="AE717" s="57">
        <v>75</v>
      </c>
      <c r="AF717" s="23">
        <f t="shared" si="109"/>
        <v>0</v>
      </c>
      <c r="AG717" s="23">
        <f t="shared" si="110"/>
        <v>0</v>
      </c>
      <c r="AH717" s="23"/>
      <c r="AI717" s="23">
        <v>13</v>
      </c>
    </row>
    <row r="718" spans="1:38" hidden="1" outlineLevel="1">
      <c r="A718" s="96">
        <v>45814</v>
      </c>
      <c r="B718" s="17" t="s">
        <v>15</v>
      </c>
      <c r="C718" s="18">
        <f>AA722</f>
        <v>0</v>
      </c>
      <c r="D718" s="23"/>
      <c r="E718" s="23">
        <f t="shared" si="106"/>
        <v>-1993</v>
      </c>
      <c r="G718" s="19"/>
      <c r="H718" s="62"/>
      <c r="I718" s="20"/>
      <c r="J718" s="21"/>
      <c r="K718" s="42"/>
      <c r="L718" s="23"/>
      <c r="M718" s="23"/>
      <c r="N718" s="23"/>
      <c r="O718" s="23"/>
      <c r="Q718" s="19"/>
      <c r="R718" s="62"/>
      <c r="S718" s="20"/>
      <c r="T718" s="21"/>
      <c r="U718" s="42"/>
      <c r="V718" s="23">
        <f t="shared" si="107"/>
        <v>1</v>
      </c>
      <c r="W718" s="23">
        <f t="shared" si="108"/>
        <v>1</v>
      </c>
      <c r="X718" s="23"/>
      <c r="Y718" s="23"/>
      <c r="AA718" s="78">
        <v>60</v>
      </c>
      <c r="AB718" s="62">
        <f t="shared" si="104"/>
        <v>60</v>
      </c>
      <c r="AC718" s="20"/>
      <c r="AD718" s="21"/>
      <c r="AE718" s="57">
        <v>60</v>
      </c>
      <c r="AF718" s="23">
        <f t="shared" si="109"/>
        <v>0</v>
      </c>
      <c r="AG718" s="23">
        <f t="shared" si="110"/>
        <v>0</v>
      </c>
      <c r="AH718" s="23"/>
      <c r="AI718" s="23">
        <v>10</v>
      </c>
      <c r="AK718" s="1">
        <f>AVERAGE(AA714:AA718)</f>
        <v>69</v>
      </c>
    </row>
    <row r="719" spans="1:38" s="12" customFormat="1" hidden="1" outlineLevel="1">
      <c r="A719" s="95">
        <v>45815</v>
      </c>
      <c r="B719" s="25" t="s">
        <v>16</v>
      </c>
      <c r="C719" s="26"/>
      <c r="D719" s="29"/>
      <c r="E719" s="29">
        <f t="shared" si="106"/>
        <v>-1993</v>
      </c>
      <c r="G719" s="64"/>
      <c r="H719" s="63"/>
      <c r="I719" s="27"/>
      <c r="J719" s="28"/>
      <c r="K719" s="43"/>
      <c r="L719" s="29"/>
      <c r="M719" s="29"/>
      <c r="N719" s="29"/>
      <c r="O719" s="29"/>
      <c r="Q719" s="64"/>
      <c r="R719" s="63"/>
      <c r="S719" s="27"/>
      <c r="T719" s="28"/>
      <c r="U719" s="43"/>
      <c r="V719" s="29">
        <f t="shared" si="107"/>
        <v>1</v>
      </c>
      <c r="W719" s="29">
        <f t="shared" si="108"/>
        <v>1</v>
      </c>
      <c r="X719" s="29"/>
      <c r="Y719" s="29"/>
      <c r="AA719" s="79"/>
      <c r="AB719" s="63"/>
      <c r="AC719" s="27"/>
      <c r="AD719" s="28"/>
      <c r="AE719" s="43"/>
      <c r="AF719" s="29">
        <f t="shared" si="109"/>
        <v>0</v>
      </c>
      <c r="AG719" s="29">
        <f t="shared" si="110"/>
        <v>0</v>
      </c>
      <c r="AH719" s="29"/>
      <c r="AI719" s="29"/>
      <c r="AJ719" s="11"/>
    </row>
    <row r="720" spans="1:38" s="12" customFormat="1" hidden="1" outlineLevel="1" collapsed="1">
      <c r="A720" s="95">
        <v>45816</v>
      </c>
      <c r="B720" s="25" t="s">
        <v>17</v>
      </c>
      <c r="C720" s="26"/>
      <c r="D720" s="29"/>
      <c r="E720" s="29">
        <f t="shared" si="106"/>
        <v>-1993</v>
      </c>
      <c r="G720" s="64"/>
      <c r="H720" s="63"/>
      <c r="I720" s="27"/>
      <c r="J720" s="28"/>
      <c r="K720" s="43"/>
      <c r="L720" s="29"/>
      <c r="M720" s="29"/>
      <c r="N720" s="29"/>
      <c r="O720" s="29"/>
      <c r="Q720" s="64"/>
      <c r="R720" s="63"/>
      <c r="S720" s="27"/>
      <c r="T720" s="28"/>
      <c r="U720" s="43"/>
      <c r="V720" s="29">
        <f t="shared" si="107"/>
        <v>1</v>
      </c>
      <c r="W720" s="29">
        <f t="shared" si="108"/>
        <v>1</v>
      </c>
      <c r="X720" s="29"/>
      <c r="Y720" s="29"/>
      <c r="AA720" s="79"/>
      <c r="AB720" s="63"/>
      <c r="AC720" s="27"/>
      <c r="AD720" s="28"/>
      <c r="AE720" s="43"/>
      <c r="AF720" s="29">
        <f t="shared" si="109"/>
        <v>0</v>
      </c>
      <c r="AG720" s="29">
        <f t="shared" si="110"/>
        <v>0</v>
      </c>
      <c r="AH720" s="29"/>
      <c r="AI720" s="29"/>
      <c r="AJ720" s="11"/>
    </row>
    <row r="721" spans="1:37" hidden="1" outlineLevel="1">
      <c r="A721" s="96">
        <v>45817</v>
      </c>
      <c r="B721" s="17" t="s">
        <v>18</v>
      </c>
      <c r="C721" s="18">
        <f>AA723</f>
        <v>0</v>
      </c>
      <c r="D721" s="23"/>
      <c r="E721" s="23">
        <f t="shared" si="106"/>
        <v>-1993</v>
      </c>
      <c r="G721" s="19"/>
      <c r="H721" s="62"/>
      <c r="I721" s="20"/>
      <c r="J721" s="21"/>
      <c r="K721" s="42"/>
      <c r="L721" s="23"/>
      <c r="M721" s="23"/>
      <c r="N721" s="23"/>
      <c r="O721" s="23"/>
      <c r="Q721" s="19"/>
      <c r="R721" s="62"/>
      <c r="S721" s="20"/>
      <c r="T721" s="21"/>
      <c r="U721" s="42"/>
      <c r="V721" s="23">
        <f t="shared" si="107"/>
        <v>1</v>
      </c>
      <c r="W721" s="23">
        <f t="shared" si="108"/>
        <v>1</v>
      </c>
      <c r="X721" s="23"/>
      <c r="Y721" s="23"/>
      <c r="AA721" s="78">
        <v>60</v>
      </c>
      <c r="AB721" s="62">
        <f t="shared" ref="AB721:AB725" si="111">IF(C719&lt;&gt;"",C719+AC721,IF(C717&lt;&gt;"",C717+AC721,IF(C716&lt;&gt;"",C716+AC721,IF(C715&lt;&gt;"",C715+AC721,IF(C714&lt;&gt;"",C714+AC721,IF(C713&lt;&gt;"",C713+AC721))))))</f>
        <v>60</v>
      </c>
      <c r="AC721" s="20"/>
      <c r="AD721" s="21"/>
      <c r="AE721" s="57">
        <v>60</v>
      </c>
      <c r="AF721" s="23">
        <f t="shared" si="109"/>
        <v>0</v>
      </c>
      <c r="AG721" s="23">
        <f t="shared" si="110"/>
        <v>0</v>
      </c>
      <c r="AH721" s="23"/>
      <c r="AI721" s="23">
        <v>7</v>
      </c>
    </row>
    <row r="722" spans="1:37" hidden="1" outlineLevel="1">
      <c r="A722" s="96">
        <v>45818</v>
      </c>
      <c r="B722" s="17" t="s">
        <v>19</v>
      </c>
      <c r="C722" s="18">
        <f t="shared" ref="C722:C723" si="112">AA724</f>
        <v>24</v>
      </c>
      <c r="D722" s="23"/>
      <c r="E722" s="23">
        <f t="shared" si="106"/>
        <v>-2017</v>
      </c>
      <c r="G722" s="19"/>
      <c r="H722" s="62"/>
      <c r="I722" s="20"/>
      <c r="J722" s="21"/>
      <c r="K722" s="42"/>
      <c r="L722" s="23"/>
      <c r="M722" s="23"/>
      <c r="N722" s="23"/>
      <c r="O722" s="23"/>
      <c r="Q722" s="19"/>
      <c r="R722" s="62"/>
      <c r="S722" s="20"/>
      <c r="T722" s="21"/>
      <c r="U722" s="42"/>
      <c r="V722" s="23">
        <f t="shared" si="107"/>
        <v>1</v>
      </c>
      <c r="W722" s="23">
        <f t="shared" si="108"/>
        <v>1</v>
      </c>
      <c r="X722" s="23"/>
      <c r="Y722" s="23"/>
      <c r="AA722" s="78">
        <v>0</v>
      </c>
      <c r="AB722" s="62">
        <f t="shared" si="111"/>
        <v>0</v>
      </c>
      <c r="AC722" s="20"/>
      <c r="AD722" s="21"/>
      <c r="AE722" s="57">
        <v>0</v>
      </c>
      <c r="AF722" s="23">
        <f t="shared" si="109"/>
        <v>0</v>
      </c>
      <c r="AG722" s="23">
        <f t="shared" si="110"/>
        <v>0</v>
      </c>
      <c r="AH722" s="23"/>
      <c r="AI722" s="23">
        <v>10</v>
      </c>
    </row>
    <row r="723" spans="1:37" hidden="1" outlineLevel="1">
      <c r="A723" s="96">
        <v>45819</v>
      </c>
      <c r="B723" s="17" t="s">
        <v>20</v>
      </c>
      <c r="C723" s="18">
        <f t="shared" si="112"/>
        <v>57</v>
      </c>
      <c r="D723" s="23"/>
      <c r="E723" s="23">
        <f t="shared" si="106"/>
        <v>-2074</v>
      </c>
      <c r="G723" s="19"/>
      <c r="H723" s="62"/>
      <c r="I723" s="20"/>
      <c r="J723" s="21"/>
      <c r="K723" s="42"/>
      <c r="L723" s="23"/>
      <c r="M723" s="23"/>
      <c r="N723" s="23"/>
      <c r="O723" s="23"/>
      <c r="Q723" s="19"/>
      <c r="R723" s="62"/>
      <c r="S723" s="20"/>
      <c r="T723" s="21"/>
      <c r="U723" s="42"/>
      <c r="V723" s="23">
        <f t="shared" si="107"/>
        <v>1</v>
      </c>
      <c r="W723" s="23">
        <f t="shared" si="108"/>
        <v>1</v>
      </c>
      <c r="X723" s="23"/>
      <c r="Y723" s="23"/>
      <c r="AA723" s="78">
        <v>0</v>
      </c>
      <c r="AB723" s="62">
        <f t="shared" si="111"/>
        <v>0</v>
      </c>
      <c r="AC723" s="20"/>
      <c r="AD723" s="21"/>
      <c r="AE723" s="57">
        <v>0</v>
      </c>
      <c r="AF723" s="23">
        <f t="shared" si="109"/>
        <v>0</v>
      </c>
      <c r="AG723" s="23">
        <f t="shared" si="110"/>
        <v>0</v>
      </c>
      <c r="AH723" s="23"/>
      <c r="AI723" s="23">
        <v>6</v>
      </c>
    </row>
    <row r="724" spans="1:37" hidden="1" outlineLevel="1">
      <c r="A724" s="96">
        <v>45820</v>
      </c>
      <c r="B724" s="17" t="s">
        <v>14</v>
      </c>
      <c r="C724" s="18">
        <f>AA728</f>
        <v>60</v>
      </c>
      <c r="D724" s="23"/>
      <c r="E724" s="23">
        <f t="shared" si="106"/>
        <v>-2134</v>
      </c>
      <c r="G724" s="19"/>
      <c r="H724" s="62"/>
      <c r="I724" s="20"/>
      <c r="J724" s="21"/>
      <c r="K724" s="42"/>
      <c r="L724" s="23"/>
      <c r="M724" s="23"/>
      <c r="N724" s="23"/>
      <c r="O724" s="23"/>
      <c r="Q724" s="19"/>
      <c r="R724" s="62"/>
      <c r="S724" s="20"/>
      <c r="T724" s="21"/>
      <c r="U724" s="42"/>
      <c r="V724" s="23">
        <f t="shared" si="107"/>
        <v>1</v>
      </c>
      <c r="W724" s="23">
        <f t="shared" si="108"/>
        <v>1</v>
      </c>
      <c r="X724" s="23"/>
      <c r="Y724" s="23"/>
      <c r="AA724" s="78">
        <v>24</v>
      </c>
      <c r="AB724" s="62">
        <f t="shared" si="111"/>
        <v>24</v>
      </c>
      <c r="AC724" s="20"/>
      <c r="AD724" s="21"/>
      <c r="AE724" s="57">
        <v>24</v>
      </c>
      <c r="AF724" s="23">
        <f t="shared" si="109"/>
        <v>0</v>
      </c>
      <c r="AG724" s="23">
        <f t="shared" si="110"/>
        <v>0</v>
      </c>
      <c r="AH724" s="23"/>
      <c r="AI724" s="23">
        <v>0</v>
      </c>
    </row>
    <row r="725" spans="1:37" hidden="1" outlineLevel="1">
      <c r="A725" s="96">
        <v>45821</v>
      </c>
      <c r="B725" s="17" t="s">
        <v>15</v>
      </c>
      <c r="C725" s="18">
        <f>AA729</f>
        <v>75</v>
      </c>
      <c r="D725" s="23"/>
      <c r="E725" s="23">
        <f t="shared" si="106"/>
        <v>-2209</v>
      </c>
      <c r="G725" s="19"/>
      <c r="H725" s="62"/>
      <c r="I725" s="20"/>
      <c r="J725" s="21"/>
      <c r="K725" s="42"/>
      <c r="L725" s="23"/>
      <c r="M725" s="23"/>
      <c r="N725" s="23"/>
      <c r="O725" s="23"/>
      <c r="Q725" s="19"/>
      <c r="R725" s="62"/>
      <c r="S725" s="20"/>
      <c r="T725" s="21"/>
      <c r="U725" s="42"/>
      <c r="V725" s="23">
        <f t="shared" si="107"/>
        <v>1</v>
      </c>
      <c r="W725" s="23">
        <f t="shared" si="108"/>
        <v>1</v>
      </c>
      <c r="X725" s="23"/>
      <c r="Y725" s="23"/>
      <c r="AA725" s="78">
        <v>57</v>
      </c>
      <c r="AB725" s="62">
        <f t="shared" si="111"/>
        <v>57</v>
      </c>
      <c r="AC725" s="20"/>
      <c r="AD725" s="21"/>
      <c r="AE725" s="57">
        <v>57</v>
      </c>
      <c r="AF725" s="23">
        <f t="shared" si="109"/>
        <v>0</v>
      </c>
      <c r="AG725" s="23">
        <f t="shared" si="110"/>
        <v>0</v>
      </c>
      <c r="AH725" s="23"/>
      <c r="AI725" s="23">
        <v>4</v>
      </c>
      <c r="AK725" s="1">
        <f>AVERAGE(AA721:AA725)</f>
        <v>28.2</v>
      </c>
    </row>
    <row r="726" spans="1:37" s="12" customFormat="1" hidden="1" outlineLevel="1">
      <c r="A726" s="95">
        <v>45822</v>
      </c>
      <c r="B726" s="25" t="s">
        <v>16</v>
      </c>
      <c r="C726" s="26"/>
      <c r="D726" s="29"/>
      <c r="E726" s="29">
        <f t="shared" si="106"/>
        <v>-2209</v>
      </c>
      <c r="G726" s="64"/>
      <c r="H726" s="63"/>
      <c r="I726" s="27"/>
      <c r="J726" s="28"/>
      <c r="K726" s="43"/>
      <c r="L726" s="29"/>
      <c r="M726" s="29"/>
      <c r="N726" s="29"/>
      <c r="O726" s="29"/>
      <c r="Q726" s="64"/>
      <c r="R726" s="63"/>
      <c r="S726" s="27"/>
      <c r="T726" s="28"/>
      <c r="U726" s="43"/>
      <c r="V726" s="29">
        <f t="shared" si="107"/>
        <v>1</v>
      </c>
      <c r="W726" s="29">
        <f t="shared" si="108"/>
        <v>1</v>
      </c>
      <c r="X726" s="29"/>
      <c r="Y726" s="29"/>
      <c r="AA726" s="79"/>
      <c r="AB726" s="63"/>
      <c r="AC726" s="27"/>
      <c r="AD726" s="28"/>
      <c r="AE726" s="43"/>
      <c r="AF726" s="29">
        <f t="shared" si="109"/>
        <v>0</v>
      </c>
      <c r="AG726" s="29">
        <f t="shared" si="110"/>
        <v>0</v>
      </c>
      <c r="AH726" s="29"/>
      <c r="AI726" s="29"/>
      <c r="AJ726" s="11"/>
    </row>
    <row r="727" spans="1:37" s="12" customFormat="1" hidden="1" outlineLevel="1" collapsed="1">
      <c r="A727" s="95">
        <v>45823</v>
      </c>
      <c r="B727" s="25" t="s">
        <v>17</v>
      </c>
      <c r="C727" s="26"/>
      <c r="D727" s="29"/>
      <c r="E727" s="29">
        <f t="shared" si="106"/>
        <v>-2209</v>
      </c>
      <c r="G727" s="64"/>
      <c r="H727" s="63"/>
      <c r="I727" s="27"/>
      <c r="J727" s="28"/>
      <c r="K727" s="43"/>
      <c r="L727" s="29"/>
      <c r="M727" s="29"/>
      <c r="N727" s="29"/>
      <c r="O727" s="29"/>
      <c r="Q727" s="64"/>
      <c r="R727" s="63"/>
      <c r="S727" s="27"/>
      <c r="T727" s="28"/>
      <c r="U727" s="43"/>
      <c r="V727" s="29">
        <f t="shared" si="107"/>
        <v>1</v>
      </c>
      <c r="W727" s="29">
        <f t="shared" si="108"/>
        <v>1</v>
      </c>
      <c r="X727" s="29"/>
      <c r="Y727" s="29"/>
      <c r="AA727" s="79"/>
      <c r="AB727" s="63"/>
      <c r="AC727" s="27"/>
      <c r="AD727" s="28"/>
      <c r="AE727" s="43"/>
      <c r="AF727" s="29">
        <f t="shared" si="109"/>
        <v>0</v>
      </c>
      <c r="AG727" s="29">
        <f t="shared" si="110"/>
        <v>0</v>
      </c>
      <c r="AH727" s="29"/>
      <c r="AI727" s="29"/>
      <c r="AJ727" s="11"/>
    </row>
    <row r="728" spans="1:37" hidden="1" outlineLevel="1">
      <c r="A728" s="96">
        <v>45824</v>
      </c>
      <c r="B728" s="17" t="s">
        <v>18</v>
      </c>
      <c r="C728" s="18">
        <f>AA730</f>
        <v>57</v>
      </c>
      <c r="D728" s="23"/>
      <c r="E728" s="23">
        <f t="shared" si="106"/>
        <v>-2266</v>
      </c>
      <c r="G728" s="19"/>
      <c r="H728" s="62"/>
      <c r="I728" s="20"/>
      <c r="J728" s="21"/>
      <c r="K728" s="42"/>
      <c r="L728" s="23"/>
      <c r="M728" s="23"/>
      <c r="N728" s="23"/>
      <c r="O728" s="23"/>
      <c r="Q728" s="19"/>
      <c r="R728" s="62"/>
      <c r="S728" s="20"/>
      <c r="T728" s="21"/>
      <c r="U728" s="42"/>
      <c r="V728" s="23">
        <f t="shared" si="107"/>
        <v>1</v>
      </c>
      <c r="W728" s="23">
        <f t="shared" si="108"/>
        <v>1</v>
      </c>
      <c r="X728" s="23"/>
      <c r="Y728" s="23"/>
      <c r="AA728" s="78">
        <v>60</v>
      </c>
      <c r="AB728" s="62">
        <f t="shared" ref="AB728:AB732" si="113">IF(C726&lt;&gt;"",C726+AC728,IF(C724&lt;&gt;"",C724+AC728,IF(C723&lt;&gt;"",C723+AC728,IF(C722&lt;&gt;"",C722+AC728,IF(C721&lt;&gt;"",C721+AC728,IF(C720&lt;&gt;"",C720+AC728))))))</f>
        <v>60</v>
      </c>
      <c r="AC728" s="20"/>
      <c r="AD728" s="21"/>
      <c r="AE728" s="57">
        <v>60</v>
      </c>
      <c r="AF728" s="23">
        <f t="shared" si="109"/>
        <v>0</v>
      </c>
      <c r="AG728" s="23">
        <f t="shared" si="110"/>
        <v>0</v>
      </c>
      <c r="AH728" s="23"/>
      <c r="AI728" s="23">
        <v>10</v>
      </c>
    </row>
    <row r="729" spans="1:37" hidden="1" outlineLevel="1">
      <c r="A729" s="96">
        <v>45825</v>
      </c>
      <c r="B729" s="17" t="s">
        <v>19</v>
      </c>
      <c r="C729" s="18">
        <f t="shared" ref="C729:C730" si="114">AA731</f>
        <v>75</v>
      </c>
      <c r="D729" s="23"/>
      <c r="E729" s="23">
        <f t="shared" si="106"/>
        <v>-2341</v>
      </c>
      <c r="G729" s="19"/>
      <c r="H729" s="62"/>
      <c r="I729" s="20"/>
      <c r="J729" s="21"/>
      <c r="K729" s="42"/>
      <c r="L729" s="23"/>
      <c r="M729" s="23"/>
      <c r="N729" s="23"/>
      <c r="O729" s="23"/>
      <c r="Q729" s="19"/>
      <c r="R729" s="62"/>
      <c r="S729" s="20"/>
      <c r="T729" s="21"/>
      <c r="U729" s="42"/>
      <c r="V729" s="23">
        <f t="shared" si="107"/>
        <v>1</v>
      </c>
      <c r="W729" s="23">
        <f t="shared" si="108"/>
        <v>1</v>
      </c>
      <c r="X729" s="23"/>
      <c r="Y729" s="23"/>
      <c r="AA729" s="78">
        <v>75</v>
      </c>
      <c r="AB729" s="62">
        <f t="shared" si="113"/>
        <v>75</v>
      </c>
      <c r="AC729" s="20"/>
      <c r="AD729" s="21"/>
      <c r="AE729" s="57">
        <v>75</v>
      </c>
      <c r="AF729" s="23">
        <f t="shared" si="109"/>
        <v>0</v>
      </c>
      <c r="AG729" s="23">
        <f t="shared" si="110"/>
        <v>0</v>
      </c>
      <c r="AH729" s="23"/>
      <c r="AI729" s="23">
        <v>10</v>
      </c>
    </row>
    <row r="730" spans="1:37" hidden="1" outlineLevel="1">
      <c r="A730" s="96">
        <v>45826</v>
      </c>
      <c r="B730" s="17" t="s">
        <v>20</v>
      </c>
      <c r="C730" s="18">
        <f t="shared" si="114"/>
        <v>54</v>
      </c>
      <c r="D730" s="23"/>
      <c r="E730" s="23">
        <f t="shared" si="106"/>
        <v>-2395</v>
      </c>
      <c r="G730" s="19"/>
      <c r="H730" s="62"/>
      <c r="I730" s="20"/>
      <c r="J730" s="21"/>
      <c r="K730" s="42"/>
      <c r="L730" s="23"/>
      <c r="M730" s="23"/>
      <c r="N730" s="23"/>
      <c r="O730" s="23"/>
      <c r="Q730" s="19"/>
      <c r="R730" s="62"/>
      <c r="S730" s="20"/>
      <c r="T730" s="21"/>
      <c r="U730" s="42"/>
      <c r="V730" s="23">
        <f t="shared" si="107"/>
        <v>1</v>
      </c>
      <c r="W730" s="23">
        <f t="shared" si="108"/>
        <v>1</v>
      </c>
      <c r="X730" s="23"/>
      <c r="Y730" s="23"/>
      <c r="AA730" s="78">
        <v>57</v>
      </c>
      <c r="AB730" s="62">
        <f t="shared" si="113"/>
        <v>57</v>
      </c>
      <c r="AC730" s="20"/>
      <c r="AD730" s="21"/>
      <c r="AE730" s="57">
        <v>57</v>
      </c>
      <c r="AF730" s="23">
        <f t="shared" si="109"/>
        <v>0</v>
      </c>
      <c r="AG730" s="23">
        <f t="shared" si="110"/>
        <v>0</v>
      </c>
      <c r="AH730" s="23"/>
      <c r="AI730" s="23">
        <v>12</v>
      </c>
    </row>
    <row r="731" spans="1:37" hidden="1" outlineLevel="1">
      <c r="A731" s="96">
        <v>45827</v>
      </c>
      <c r="B731" s="17" t="s">
        <v>14</v>
      </c>
      <c r="C731" s="18">
        <f>AA735</f>
        <v>60</v>
      </c>
      <c r="D731" s="23"/>
      <c r="E731" s="23">
        <f t="shared" si="106"/>
        <v>-2455</v>
      </c>
      <c r="G731" s="19"/>
      <c r="H731" s="62"/>
      <c r="I731" s="20"/>
      <c r="J731" s="21"/>
      <c r="K731" s="42"/>
      <c r="L731" s="23"/>
      <c r="M731" s="23"/>
      <c r="N731" s="23"/>
      <c r="O731" s="23"/>
      <c r="Q731" s="19"/>
      <c r="R731" s="62"/>
      <c r="S731" s="20"/>
      <c r="T731" s="21"/>
      <c r="U731" s="42"/>
      <c r="V731" s="23">
        <f t="shared" si="107"/>
        <v>1</v>
      </c>
      <c r="W731" s="23">
        <f t="shared" si="108"/>
        <v>1</v>
      </c>
      <c r="X731" s="23"/>
      <c r="Y731" s="23"/>
      <c r="AA731" s="78">
        <v>75</v>
      </c>
      <c r="AB731" s="62">
        <f t="shared" si="113"/>
        <v>75</v>
      </c>
      <c r="AC731" s="20"/>
      <c r="AD731" s="21"/>
      <c r="AE731" s="57">
        <v>75</v>
      </c>
      <c r="AF731" s="23">
        <f t="shared" si="109"/>
        <v>0</v>
      </c>
      <c r="AG731" s="23">
        <f t="shared" si="110"/>
        <v>0</v>
      </c>
      <c r="AH731" s="23"/>
      <c r="AI731" s="23">
        <v>9</v>
      </c>
    </row>
    <row r="732" spans="1:37" hidden="1" outlineLevel="1">
      <c r="A732" s="96">
        <v>45828</v>
      </c>
      <c r="B732" s="17" t="s">
        <v>15</v>
      </c>
      <c r="C732" s="18">
        <f>AA736</f>
        <v>75</v>
      </c>
      <c r="D732" s="23"/>
      <c r="E732" s="23">
        <f t="shared" si="106"/>
        <v>-2530</v>
      </c>
      <c r="G732" s="19"/>
      <c r="H732" s="62"/>
      <c r="I732" s="20"/>
      <c r="J732" s="21"/>
      <c r="K732" s="42"/>
      <c r="L732" s="23"/>
      <c r="M732" s="23"/>
      <c r="N732" s="23"/>
      <c r="O732" s="23"/>
      <c r="Q732" s="19"/>
      <c r="R732" s="62"/>
      <c r="S732" s="20"/>
      <c r="T732" s="21"/>
      <c r="U732" s="42"/>
      <c r="V732" s="23">
        <f t="shared" si="107"/>
        <v>1</v>
      </c>
      <c r="W732" s="23">
        <f t="shared" si="108"/>
        <v>1</v>
      </c>
      <c r="X732" s="23"/>
      <c r="Y732" s="23"/>
      <c r="AA732" s="78">
        <v>54</v>
      </c>
      <c r="AB732" s="62">
        <f t="shared" si="113"/>
        <v>54</v>
      </c>
      <c r="AC732" s="20"/>
      <c r="AD732" s="21"/>
      <c r="AE732" s="57">
        <v>54</v>
      </c>
      <c r="AF732" s="23">
        <f t="shared" si="109"/>
        <v>0</v>
      </c>
      <c r="AG732" s="23">
        <f t="shared" si="110"/>
        <v>0</v>
      </c>
      <c r="AH732" s="23"/>
      <c r="AI732" s="23">
        <v>14</v>
      </c>
      <c r="AK732" s="1">
        <f>AVERAGE(AA728:AA732)</f>
        <v>64.2</v>
      </c>
    </row>
    <row r="733" spans="1:37" s="12" customFormat="1" hidden="1" outlineLevel="1">
      <c r="A733" s="95">
        <v>45829</v>
      </c>
      <c r="B733" s="25" t="s">
        <v>16</v>
      </c>
      <c r="C733" s="26"/>
      <c r="D733" s="29"/>
      <c r="E733" s="29">
        <f t="shared" si="106"/>
        <v>-2530</v>
      </c>
      <c r="G733" s="64"/>
      <c r="H733" s="63"/>
      <c r="I733" s="27"/>
      <c r="J733" s="28"/>
      <c r="K733" s="43"/>
      <c r="L733" s="29"/>
      <c r="M733" s="29"/>
      <c r="N733" s="29"/>
      <c r="O733" s="29"/>
      <c r="Q733" s="64"/>
      <c r="R733" s="63"/>
      <c r="S733" s="27"/>
      <c r="T733" s="28"/>
      <c r="U733" s="43"/>
      <c r="V733" s="29">
        <f t="shared" si="107"/>
        <v>1</v>
      </c>
      <c r="W733" s="29">
        <f t="shared" si="108"/>
        <v>1</v>
      </c>
      <c r="X733" s="29"/>
      <c r="Y733" s="29"/>
      <c r="AA733" s="79"/>
      <c r="AB733" s="63"/>
      <c r="AC733" s="27"/>
      <c r="AD733" s="28"/>
      <c r="AE733" s="43"/>
      <c r="AF733" s="29">
        <f t="shared" si="109"/>
        <v>0</v>
      </c>
      <c r="AG733" s="29">
        <f t="shared" si="110"/>
        <v>0</v>
      </c>
      <c r="AH733" s="29"/>
      <c r="AI733" s="29"/>
      <c r="AJ733" s="11"/>
    </row>
    <row r="734" spans="1:37" s="12" customFormat="1" hidden="1" outlineLevel="1" collapsed="1">
      <c r="A734" s="95">
        <v>45830</v>
      </c>
      <c r="B734" s="25" t="s">
        <v>17</v>
      </c>
      <c r="C734" s="26"/>
      <c r="D734" s="29"/>
      <c r="E734" s="29">
        <f t="shared" si="106"/>
        <v>-2530</v>
      </c>
      <c r="G734" s="64"/>
      <c r="H734" s="63"/>
      <c r="I734" s="27"/>
      <c r="J734" s="28"/>
      <c r="K734" s="43"/>
      <c r="L734" s="29"/>
      <c r="M734" s="29"/>
      <c r="N734" s="29"/>
      <c r="O734" s="29"/>
      <c r="Q734" s="64"/>
      <c r="R734" s="63"/>
      <c r="S734" s="27"/>
      <c r="T734" s="28"/>
      <c r="U734" s="43"/>
      <c r="V734" s="29">
        <f t="shared" si="107"/>
        <v>1</v>
      </c>
      <c r="W734" s="29">
        <f t="shared" si="108"/>
        <v>1</v>
      </c>
      <c r="X734" s="29"/>
      <c r="Y734" s="29"/>
      <c r="AA734" s="79"/>
      <c r="AB734" s="63"/>
      <c r="AC734" s="27"/>
      <c r="AD734" s="28"/>
      <c r="AE734" s="43"/>
      <c r="AF734" s="29">
        <f t="shared" si="109"/>
        <v>0</v>
      </c>
      <c r="AG734" s="29">
        <f t="shared" si="110"/>
        <v>0</v>
      </c>
      <c r="AH734" s="29"/>
      <c r="AI734" s="29"/>
      <c r="AJ734" s="11"/>
    </row>
    <row r="735" spans="1:37" hidden="1" outlineLevel="1">
      <c r="A735" s="96">
        <v>45831</v>
      </c>
      <c r="B735" s="17" t="s">
        <v>18</v>
      </c>
      <c r="C735" s="18">
        <f>AA737</f>
        <v>90</v>
      </c>
      <c r="D735" s="23"/>
      <c r="E735" s="23">
        <f t="shared" si="106"/>
        <v>-2620</v>
      </c>
      <c r="G735" s="19"/>
      <c r="H735" s="62"/>
      <c r="I735" s="20"/>
      <c r="J735" s="21"/>
      <c r="K735" s="42"/>
      <c r="L735" s="23"/>
      <c r="M735" s="23"/>
      <c r="N735" s="23"/>
      <c r="O735" s="23"/>
      <c r="Q735" s="19"/>
      <c r="R735" s="62"/>
      <c r="S735" s="20"/>
      <c r="T735" s="21"/>
      <c r="U735" s="42"/>
      <c r="V735" s="23">
        <f t="shared" si="107"/>
        <v>1</v>
      </c>
      <c r="W735" s="23">
        <f t="shared" si="108"/>
        <v>1</v>
      </c>
      <c r="X735" s="23"/>
      <c r="Y735" s="23"/>
      <c r="AA735" s="78">
        <v>60</v>
      </c>
      <c r="AB735" s="62">
        <f t="shared" ref="AB735:AB739" si="115">IF(C733&lt;&gt;"",C733+AC735,IF(C731&lt;&gt;"",C731+AC735,IF(C730&lt;&gt;"",C730+AC735,IF(C729&lt;&gt;"",C729+AC735,IF(C728&lt;&gt;"",C728+AC735,IF(C727&lt;&gt;"",C727+AC735))))))</f>
        <v>60</v>
      </c>
      <c r="AC735" s="20"/>
      <c r="AD735" s="21"/>
      <c r="AE735" s="57">
        <v>60</v>
      </c>
      <c r="AF735" s="23">
        <f t="shared" si="109"/>
        <v>0</v>
      </c>
      <c r="AG735" s="23">
        <f t="shared" si="110"/>
        <v>0</v>
      </c>
      <c r="AH735" s="23"/>
      <c r="AI735" s="23">
        <v>9</v>
      </c>
    </row>
    <row r="736" spans="1:37" hidden="1" outlineLevel="1">
      <c r="A736" s="96">
        <v>45832</v>
      </c>
      <c r="B736" s="17" t="s">
        <v>19</v>
      </c>
      <c r="C736" s="18">
        <f t="shared" ref="C736:C737" si="116">AA738</f>
        <v>75</v>
      </c>
      <c r="D736" s="23"/>
      <c r="E736" s="23">
        <f t="shared" si="106"/>
        <v>-2695</v>
      </c>
      <c r="G736" s="19"/>
      <c r="H736" s="62"/>
      <c r="I736" s="20"/>
      <c r="J736" s="21"/>
      <c r="K736" s="42"/>
      <c r="L736" s="23"/>
      <c r="M736" s="23"/>
      <c r="N736" s="23"/>
      <c r="O736" s="23"/>
      <c r="Q736" s="19"/>
      <c r="R736" s="62"/>
      <c r="S736" s="20"/>
      <c r="T736" s="21"/>
      <c r="U736" s="42"/>
      <c r="V736" s="23">
        <f t="shared" si="107"/>
        <v>1</v>
      </c>
      <c r="W736" s="23">
        <f t="shared" si="108"/>
        <v>1</v>
      </c>
      <c r="X736" s="23"/>
      <c r="Y736" s="23"/>
      <c r="AA736" s="78">
        <v>75</v>
      </c>
      <c r="AB736" s="62">
        <f t="shared" si="115"/>
        <v>75</v>
      </c>
      <c r="AC736" s="20"/>
      <c r="AD736" s="21"/>
      <c r="AE736" s="57">
        <v>75</v>
      </c>
      <c r="AF736" s="23">
        <f t="shared" si="109"/>
        <v>0</v>
      </c>
      <c r="AG736" s="23">
        <f t="shared" si="110"/>
        <v>0</v>
      </c>
      <c r="AH736" s="23"/>
      <c r="AI736" s="23">
        <v>11</v>
      </c>
    </row>
    <row r="737" spans="1:50" hidden="1" outlineLevel="1">
      <c r="A737" s="96">
        <v>45833</v>
      </c>
      <c r="B737" s="17" t="s">
        <v>20</v>
      </c>
      <c r="C737" s="18">
        <f t="shared" si="116"/>
        <v>27</v>
      </c>
      <c r="D737" s="23"/>
      <c r="E737" s="23">
        <f t="shared" si="106"/>
        <v>-2722</v>
      </c>
      <c r="G737" s="19"/>
      <c r="H737" s="62"/>
      <c r="I737" s="20"/>
      <c r="J737" s="21"/>
      <c r="K737" s="42"/>
      <c r="L737" s="23"/>
      <c r="M737" s="23"/>
      <c r="N737" s="23"/>
      <c r="O737" s="23"/>
      <c r="Q737" s="19"/>
      <c r="R737" s="62"/>
      <c r="S737" s="20"/>
      <c r="T737" s="21"/>
      <c r="U737" s="42"/>
      <c r="V737" s="23">
        <f t="shared" si="107"/>
        <v>1</v>
      </c>
      <c r="W737" s="23">
        <f t="shared" si="108"/>
        <v>1</v>
      </c>
      <c r="X737" s="23"/>
      <c r="Y737" s="23"/>
      <c r="AA737" s="299">
        <f>72+18</f>
        <v>90</v>
      </c>
      <c r="AB737" s="65">
        <f t="shared" si="115"/>
        <v>90</v>
      </c>
      <c r="AC737" s="20"/>
      <c r="AD737" s="21"/>
      <c r="AE737" s="57">
        <v>90</v>
      </c>
      <c r="AF737" s="23">
        <f t="shared" si="109"/>
        <v>0</v>
      </c>
      <c r="AG737" s="23">
        <f t="shared" si="110"/>
        <v>0</v>
      </c>
      <c r="AH737" s="23"/>
      <c r="AI737" s="23">
        <v>12</v>
      </c>
    </row>
    <row r="738" spans="1:50" hidden="1" outlineLevel="1">
      <c r="A738" s="96">
        <v>45834</v>
      </c>
      <c r="B738" s="17" t="s">
        <v>14</v>
      </c>
      <c r="C738" s="18">
        <f>AA742</f>
        <v>63</v>
      </c>
      <c r="D738" s="23"/>
      <c r="E738" s="23">
        <f t="shared" si="106"/>
        <v>-2785</v>
      </c>
      <c r="G738" s="19"/>
      <c r="H738" s="62"/>
      <c r="I738" s="20"/>
      <c r="J738" s="21"/>
      <c r="K738" s="42"/>
      <c r="L738" s="23"/>
      <c r="M738" s="23"/>
      <c r="N738" s="23"/>
      <c r="O738" s="23"/>
      <c r="Q738" s="19"/>
      <c r="R738" s="62"/>
      <c r="S738" s="20"/>
      <c r="T738" s="21"/>
      <c r="U738" s="42"/>
      <c r="V738" s="23">
        <f t="shared" si="107"/>
        <v>1</v>
      </c>
      <c r="W738" s="23">
        <f t="shared" si="108"/>
        <v>1</v>
      </c>
      <c r="X738" s="23"/>
      <c r="Y738" s="23"/>
      <c r="AA738" s="204">
        <f>69+6</f>
        <v>75</v>
      </c>
      <c r="AB738" s="65">
        <f t="shared" si="115"/>
        <v>75</v>
      </c>
      <c r="AC738" s="20"/>
      <c r="AD738" s="21"/>
      <c r="AE738" s="57">
        <v>75</v>
      </c>
      <c r="AF738" s="23">
        <f t="shared" si="109"/>
        <v>0</v>
      </c>
      <c r="AG738" s="23">
        <f t="shared" si="110"/>
        <v>0</v>
      </c>
      <c r="AH738" s="23"/>
      <c r="AI738" s="23">
        <v>13</v>
      </c>
    </row>
    <row r="739" spans="1:50" hidden="1" outlineLevel="1">
      <c r="A739" s="96">
        <v>45835</v>
      </c>
      <c r="B739" s="17" t="s">
        <v>15</v>
      </c>
      <c r="C739" s="18">
        <f>AA743</f>
        <v>63</v>
      </c>
      <c r="D739" s="23"/>
      <c r="E739" s="23">
        <f t="shared" si="106"/>
        <v>-2848</v>
      </c>
      <c r="G739" s="19"/>
      <c r="H739" s="62"/>
      <c r="I739" s="20"/>
      <c r="J739" s="21"/>
      <c r="K739" s="42"/>
      <c r="L739" s="23"/>
      <c r="M739" s="23"/>
      <c r="N739" s="23"/>
      <c r="O739" s="23"/>
      <c r="Q739" s="19"/>
      <c r="R739" s="62"/>
      <c r="S739" s="20"/>
      <c r="T739" s="21"/>
      <c r="U739" s="42"/>
      <c r="V739" s="23">
        <f t="shared" si="107"/>
        <v>1</v>
      </c>
      <c r="W739" s="23">
        <f t="shared" si="108"/>
        <v>1</v>
      </c>
      <c r="X739" s="23"/>
      <c r="Y739" s="23"/>
      <c r="AA739" s="204">
        <f>21+6</f>
        <v>27</v>
      </c>
      <c r="AB739" s="65">
        <f t="shared" si="115"/>
        <v>27</v>
      </c>
      <c r="AC739" s="20"/>
      <c r="AD739" s="21"/>
      <c r="AE739" s="57">
        <v>27</v>
      </c>
      <c r="AF739" s="23">
        <f t="shared" si="109"/>
        <v>0</v>
      </c>
      <c r="AG739" s="23">
        <f t="shared" si="110"/>
        <v>0</v>
      </c>
      <c r="AH739" s="23"/>
      <c r="AI739" s="23">
        <f>12+3</f>
        <v>15</v>
      </c>
      <c r="AK739" s="1">
        <f>AVERAGE(AA735:AA739)</f>
        <v>65.400000000000006</v>
      </c>
    </row>
    <row r="740" spans="1:50" s="12" customFormat="1" hidden="1" outlineLevel="1">
      <c r="A740" s="95">
        <v>45836</v>
      </c>
      <c r="B740" s="25" t="s">
        <v>16</v>
      </c>
      <c r="C740" s="26"/>
      <c r="D740" s="29"/>
      <c r="E740" s="29">
        <f t="shared" si="106"/>
        <v>-2848</v>
      </c>
      <c r="G740" s="64"/>
      <c r="H740" s="63"/>
      <c r="I740" s="27"/>
      <c r="J740" s="28"/>
      <c r="K740" s="43"/>
      <c r="L740" s="29"/>
      <c r="M740" s="29"/>
      <c r="N740" s="29"/>
      <c r="O740" s="29"/>
      <c r="Q740" s="64"/>
      <c r="R740" s="63"/>
      <c r="S740" s="27"/>
      <c r="T740" s="28"/>
      <c r="U740" s="43"/>
      <c r="V740" s="29">
        <f t="shared" si="107"/>
        <v>1</v>
      </c>
      <c r="W740" s="29">
        <f t="shared" si="108"/>
        <v>1</v>
      </c>
      <c r="X740" s="29"/>
      <c r="Y740" s="29"/>
      <c r="AA740" s="300"/>
      <c r="AB740" s="63"/>
      <c r="AC740" s="27"/>
      <c r="AD740" s="28"/>
      <c r="AE740" s="43"/>
      <c r="AF740" s="29">
        <f t="shared" si="109"/>
        <v>0</v>
      </c>
      <c r="AG740" s="29">
        <f t="shared" si="110"/>
        <v>0</v>
      </c>
      <c r="AH740" s="29"/>
      <c r="AI740" s="29"/>
      <c r="AJ740" s="11"/>
    </row>
    <row r="741" spans="1:50" s="12" customFormat="1" hidden="1" outlineLevel="1" collapsed="1">
      <c r="A741" s="95">
        <v>45837</v>
      </c>
      <c r="B741" s="25" t="s">
        <v>17</v>
      </c>
      <c r="C741" s="26"/>
      <c r="D741" s="29"/>
      <c r="E741" s="29">
        <f t="shared" si="106"/>
        <v>-2848</v>
      </c>
      <c r="G741" s="64"/>
      <c r="H741" s="63"/>
      <c r="I741" s="27"/>
      <c r="J741" s="28"/>
      <c r="K741" s="43"/>
      <c r="L741" s="29"/>
      <c r="M741" s="29"/>
      <c r="N741" s="29"/>
      <c r="O741" s="29"/>
      <c r="Q741" s="64"/>
      <c r="R741" s="63"/>
      <c r="S741" s="27"/>
      <c r="T741" s="28"/>
      <c r="U741" s="43"/>
      <c r="V741" s="29">
        <f t="shared" si="107"/>
        <v>1</v>
      </c>
      <c r="W741" s="29">
        <f t="shared" si="108"/>
        <v>1</v>
      </c>
      <c r="X741" s="29"/>
      <c r="Y741" s="29"/>
      <c r="AA741" s="300"/>
      <c r="AB741" s="63"/>
      <c r="AC741" s="27"/>
      <c r="AD741" s="28"/>
      <c r="AE741" s="43"/>
      <c r="AF741" s="29">
        <f t="shared" si="109"/>
        <v>0</v>
      </c>
      <c r="AG741" s="29">
        <f t="shared" si="110"/>
        <v>0</v>
      </c>
      <c r="AH741" s="29"/>
      <c r="AI741" s="29"/>
      <c r="AJ741" s="11"/>
    </row>
    <row r="742" spans="1:50" hidden="1" outlineLevel="1">
      <c r="A742" s="96">
        <v>45838</v>
      </c>
      <c r="B742" s="17" t="s">
        <v>18</v>
      </c>
      <c r="C742" s="18">
        <f>AA744</f>
        <v>60</v>
      </c>
      <c r="D742" s="23"/>
      <c r="E742" s="23">
        <f t="shared" si="106"/>
        <v>-2908</v>
      </c>
      <c r="G742" s="19"/>
      <c r="H742" s="62"/>
      <c r="I742" s="20"/>
      <c r="J742" s="21"/>
      <c r="K742" s="42"/>
      <c r="L742" s="23"/>
      <c r="M742" s="23"/>
      <c r="N742" s="23"/>
      <c r="O742" s="23"/>
      <c r="Q742" s="19"/>
      <c r="R742" s="62"/>
      <c r="S742" s="20"/>
      <c r="T742" s="21"/>
      <c r="U742" s="42"/>
      <c r="V742" s="23">
        <f t="shared" si="107"/>
        <v>1</v>
      </c>
      <c r="W742" s="23">
        <f t="shared" si="108"/>
        <v>1</v>
      </c>
      <c r="X742" s="23"/>
      <c r="Y742" s="23"/>
      <c r="AA742" s="203">
        <v>63</v>
      </c>
      <c r="AB742" s="62">
        <f t="shared" ref="AB742:AB746" si="117">IF(C740&lt;&gt;"",C740+AC742,IF(C738&lt;&gt;"",C738+AC742,IF(C737&lt;&gt;"",C737+AC742,IF(C736&lt;&gt;"",C736+AC742,IF(C735&lt;&gt;"",C735+AC742,IF(C734&lt;&gt;"",C734+AC742))))))</f>
        <v>63</v>
      </c>
      <c r="AC742" s="20"/>
      <c r="AD742" s="21"/>
      <c r="AE742" s="57">
        <v>54</v>
      </c>
      <c r="AF742" s="23">
        <f t="shared" si="109"/>
        <v>-9</v>
      </c>
      <c r="AG742" s="23">
        <f t="shared" si="110"/>
        <v>0</v>
      </c>
      <c r="AH742" s="23"/>
      <c r="AI742" s="23">
        <v>6</v>
      </c>
    </row>
    <row r="743" spans="1:50" hidden="1" outlineLevel="1">
      <c r="A743" s="96">
        <v>45839</v>
      </c>
      <c r="B743" s="17" t="s">
        <v>19</v>
      </c>
      <c r="C743" s="18">
        <f t="shared" ref="C743:C744" si="118">AA745</f>
        <v>57</v>
      </c>
      <c r="D743" s="23"/>
      <c r="E743" s="23">
        <f t="shared" si="106"/>
        <v>-2965</v>
      </c>
      <c r="G743" s="19"/>
      <c r="H743" s="62"/>
      <c r="I743" s="20"/>
      <c r="J743" s="21"/>
      <c r="K743" s="42"/>
      <c r="L743" s="23"/>
      <c r="M743" s="23"/>
      <c r="N743" s="23"/>
      <c r="O743" s="23"/>
      <c r="Q743" s="19"/>
      <c r="R743" s="62"/>
      <c r="S743" s="20"/>
      <c r="T743" s="21"/>
      <c r="U743" s="42"/>
      <c r="V743" s="23">
        <f t="shared" si="107"/>
        <v>1</v>
      </c>
      <c r="W743" s="23">
        <f t="shared" si="108"/>
        <v>1</v>
      </c>
      <c r="X743" s="23"/>
      <c r="Y743" s="23"/>
      <c r="AA743" s="203">
        <v>63</v>
      </c>
      <c r="AB743" s="62">
        <f t="shared" si="117"/>
        <v>63</v>
      </c>
      <c r="AC743" s="20"/>
      <c r="AD743" s="21"/>
      <c r="AE743" s="57">
        <v>72</v>
      </c>
      <c r="AF743" s="23">
        <f t="shared" si="109"/>
        <v>0</v>
      </c>
      <c r="AG743" s="23">
        <f t="shared" si="110"/>
        <v>0</v>
      </c>
      <c r="AH743" s="23"/>
      <c r="AI743" s="23">
        <v>8</v>
      </c>
    </row>
    <row r="744" spans="1:50" hidden="1" outlineLevel="1">
      <c r="A744" s="96">
        <v>45840</v>
      </c>
      <c r="B744" s="17" t="s">
        <v>20</v>
      </c>
      <c r="C744" s="18">
        <f t="shared" si="118"/>
        <v>0</v>
      </c>
      <c r="D744" s="23"/>
      <c r="E744" s="23">
        <f t="shared" si="106"/>
        <v>-2965</v>
      </c>
      <c r="G744" s="19"/>
      <c r="H744" s="62"/>
      <c r="I744" s="20"/>
      <c r="J744" s="21"/>
      <c r="K744" s="42"/>
      <c r="L744" s="23"/>
      <c r="M744" s="23"/>
      <c r="N744" s="23"/>
      <c r="O744" s="23"/>
      <c r="Q744" s="19"/>
      <c r="R744" s="62"/>
      <c r="S744" s="20"/>
      <c r="T744" s="21"/>
      <c r="U744" s="42"/>
      <c r="V744" s="23">
        <f t="shared" si="107"/>
        <v>1</v>
      </c>
      <c r="W744" s="23">
        <f t="shared" si="108"/>
        <v>1</v>
      </c>
      <c r="X744" s="23"/>
      <c r="Y744" s="23"/>
      <c r="AA744" s="203">
        <v>60</v>
      </c>
      <c r="AB744" s="62">
        <f t="shared" si="117"/>
        <v>60</v>
      </c>
      <c r="AC744" s="20"/>
      <c r="AD744" s="21"/>
      <c r="AE744" s="57">
        <v>60</v>
      </c>
      <c r="AF744" s="23">
        <f t="shared" si="109"/>
        <v>0</v>
      </c>
      <c r="AG744" s="23">
        <f t="shared" si="110"/>
        <v>0</v>
      </c>
      <c r="AH744" s="23"/>
      <c r="AI744" s="23">
        <v>13</v>
      </c>
    </row>
    <row r="745" spans="1:50" hidden="1" outlineLevel="1">
      <c r="A745" s="96">
        <v>45841</v>
      </c>
      <c r="B745" s="17" t="s">
        <v>14</v>
      </c>
      <c r="C745" s="18">
        <f>AA749</f>
        <v>57</v>
      </c>
      <c r="D745" s="23"/>
      <c r="E745" s="23">
        <f t="shared" si="106"/>
        <v>-3022</v>
      </c>
      <c r="G745" s="19"/>
      <c r="H745" s="62"/>
      <c r="I745" s="20"/>
      <c r="J745" s="21"/>
      <c r="K745" s="42"/>
      <c r="L745" s="23"/>
      <c r="M745" s="23"/>
      <c r="N745" s="23"/>
      <c r="O745" s="23"/>
      <c r="Q745" s="19"/>
      <c r="R745" s="62"/>
      <c r="S745" s="20"/>
      <c r="T745" s="21"/>
      <c r="U745" s="42"/>
      <c r="V745" s="23">
        <f t="shared" si="107"/>
        <v>1</v>
      </c>
      <c r="W745" s="23">
        <f t="shared" si="108"/>
        <v>1</v>
      </c>
      <c r="X745" s="23"/>
      <c r="Y745" s="23"/>
      <c r="AA745" s="203">
        <v>57</v>
      </c>
      <c r="AB745" s="62">
        <f t="shared" si="117"/>
        <v>57</v>
      </c>
      <c r="AC745" s="20"/>
      <c r="AD745" s="21"/>
      <c r="AE745" s="57">
        <v>57</v>
      </c>
      <c r="AF745" s="23">
        <f t="shared" si="109"/>
        <v>0</v>
      </c>
      <c r="AG745" s="23">
        <f t="shared" si="110"/>
        <v>0</v>
      </c>
      <c r="AH745" s="23"/>
      <c r="AI745" s="23">
        <v>10</v>
      </c>
    </row>
    <row r="746" spans="1:50" s="12" customFormat="1" hidden="1" outlineLevel="1">
      <c r="A746" s="96">
        <v>45842</v>
      </c>
      <c r="B746" s="17" t="s">
        <v>15</v>
      </c>
      <c r="C746" s="18">
        <f>AA750</f>
        <v>57</v>
      </c>
      <c r="D746" s="23"/>
      <c r="E746" s="23">
        <f t="shared" si="106"/>
        <v>-3079</v>
      </c>
      <c r="F746" s="1"/>
      <c r="G746" s="19"/>
      <c r="H746" s="62"/>
      <c r="I746" s="20"/>
      <c r="J746" s="21"/>
      <c r="K746" s="42"/>
      <c r="L746" s="23"/>
      <c r="M746" s="23"/>
      <c r="N746" s="23"/>
      <c r="O746" s="23"/>
      <c r="P746" s="1"/>
      <c r="Q746" s="19"/>
      <c r="R746" s="62"/>
      <c r="S746" s="20"/>
      <c r="T746" s="21"/>
      <c r="U746" s="42"/>
      <c r="V746" s="23">
        <f t="shared" si="107"/>
        <v>1</v>
      </c>
      <c r="W746" s="23">
        <f t="shared" si="108"/>
        <v>1</v>
      </c>
      <c r="X746" s="23"/>
      <c r="Y746" s="23"/>
      <c r="Z746" s="1"/>
      <c r="AA746" s="203">
        <v>0</v>
      </c>
      <c r="AB746" s="62">
        <f t="shared" si="117"/>
        <v>0</v>
      </c>
      <c r="AC746" s="20"/>
      <c r="AD746" s="21"/>
      <c r="AE746" s="42"/>
      <c r="AF746" s="23">
        <f t="shared" si="109"/>
        <v>0</v>
      </c>
      <c r="AG746" s="23">
        <f t="shared" si="110"/>
        <v>0</v>
      </c>
      <c r="AH746" s="23"/>
      <c r="AI746" s="23">
        <v>10</v>
      </c>
      <c r="AJ746"/>
      <c r="AK746" s="1">
        <f>AVERAGE(AA742:AA746)</f>
        <v>48.6</v>
      </c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</row>
    <row r="747" spans="1:50" s="12" customFormat="1" hidden="1" outlineLevel="1">
      <c r="A747" s="95">
        <v>45843</v>
      </c>
      <c r="B747" s="25" t="s">
        <v>16</v>
      </c>
      <c r="C747" s="26"/>
      <c r="D747" s="29"/>
      <c r="E747" s="29">
        <f t="shared" si="106"/>
        <v>-3079</v>
      </c>
      <c r="G747" s="64"/>
      <c r="H747" s="63"/>
      <c r="I747" s="27"/>
      <c r="J747" s="28"/>
      <c r="K747" s="43"/>
      <c r="L747" s="29"/>
      <c r="M747" s="29"/>
      <c r="N747" s="29"/>
      <c r="O747" s="29"/>
      <c r="Q747" s="64"/>
      <c r="R747" s="63"/>
      <c r="S747" s="27"/>
      <c r="T747" s="28"/>
      <c r="U747" s="43"/>
      <c r="V747" s="29">
        <f t="shared" si="107"/>
        <v>1</v>
      </c>
      <c r="W747" s="29">
        <f t="shared" si="108"/>
        <v>1</v>
      </c>
      <c r="X747" s="29"/>
      <c r="Y747" s="29"/>
      <c r="AA747" s="300"/>
      <c r="AB747" s="63"/>
      <c r="AC747" s="27"/>
      <c r="AD747" s="28"/>
      <c r="AE747" s="43"/>
      <c r="AF747" s="29">
        <f t="shared" si="109"/>
        <v>0</v>
      </c>
      <c r="AG747" s="29">
        <f t="shared" si="110"/>
        <v>0</v>
      </c>
      <c r="AH747" s="29"/>
      <c r="AI747" s="29"/>
      <c r="AJ747" s="11"/>
    </row>
    <row r="748" spans="1:50" s="12" customFormat="1" hidden="1" outlineLevel="1" collapsed="1">
      <c r="A748" s="95">
        <v>45844</v>
      </c>
      <c r="B748" s="25" t="s">
        <v>17</v>
      </c>
      <c r="C748" s="26"/>
      <c r="D748" s="29"/>
      <c r="E748" s="29">
        <f t="shared" ref="E748:E779" si="119">E747-C748+D748</f>
        <v>-3079</v>
      </c>
      <c r="G748" s="64"/>
      <c r="H748" s="63"/>
      <c r="I748" s="27"/>
      <c r="J748" s="28"/>
      <c r="K748" s="43"/>
      <c r="L748" s="29"/>
      <c r="M748" s="29"/>
      <c r="N748" s="29"/>
      <c r="O748" s="29"/>
      <c r="Q748" s="64"/>
      <c r="R748" s="63"/>
      <c r="S748" s="27"/>
      <c r="T748" s="28"/>
      <c r="U748" s="43"/>
      <c r="V748" s="29">
        <f t="shared" ref="V748:V779" si="120">V747-Q748+U748</f>
        <v>1</v>
      </c>
      <c r="W748" s="29">
        <f t="shared" ref="W748:W779" si="121">W747-Q748+R748</f>
        <v>1</v>
      </c>
      <c r="X748" s="29"/>
      <c r="Y748" s="29"/>
      <c r="AA748" s="300"/>
      <c r="AB748" s="63"/>
      <c r="AC748" s="27"/>
      <c r="AD748" s="28"/>
      <c r="AE748" s="43"/>
      <c r="AF748" s="29">
        <f t="shared" ref="AF748:AF779" si="122">AF747-AA748+AE748</f>
        <v>0</v>
      </c>
      <c r="AG748" s="29">
        <f t="shared" ref="AG748:AG779" si="123">AG747-AA748+AB748</f>
        <v>0</v>
      </c>
      <c r="AH748" s="29"/>
      <c r="AI748" s="29"/>
      <c r="AJ748" s="11"/>
    </row>
    <row r="749" spans="1:50" hidden="1" outlineLevel="1">
      <c r="A749" s="96">
        <v>45845</v>
      </c>
      <c r="B749" s="17" t="s">
        <v>18</v>
      </c>
      <c r="C749" s="18">
        <f>AA751</f>
        <v>54</v>
      </c>
      <c r="D749" s="23"/>
      <c r="E749" s="23">
        <f t="shared" si="119"/>
        <v>-3133</v>
      </c>
      <c r="G749" s="19"/>
      <c r="H749" s="62"/>
      <c r="I749" s="20"/>
      <c r="J749" s="21"/>
      <c r="K749" s="42"/>
      <c r="L749" s="23"/>
      <c r="M749" s="23"/>
      <c r="N749" s="23"/>
      <c r="O749" s="23"/>
      <c r="Q749" s="19"/>
      <c r="R749" s="62"/>
      <c r="S749" s="20"/>
      <c r="T749" s="21"/>
      <c r="U749" s="42"/>
      <c r="V749" s="23">
        <f t="shared" si="120"/>
        <v>1</v>
      </c>
      <c r="W749" s="23">
        <f t="shared" si="121"/>
        <v>1</v>
      </c>
      <c r="X749" s="23"/>
      <c r="Y749" s="23"/>
      <c r="AA749" s="203">
        <v>57</v>
      </c>
      <c r="AB749" s="62">
        <f t="shared" ref="AB749:AB753" si="124">IF(C747&lt;&gt;"",C747+AC749,IF(C745&lt;&gt;"",C745+AC749,IF(C744&lt;&gt;"",C744+AC749,IF(C743&lt;&gt;"",C743+AC749,IF(C742&lt;&gt;"",C742+AC749,IF(C741&lt;&gt;"",C741+AC749))))))</f>
        <v>57</v>
      </c>
      <c r="AC749" s="20"/>
      <c r="AD749" s="21"/>
      <c r="AE749" s="57">
        <v>57</v>
      </c>
      <c r="AF749" s="23">
        <f t="shared" si="122"/>
        <v>0</v>
      </c>
      <c r="AG749" s="23">
        <f t="shared" si="123"/>
        <v>0</v>
      </c>
      <c r="AH749" s="23"/>
      <c r="AI749" s="23">
        <v>0</v>
      </c>
    </row>
    <row r="750" spans="1:50" hidden="1" outlineLevel="1">
      <c r="A750" s="96">
        <v>45846</v>
      </c>
      <c r="B750" s="17" t="s">
        <v>19</v>
      </c>
      <c r="C750" s="18">
        <f t="shared" ref="C750:C751" si="125">AA752</f>
        <v>90</v>
      </c>
      <c r="D750" s="23"/>
      <c r="E750" s="23">
        <f t="shared" si="119"/>
        <v>-3223</v>
      </c>
      <c r="G750" s="19"/>
      <c r="H750" s="62"/>
      <c r="I750" s="20"/>
      <c r="J750" s="21"/>
      <c r="K750" s="42"/>
      <c r="L750" s="23"/>
      <c r="M750" s="23"/>
      <c r="N750" s="23"/>
      <c r="O750" s="23"/>
      <c r="Q750" s="19"/>
      <c r="R750" s="62"/>
      <c r="S750" s="20"/>
      <c r="T750" s="21"/>
      <c r="U750" s="42"/>
      <c r="V750" s="23">
        <f t="shared" si="120"/>
        <v>1</v>
      </c>
      <c r="W750" s="23">
        <f t="shared" si="121"/>
        <v>1</v>
      </c>
      <c r="X750" s="23"/>
      <c r="Y750" s="23"/>
      <c r="AA750" s="78">
        <v>57</v>
      </c>
      <c r="AB750" s="62">
        <f t="shared" si="124"/>
        <v>57</v>
      </c>
      <c r="AC750" s="20"/>
      <c r="AD750" s="21"/>
      <c r="AE750" s="57">
        <v>57</v>
      </c>
      <c r="AF750" s="23">
        <f t="shared" si="122"/>
        <v>0</v>
      </c>
      <c r="AG750" s="23">
        <f t="shared" si="123"/>
        <v>0</v>
      </c>
      <c r="AH750" s="23"/>
      <c r="AI750" s="23">
        <v>10</v>
      </c>
    </row>
    <row r="751" spans="1:50" hidden="1" outlineLevel="1">
      <c r="A751" s="96">
        <v>45847</v>
      </c>
      <c r="B751" s="17" t="s">
        <v>20</v>
      </c>
      <c r="C751" s="18">
        <f t="shared" si="125"/>
        <v>66</v>
      </c>
      <c r="D751" s="23"/>
      <c r="E751" s="23">
        <f t="shared" si="119"/>
        <v>-3289</v>
      </c>
      <c r="G751" s="19"/>
      <c r="H751" s="62"/>
      <c r="I751" s="20"/>
      <c r="J751" s="21"/>
      <c r="K751" s="42"/>
      <c r="L751" s="23"/>
      <c r="M751" s="23"/>
      <c r="N751" s="23"/>
      <c r="O751" s="23"/>
      <c r="Q751" s="19"/>
      <c r="R751" s="62"/>
      <c r="S751" s="20"/>
      <c r="T751" s="21"/>
      <c r="U751" s="42"/>
      <c r="V751" s="23">
        <f t="shared" si="120"/>
        <v>1</v>
      </c>
      <c r="W751" s="23">
        <f t="shared" si="121"/>
        <v>1</v>
      </c>
      <c r="X751" s="23"/>
      <c r="Y751" s="23"/>
      <c r="AA751" s="78">
        <v>54</v>
      </c>
      <c r="AB751" s="62">
        <f t="shared" si="124"/>
        <v>54</v>
      </c>
      <c r="AC751" s="20"/>
      <c r="AD751" s="21"/>
      <c r="AE751" s="57">
        <v>54</v>
      </c>
      <c r="AF751" s="23">
        <f t="shared" si="122"/>
        <v>0</v>
      </c>
      <c r="AG751" s="23">
        <f t="shared" si="123"/>
        <v>0</v>
      </c>
      <c r="AH751" s="23"/>
      <c r="AI751" s="23">
        <v>10</v>
      </c>
    </row>
    <row r="752" spans="1:50" hidden="1" outlineLevel="1">
      <c r="A752" s="96">
        <v>45848</v>
      </c>
      <c r="B752" s="17" t="s">
        <v>14</v>
      </c>
      <c r="C752" s="18">
        <f>AA756</f>
        <v>93</v>
      </c>
      <c r="D752" s="23"/>
      <c r="E752" s="23">
        <f t="shared" si="119"/>
        <v>-3382</v>
      </c>
      <c r="G752" s="19"/>
      <c r="H752" s="62"/>
      <c r="I752" s="20"/>
      <c r="J752" s="21"/>
      <c r="K752" s="42"/>
      <c r="L752" s="23"/>
      <c r="M752" s="23"/>
      <c r="N752" s="23"/>
      <c r="O752" s="23"/>
      <c r="Q752" s="19"/>
      <c r="R752" s="62"/>
      <c r="S752" s="20"/>
      <c r="T752" s="21"/>
      <c r="U752" s="42"/>
      <c r="V752" s="23">
        <f t="shared" si="120"/>
        <v>1</v>
      </c>
      <c r="W752" s="23">
        <f t="shared" si="121"/>
        <v>1</v>
      </c>
      <c r="X752" s="23"/>
      <c r="Y752" s="23"/>
      <c r="AA752" s="78">
        <v>90</v>
      </c>
      <c r="AB752" s="62">
        <f t="shared" si="124"/>
        <v>90</v>
      </c>
      <c r="AC752" s="20"/>
      <c r="AD752" s="21"/>
      <c r="AE752" s="57">
        <v>90</v>
      </c>
      <c r="AF752" s="23">
        <f t="shared" si="122"/>
        <v>0</v>
      </c>
      <c r="AG752" s="23">
        <f t="shared" si="123"/>
        <v>0</v>
      </c>
      <c r="AH752" s="23"/>
      <c r="AI752" s="23">
        <v>9</v>
      </c>
    </row>
    <row r="753" spans="1:37" hidden="1" outlineLevel="1">
      <c r="A753" s="96">
        <v>45849</v>
      </c>
      <c r="B753" s="17" t="s">
        <v>15</v>
      </c>
      <c r="C753" s="18">
        <f>AA757</f>
        <v>63</v>
      </c>
      <c r="D753" s="23"/>
      <c r="E753" s="23">
        <f t="shared" si="119"/>
        <v>-3445</v>
      </c>
      <c r="G753" s="19"/>
      <c r="H753" s="62"/>
      <c r="I753" s="20"/>
      <c r="J753" s="21"/>
      <c r="K753" s="42"/>
      <c r="L753" s="23"/>
      <c r="M753" s="23"/>
      <c r="N753" s="23"/>
      <c r="O753" s="23"/>
      <c r="Q753" s="19"/>
      <c r="R753" s="62"/>
      <c r="S753" s="20"/>
      <c r="T753" s="21"/>
      <c r="U753" s="42"/>
      <c r="V753" s="23">
        <f t="shared" si="120"/>
        <v>1</v>
      </c>
      <c r="W753" s="23">
        <f t="shared" si="121"/>
        <v>1</v>
      </c>
      <c r="X753" s="23"/>
      <c r="Y753" s="23"/>
      <c r="AA753" s="78">
        <v>66</v>
      </c>
      <c r="AB753" s="62">
        <f t="shared" si="124"/>
        <v>66</v>
      </c>
      <c r="AC753" s="20"/>
      <c r="AD753" s="21"/>
      <c r="AE753" s="57">
        <v>66</v>
      </c>
      <c r="AF753" s="23">
        <f t="shared" si="122"/>
        <v>0</v>
      </c>
      <c r="AG753" s="23">
        <f t="shared" si="123"/>
        <v>0</v>
      </c>
      <c r="AH753" s="23"/>
      <c r="AI753" s="23">
        <v>12</v>
      </c>
      <c r="AK753" s="1">
        <f>AVERAGE(AA749:AA753)</f>
        <v>64.8</v>
      </c>
    </row>
    <row r="754" spans="1:37" s="12" customFormat="1" hidden="1" outlineLevel="1">
      <c r="A754" s="95">
        <v>45850</v>
      </c>
      <c r="B754" s="25" t="s">
        <v>16</v>
      </c>
      <c r="C754" s="26"/>
      <c r="D754" s="29"/>
      <c r="E754" s="29">
        <f t="shared" si="119"/>
        <v>-3445</v>
      </c>
      <c r="G754" s="64"/>
      <c r="H754" s="63"/>
      <c r="I754" s="27"/>
      <c r="J754" s="28"/>
      <c r="K754" s="43"/>
      <c r="L754" s="29"/>
      <c r="M754" s="29"/>
      <c r="N754" s="29"/>
      <c r="O754" s="29"/>
      <c r="Q754" s="64"/>
      <c r="R754" s="63"/>
      <c r="S754" s="27"/>
      <c r="T754" s="28"/>
      <c r="U754" s="43"/>
      <c r="V754" s="29">
        <f t="shared" si="120"/>
        <v>1</v>
      </c>
      <c r="W754" s="29">
        <f t="shared" si="121"/>
        <v>1</v>
      </c>
      <c r="X754" s="29"/>
      <c r="Y754" s="29"/>
      <c r="AA754" s="79"/>
      <c r="AB754" s="63"/>
      <c r="AC754" s="27"/>
      <c r="AD754" s="28"/>
      <c r="AE754" s="43"/>
      <c r="AF754" s="29">
        <f t="shared" si="122"/>
        <v>0</v>
      </c>
      <c r="AG754" s="29">
        <f t="shared" si="123"/>
        <v>0</v>
      </c>
      <c r="AH754" s="29"/>
      <c r="AI754" s="29"/>
      <c r="AJ754" s="11"/>
    </row>
    <row r="755" spans="1:37" s="12" customFormat="1" hidden="1" outlineLevel="1" collapsed="1">
      <c r="A755" s="95">
        <v>45851</v>
      </c>
      <c r="B755" s="25" t="s">
        <v>17</v>
      </c>
      <c r="C755" s="26"/>
      <c r="D755" s="29"/>
      <c r="E755" s="29">
        <f t="shared" si="119"/>
        <v>-3445</v>
      </c>
      <c r="G755" s="64"/>
      <c r="H755" s="63"/>
      <c r="I755" s="27"/>
      <c r="J755" s="28"/>
      <c r="K755" s="43"/>
      <c r="L755" s="29"/>
      <c r="M755" s="29"/>
      <c r="N755" s="29"/>
      <c r="O755" s="29"/>
      <c r="Q755" s="64"/>
      <c r="R755" s="63"/>
      <c r="S755" s="27"/>
      <c r="T755" s="28"/>
      <c r="U755" s="43"/>
      <c r="V755" s="29">
        <f t="shared" si="120"/>
        <v>1</v>
      </c>
      <c r="W755" s="29">
        <f t="shared" si="121"/>
        <v>1</v>
      </c>
      <c r="X755" s="29"/>
      <c r="Y755" s="29"/>
      <c r="AA755" s="79"/>
      <c r="AB755" s="63"/>
      <c r="AC755" s="27"/>
      <c r="AD755" s="28"/>
      <c r="AE755" s="43"/>
      <c r="AF755" s="29">
        <f t="shared" si="122"/>
        <v>0</v>
      </c>
      <c r="AG755" s="29">
        <f t="shared" si="123"/>
        <v>0</v>
      </c>
      <c r="AH755" s="29"/>
      <c r="AI755" s="29"/>
      <c r="AJ755" s="11"/>
    </row>
    <row r="756" spans="1:37" hidden="1" outlineLevel="1">
      <c r="A756" s="96">
        <v>45852</v>
      </c>
      <c r="B756" s="17" t="s">
        <v>18</v>
      </c>
      <c r="C756" s="18">
        <f>AA758</f>
        <v>72</v>
      </c>
      <c r="D756" s="23"/>
      <c r="E756" s="23">
        <f t="shared" si="119"/>
        <v>-3517</v>
      </c>
      <c r="G756" s="19"/>
      <c r="H756" s="62"/>
      <c r="I756" s="20"/>
      <c r="J756" s="21"/>
      <c r="K756" s="42"/>
      <c r="L756" s="23"/>
      <c r="M756" s="23"/>
      <c r="N756" s="23"/>
      <c r="O756" s="23"/>
      <c r="Q756" s="19"/>
      <c r="R756" s="62"/>
      <c r="S756" s="20"/>
      <c r="T756" s="21"/>
      <c r="U756" s="42"/>
      <c r="V756" s="23">
        <f t="shared" si="120"/>
        <v>1</v>
      </c>
      <c r="W756" s="23">
        <f t="shared" si="121"/>
        <v>1</v>
      </c>
      <c r="X756" s="23"/>
      <c r="Y756" s="23"/>
      <c r="AA756" s="78">
        <v>93</v>
      </c>
      <c r="AB756" s="62">
        <f t="shared" ref="AB756:AB760" si="126">IF(C754&lt;&gt;"",C754+AC756,IF(C752&lt;&gt;"",C752+AC756,IF(C751&lt;&gt;"",C751+AC756,IF(C750&lt;&gt;"",C750+AC756,IF(C749&lt;&gt;"",C749+AC756,IF(C748&lt;&gt;"",C748+AC756))))))</f>
        <v>93</v>
      </c>
      <c r="AC756" s="20"/>
      <c r="AD756" s="21"/>
      <c r="AE756" s="57">
        <v>93</v>
      </c>
      <c r="AF756" s="23">
        <f t="shared" si="122"/>
        <v>0</v>
      </c>
      <c r="AG756" s="23">
        <f t="shared" si="123"/>
        <v>0</v>
      </c>
      <c r="AH756" s="23"/>
      <c r="AI756" s="23">
        <v>14</v>
      </c>
    </row>
    <row r="757" spans="1:37" hidden="1" outlineLevel="1">
      <c r="A757" s="96">
        <v>45853</v>
      </c>
      <c r="B757" s="17" t="s">
        <v>19</v>
      </c>
      <c r="C757" s="18">
        <f t="shared" ref="C757:C758" si="127">AA759</f>
        <v>48</v>
      </c>
      <c r="D757" s="23"/>
      <c r="E757" s="23">
        <f t="shared" si="119"/>
        <v>-3565</v>
      </c>
      <c r="G757" s="19"/>
      <c r="H757" s="62"/>
      <c r="I757" s="20"/>
      <c r="J757" s="21"/>
      <c r="K757" s="42"/>
      <c r="L757" s="23"/>
      <c r="M757" s="23"/>
      <c r="N757" s="23"/>
      <c r="O757" s="23"/>
      <c r="Q757" s="19"/>
      <c r="R757" s="62"/>
      <c r="S757" s="20"/>
      <c r="T757" s="21"/>
      <c r="U757" s="42"/>
      <c r="V757" s="23">
        <f t="shared" si="120"/>
        <v>1</v>
      </c>
      <c r="W757" s="23">
        <f t="shared" si="121"/>
        <v>1</v>
      </c>
      <c r="X757" s="23"/>
      <c r="Y757" s="23"/>
      <c r="AA757" s="78">
        <v>63</v>
      </c>
      <c r="AB757" s="62">
        <f t="shared" si="126"/>
        <v>63</v>
      </c>
      <c r="AC757" s="20"/>
      <c r="AD757" s="21"/>
      <c r="AE757" s="57">
        <v>63</v>
      </c>
      <c r="AF757" s="23">
        <f t="shared" si="122"/>
        <v>0</v>
      </c>
      <c r="AG757" s="23">
        <f t="shared" si="123"/>
        <v>0</v>
      </c>
      <c r="AH757" s="23"/>
      <c r="AI757" s="23">
        <v>12</v>
      </c>
    </row>
    <row r="758" spans="1:37" hidden="1" outlineLevel="1">
      <c r="A758" s="96">
        <v>45854</v>
      </c>
      <c r="B758" s="17" t="s">
        <v>20</v>
      </c>
      <c r="C758" s="18">
        <f t="shared" si="127"/>
        <v>72</v>
      </c>
      <c r="D758" s="23"/>
      <c r="E758" s="23">
        <f t="shared" si="119"/>
        <v>-3637</v>
      </c>
      <c r="G758" s="19"/>
      <c r="H758" s="62"/>
      <c r="I758" s="20"/>
      <c r="J758" s="21"/>
      <c r="K758" s="42"/>
      <c r="L758" s="23"/>
      <c r="M758" s="23"/>
      <c r="N758" s="23"/>
      <c r="O758" s="23"/>
      <c r="Q758" s="19"/>
      <c r="R758" s="62"/>
      <c r="S758" s="20"/>
      <c r="T758" s="21"/>
      <c r="U758" s="42"/>
      <c r="V758" s="23">
        <f t="shared" si="120"/>
        <v>1</v>
      </c>
      <c r="W758" s="23">
        <f t="shared" si="121"/>
        <v>1</v>
      </c>
      <c r="X758" s="23"/>
      <c r="Y758" s="23"/>
      <c r="AA758" s="78">
        <v>72</v>
      </c>
      <c r="AB758" s="62">
        <f t="shared" si="126"/>
        <v>72</v>
      </c>
      <c r="AC758" s="20"/>
      <c r="AD758" s="21"/>
      <c r="AE758" s="57">
        <v>72</v>
      </c>
      <c r="AF758" s="23">
        <f t="shared" si="122"/>
        <v>0</v>
      </c>
      <c r="AG758" s="23">
        <f t="shared" si="123"/>
        <v>0</v>
      </c>
      <c r="AH758" s="23"/>
      <c r="AI758" s="23">
        <f>11+4</f>
        <v>15</v>
      </c>
    </row>
    <row r="759" spans="1:37" hidden="1" outlineLevel="1">
      <c r="A759" s="96">
        <v>45855</v>
      </c>
      <c r="B759" s="17" t="s">
        <v>14</v>
      </c>
      <c r="C759" s="18">
        <f>AA764</f>
        <v>72</v>
      </c>
      <c r="D759" s="23"/>
      <c r="E759" s="23">
        <f t="shared" si="119"/>
        <v>-3709</v>
      </c>
      <c r="G759" s="19"/>
      <c r="H759" s="62"/>
      <c r="I759" s="20"/>
      <c r="J759" s="21"/>
      <c r="K759" s="42"/>
      <c r="L759" s="23"/>
      <c r="M759" s="23"/>
      <c r="N759" s="23"/>
      <c r="O759" s="23"/>
      <c r="Q759" s="19"/>
      <c r="R759" s="62"/>
      <c r="S759" s="20"/>
      <c r="T759" s="21"/>
      <c r="U759" s="42"/>
      <c r="V759" s="23">
        <f t="shared" si="120"/>
        <v>1</v>
      </c>
      <c r="W759" s="23">
        <f t="shared" si="121"/>
        <v>1</v>
      </c>
      <c r="X759" s="23"/>
      <c r="Y759" s="23"/>
      <c r="AA759" s="78">
        <v>48</v>
      </c>
      <c r="AB759" s="62">
        <f t="shared" si="126"/>
        <v>48</v>
      </c>
      <c r="AC759" s="20"/>
      <c r="AD759" s="21"/>
      <c r="AE759" s="57">
        <v>48</v>
      </c>
      <c r="AF759" s="23">
        <f t="shared" si="122"/>
        <v>0</v>
      </c>
      <c r="AG759" s="23">
        <f t="shared" si="123"/>
        <v>0</v>
      </c>
      <c r="AH759" s="23"/>
      <c r="AI759" s="23">
        <v>12</v>
      </c>
    </row>
    <row r="760" spans="1:37" hidden="1" outlineLevel="1">
      <c r="A760" s="96">
        <v>45856</v>
      </c>
      <c r="B760" s="17" t="s">
        <v>15</v>
      </c>
      <c r="C760" s="18">
        <f>AA765</f>
        <v>60</v>
      </c>
      <c r="D760" s="23"/>
      <c r="E760" s="23">
        <f t="shared" si="119"/>
        <v>-3769</v>
      </c>
      <c r="G760" s="19"/>
      <c r="H760" s="62"/>
      <c r="I760" s="20"/>
      <c r="J760" s="21"/>
      <c r="K760" s="42"/>
      <c r="L760" s="23"/>
      <c r="M760" s="23"/>
      <c r="N760" s="23"/>
      <c r="O760" s="23"/>
      <c r="Q760" s="19"/>
      <c r="R760" s="62"/>
      <c r="S760" s="20"/>
      <c r="T760" s="21"/>
      <c r="U760" s="42"/>
      <c r="V760" s="23">
        <f t="shared" si="120"/>
        <v>1</v>
      </c>
      <c r="W760" s="23">
        <f t="shared" si="121"/>
        <v>1</v>
      </c>
      <c r="X760" s="23"/>
      <c r="Y760" s="23"/>
      <c r="AA760" s="78">
        <v>72</v>
      </c>
      <c r="AB760" s="62">
        <f t="shared" si="126"/>
        <v>72</v>
      </c>
      <c r="AC760" s="20"/>
      <c r="AD760" s="21"/>
      <c r="AE760" s="57">
        <v>72</v>
      </c>
      <c r="AF760" s="23">
        <f t="shared" si="122"/>
        <v>0</v>
      </c>
      <c r="AG760" s="23">
        <f t="shared" si="123"/>
        <v>0</v>
      </c>
      <c r="AH760" s="23"/>
      <c r="AI760" s="23">
        <v>8</v>
      </c>
      <c r="AK760" s="1">
        <f>AVERAGE(AA756:AA760)</f>
        <v>69.599999999999994</v>
      </c>
    </row>
    <row r="761" spans="1:37" s="12" customFormat="1" hidden="1" outlineLevel="1">
      <c r="A761" s="95">
        <v>45857</v>
      </c>
      <c r="B761" s="25" t="s">
        <v>16</v>
      </c>
      <c r="C761" s="26"/>
      <c r="D761" s="29"/>
      <c r="E761" s="29">
        <f t="shared" si="119"/>
        <v>-3769</v>
      </c>
      <c r="G761" s="64"/>
      <c r="H761" s="63"/>
      <c r="I761" s="27"/>
      <c r="J761" s="28"/>
      <c r="K761" s="43"/>
      <c r="L761" s="29"/>
      <c r="M761" s="29"/>
      <c r="N761" s="29"/>
      <c r="O761" s="29"/>
      <c r="Q761" s="64"/>
      <c r="R761" s="63"/>
      <c r="S761" s="27"/>
      <c r="T761" s="28"/>
      <c r="U761" s="43"/>
      <c r="V761" s="29">
        <f t="shared" si="120"/>
        <v>1</v>
      </c>
      <c r="W761" s="29">
        <f t="shared" si="121"/>
        <v>1</v>
      </c>
      <c r="X761" s="29"/>
      <c r="Y761" s="29"/>
      <c r="AA761" s="79"/>
      <c r="AB761" s="63"/>
      <c r="AC761" s="27"/>
      <c r="AD761" s="28"/>
      <c r="AE761" s="43"/>
      <c r="AF761" s="29">
        <f t="shared" si="122"/>
        <v>0</v>
      </c>
      <c r="AG761" s="29">
        <f t="shared" si="123"/>
        <v>0</v>
      </c>
      <c r="AH761" s="29"/>
      <c r="AI761" s="29"/>
      <c r="AJ761" s="11"/>
    </row>
    <row r="762" spans="1:37" s="12" customFormat="1" hidden="1" outlineLevel="1" collapsed="1">
      <c r="A762" s="95">
        <v>45858</v>
      </c>
      <c r="B762" s="25" t="s">
        <v>17</v>
      </c>
      <c r="C762" s="26"/>
      <c r="D762" s="29"/>
      <c r="E762" s="29">
        <f t="shared" si="119"/>
        <v>-3769</v>
      </c>
      <c r="G762" s="64"/>
      <c r="H762" s="63"/>
      <c r="I762" s="27"/>
      <c r="J762" s="28"/>
      <c r="K762" s="43"/>
      <c r="L762" s="29"/>
      <c r="M762" s="29"/>
      <c r="N762" s="29"/>
      <c r="O762" s="29"/>
      <c r="Q762" s="64"/>
      <c r="R762" s="63"/>
      <c r="S762" s="27"/>
      <c r="T762" s="28"/>
      <c r="U762" s="43"/>
      <c r="V762" s="29">
        <f t="shared" si="120"/>
        <v>1</v>
      </c>
      <c r="W762" s="29">
        <f t="shared" si="121"/>
        <v>1</v>
      </c>
      <c r="X762" s="29"/>
      <c r="Y762" s="29"/>
      <c r="AA762" s="79"/>
      <c r="AB762" s="63"/>
      <c r="AC762" s="27"/>
      <c r="AD762" s="28"/>
      <c r="AE762" s="43"/>
      <c r="AF762" s="29">
        <f t="shared" si="122"/>
        <v>0</v>
      </c>
      <c r="AG762" s="29">
        <f t="shared" si="123"/>
        <v>0</v>
      </c>
      <c r="AH762" s="29"/>
      <c r="AI762" s="29"/>
      <c r="AJ762" s="11"/>
    </row>
    <row r="763" spans="1:37" s="12" customFormat="1" hidden="1" outlineLevel="1">
      <c r="A763" s="95">
        <v>45859</v>
      </c>
      <c r="B763" s="25" t="s">
        <v>18</v>
      </c>
      <c r="C763" s="26"/>
      <c r="D763" s="29"/>
      <c r="E763" s="29">
        <f t="shared" si="119"/>
        <v>-3769</v>
      </c>
      <c r="G763" s="64"/>
      <c r="H763" s="63"/>
      <c r="I763" s="27"/>
      <c r="J763" s="28"/>
      <c r="K763" s="43"/>
      <c r="L763" s="29"/>
      <c r="M763" s="29"/>
      <c r="N763" s="29"/>
      <c r="O763" s="29"/>
      <c r="Q763" s="64"/>
      <c r="R763" s="63"/>
      <c r="S763" s="27"/>
      <c r="T763" s="28"/>
      <c r="U763" s="43"/>
      <c r="V763" s="29">
        <f t="shared" si="120"/>
        <v>1</v>
      </c>
      <c r="W763" s="29">
        <f t="shared" si="121"/>
        <v>1</v>
      </c>
      <c r="X763" s="29"/>
      <c r="Y763" s="29"/>
      <c r="AA763" s="79"/>
      <c r="AB763" s="63"/>
      <c r="AC763" s="27"/>
      <c r="AD763" s="28"/>
      <c r="AE763" s="43"/>
      <c r="AF763" s="29">
        <f t="shared" si="122"/>
        <v>0</v>
      </c>
      <c r="AG763" s="29">
        <f t="shared" si="123"/>
        <v>0</v>
      </c>
      <c r="AH763" s="29"/>
      <c r="AI763" s="29"/>
      <c r="AJ763" s="11"/>
    </row>
    <row r="764" spans="1:37" hidden="1" outlineLevel="1">
      <c r="A764" s="96">
        <v>45860</v>
      </c>
      <c r="B764" s="17" t="s">
        <v>19</v>
      </c>
      <c r="C764" s="18">
        <f>AA766</f>
        <v>75</v>
      </c>
      <c r="D764" s="23"/>
      <c r="E764" s="23">
        <f t="shared" si="119"/>
        <v>-3844</v>
      </c>
      <c r="G764" s="19"/>
      <c r="H764" s="62"/>
      <c r="I764" s="20"/>
      <c r="J764" s="21"/>
      <c r="K764" s="42"/>
      <c r="L764" s="23"/>
      <c r="M764" s="23"/>
      <c r="N764" s="23"/>
      <c r="O764" s="23"/>
      <c r="Q764" s="19"/>
      <c r="R764" s="62"/>
      <c r="S764" s="20"/>
      <c r="T764" s="21"/>
      <c r="U764" s="42"/>
      <c r="V764" s="23">
        <f t="shared" si="120"/>
        <v>1</v>
      </c>
      <c r="W764" s="23">
        <f t="shared" si="121"/>
        <v>1</v>
      </c>
      <c r="X764" s="23"/>
      <c r="Y764" s="23"/>
      <c r="AA764" s="78">
        <v>72</v>
      </c>
      <c r="AB764" s="62">
        <f>C759</f>
        <v>72</v>
      </c>
      <c r="AC764" s="20"/>
      <c r="AD764" s="21"/>
      <c r="AE764" s="57">
        <v>72</v>
      </c>
      <c r="AF764" s="23">
        <f t="shared" si="122"/>
        <v>0</v>
      </c>
      <c r="AG764" s="23">
        <f t="shared" si="123"/>
        <v>0</v>
      </c>
      <c r="AH764" s="23"/>
      <c r="AI764" s="23">
        <v>8</v>
      </c>
    </row>
    <row r="765" spans="1:37" hidden="1" outlineLevel="1">
      <c r="A765" s="96">
        <v>45861</v>
      </c>
      <c r="B765" s="17" t="s">
        <v>20</v>
      </c>
      <c r="C765" s="18">
        <f t="shared" ref="C765" si="128">AA767</f>
        <v>54</v>
      </c>
      <c r="D765" s="23"/>
      <c r="E765" s="23">
        <f t="shared" si="119"/>
        <v>-3898</v>
      </c>
      <c r="G765" s="19"/>
      <c r="H765" s="62"/>
      <c r="I765" s="20"/>
      <c r="J765" s="21"/>
      <c r="K765" s="42"/>
      <c r="L765" s="23"/>
      <c r="M765" s="23"/>
      <c r="N765" s="23"/>
      <c r="O765" s="23"/>
      <c r="Q765" s="19"/>
      <c r="R765" s="62"/>
      <c r="S765" s="20"/>
      <c r="T765" s="21"/>
      <c r="U765" s="42"/>
      <c r="V765" s="23">
        <f t="shared" si="120"/>
        <v>1</v>
      </c>
      <c r="W765" s="23">
        <f t="shared" si="121"/>
        <v>1</v>
      </c>
      <c r="X765" s="23"/>
      <c r="Y765" s="23"/>
      <c r="AA765" s="78">
        <v>60</v>
      </c>
      <c r="AB765" s="62">
        <f t="shared" ref="AB765:AB767" si="129">IF(C763&lt;&gt;"",C763+AC765,IF(C761&lt;&gt;"",C761+AC765,IF(C760&lt;&gt;"",C760+AC765,IF(C759&lt;&gt;"",C759+AC765,IF(C758&lt;&gt;"",C758+AC765,IF(C757&lt;&gt;"",C757+AC765))))))</f>
        <v>60</v>
      </c>
      <c r="AC765" s="20"/>
      <c r="AD765" s="21"/>
      <c r="AE765" s="57">
        <v>60</v>
      </c>
      <c r="AF765" s="23">
        <f t="shared" si="122"/>
        <v>0</v>
      </c>
      <c r="AG765" s="23">
        <f t="shared" si="123"/>
        <v>0</v>
      </c>
      <c r="AH765" s="23"/>
      <c r="AI765" s="23">
        <v>14</v>
      </c>
    </row>
    <row r="766" spans="1:37" hidden="1" outlineLevel="1">
      <c r="A766" s="96">
        <v>45862</v>
      </c>
      <c r="B766" s="17" t="s">
        <v>14</v>
      </c>
      <c r="C766" s="18">
        <f>AA770</f>
        <v>69</v>
      </c>
      <c r="D766" s="23"/>
      <c r="E766" s="23">
        <f t="shared" si="119"/>
        <v>-3967</v>
      </c>
      <c r="G766" s="19"/>
      <c r="H766" s="62"/>
      <c r="I766" s="20"/>
      <c r="J766" s="21"/>
      <c r="K766" s="42"/>
      <c r="L766" s="23"/>
      <c r="M766" s="23"/>
      <c r="N766" s="23"/>
      <c r="O766" s="23"/>
      <c r="Q766" s="19"/>
      <c r="R766" s="62"/>
      <c r="S766" s="20"/>
      <c r="T766" s="21"/>
      <c r="U766" s="42"/>
      <c r="V766" s="23">
        <f t="shared" si="120"/>
        <v>1</v>
      </c>
      <c r="W766" s="23">
        <f t="shared" si="121"/>
        <v>1</v>
      </c>
      <c r="X766" s="23"/>
      <c r="Y766" s="23"/>
      <c r="AA766" s="78">
        <v>75</v>
      </c>
      <c r="AB766" s="62">
        <f t="shared" si="129"/>
        <v>75</v>
      </c>
      <c r="AC766" s="20"/>
      <c r="AD766" s="21"/>
      <c r="AE766" s="57">
        <v>75</v>
      </c>
      <c r="AF766" s="23">
        <f t="shared" si="122"/>
        <v>0</v>
      </c>
      <c r="AG766" s="23">
        <f t="shared" si="123"/>
        <v>0</v>
      </c>
      <c r="AH766" s="23"/>
      <c r="AI766" s="23">
        <v>12</v>
      </c>
    </row>
    <row r="767" spans="1:37" hidden="1" outlineLevel="1">
      <c r="A767" s="96">
        <v>45863</v>
      </c>
      <c r="B767" s="17" t="s">
        <v>15</v>
      </c>
      <c r="C767" s="18">
        <f>AA771</f>
        <v>69</v>
      </c>
      <c r="D767" s="23"/>
      <c r="E767" s="23">
        <f t="shared" si="119"/>
        <v>-4036</v>
      </c>
      <c r="G767" s="19"/>
      <c r="H767" s="62"/>
      <c r="I767" s="20"/>
      <c r="J767" s="21"/>
      <c r="K767" s="42"/>
      <c r="L767" s="23"/>
      <c r="M767" s="23"/>
      <c r="N767" s="23"/>
      <c r="O767" s="23"/>
      <c r="Q767" s="19"/>
      <c r="R767" s="62"/>
      <c r="S767" s="20"/>
      <c r="T767" s="21"/>
      <c r="U767" s="42"/>
      <c r="V767" s="23">
        <f t="shared" si="120"/>
        <v>1</v>
      </c>
      <c r="W767" s="23">
        <f t="shared" si="121"/>
        <v>1</v>
      </c>
      <c r="X767" s="23"/>
      <c r="Y767" s="23"/>
      <c r="AA767" s="78">
        <v>54</v>
      </c>
      <c r="AB767" s="62">
        <f t="shared" si="129"/>
        <v>54</v>
      </c>
      <c r="AC767" s="20"/>
      <c r="AD767" s="21"/>
      <c r="AE767" s="57">
        <v>54</v>
      </c>
      <c r="AF767" s="23">
        <f t="shared" si="122"/>
        <v>0</v>
      </c>
      <c r="AG767" s="23">
        <f t="shared" si="123"/>
        <v>0</v>
      </c>
      <c r="AH767" s="23"/>
      <c r="AI767" s="23">
        <v>12</v>
      </c>
      <c r="AK767" s="1">
        <f>AVERAGE(AA763:AA767)</f>
        <v>65.25</v>
      </c>
    </row>
    <row r="768" spans="1:37" s="12" customFormat="1" hidden="1" outlineLevel="1">
      <c r="A768" s="95">
        <v>45864</v>
      </c>
      <c r="B768" s="25" t="s">
        <v>16</v>
      </c>
      <c r="C768" s="26"/>
      <c r="D768" s="29"/>
      <c r="E768" s="29">
        <f t="shared" si="119"/>
        <v>-4036</v>
      </c>
      <c r="G768" s="64"/>
      <c r="H768" s="63"/>
      <c r="I768" s="27"/>
      <c r="J768" s="28"/>
      <c r="K768" s="43"/>
      <c r="L768" s="29"/>
      <c r="M768" s="29"/>
      <c r="N768" s="29"/>
      <c r="O768" s="29"/>
      <c r="Q768" s="64"/>
      <c r="R768" s="63"/>
      <c r="S768" s="27"/>
      <c r="T768" s="28"/>
      <c r="U768" s="43"/>
      <c r="V768" s="29">
        <f t="shared" si="120"/>
        <v>1</v>
      </c>
      <c r="W768" s="29">
        <f t="shared" si="121"/>
        <v>1</v>
      </c>
      <c r="X768" s="29"/>
      <c r="Y768" s="29"/>
      <c r="AA768" s="79"/>
      <c r="AB768" s="63"/>
      <c r="AC768" s="27"/>
      <c r="AD768" s="28"/>
      <c r="AE768" s="43"/>
      <c r="AF768" s="29">
        <f t="shared" si="122"/>
        <v>0</v>
      </c>
      <c r="AG768" s="29">
        <f t="shared" si="123"/>
        <v>0</v>
      </c>
      <c r="AH768" s="29"/>
      <c r="AI768" s="29"/>
      <c r="AJ768" s="11"/>
    </row>
    <row r="769" spans="1:37" s="12" customFormat="1" hidden="1" outlineLevel="1" collapsed="1">
      <c r="A769" s="95">
        <v>45865</v>
      </c>
      <c r="B769" s="25" t="s">
        <v>17</v>
      </c>
      <c r="C769" s="26"/>
      <c r="D769" s="29"/>
      <c r="E769" s="29">
        <f t="shared" si="119"/>
        <v>-4036</v>
      </c>
      <c r="G769" s="64"/>
      <c r="H769" s="63"/>
      <c r="I769" s="27"/>
      <c r="J769" s="28"/>
      <c r="K769" s="43"/>
      <c r="L769" s="29"/>
      <c r="M769" s="29"/>
      <c r="N769" s="29"/>
      <c r="O769" s="29"/>
      <c r="Q769" s="64"/>
      <c r="R769" s="63"/>
      <c r="S769" s="27"/>
      <c r="T769" s="28"/>
      <c r="U769" s="43"/>
      <c r="V769" s="29">
        <f t="shared" si="120"/>
        <v>1</v>
      </c>
      <c r="W769" s="29">
        <f t="shared" si="121"/>
        <v>1</v>
      </c>
      <c r="X769" s="29"/>
      <c r="Y769" s="29"/>
      <c r="AA769" s="79"/>
      <c r="AB769" s="63"/>
      <c r="AC769" s="27"/>
      <c r="AD769" s="28"/>
      <c r="AE769" s="43"/>
      <c r="AF769" s="29">
        <f t="shared" si="122"/>
        <v>0</v>
      </c>
      <c r="AG769" s="29">
        <f t="shared" si="123"/>
        <v>0</v>
      </c>
      <c r="AH769" s="29"/>
      <c r="AI769" s="29"/>
      <c r="AJ769" s="11"/>
    </row>
    <row r="770" spans="1:37" hidden="1" outlineLevel="1">
      <c r="A770" s="96">
        <v>45866</v>
      </c>
      <c r="B770" s="17" t="s">
        <v>18</v>
      </c>
      <c r="C770" s="18">
        <f>AA772</f>
        <v>54</v>
      </c>
      <c r="D770" s="23"/>
      <c r="E770" s="23">
        <f t="shared" si="119"/>
        <v>-4090</v>
      </c>
      <c r="G770" s="19"/>
      <c r="H770" s="62"/>
      <c r="I770" s="20"/>
      <c r="J770" s="21"/>
      <c r="K770" s="42"/>
      <c r="L770" s="23"/>
      <c r="M770" s="23"/>
      <c r="N770" s="23"/>
      <c r="O770" s="23"/>
      <c r="Q770" s="19"/>
      <c r="R770" s="62"/>
      <c r="S770" s="20"/>
      <c r="T770" s="21"/>
      <c r="U770" s="42"/>
      <c r="V770" s="23">
        <f t="shared" si="120"/>
        <v>1</v>
      </c>
      <c r="W770" s="23">
        <f t="shared" si="121"/>
        <v>1</v>
      </c>
      <c r="X770" s="23"/>
      <c r="Y770" s="23"/>
      <c r="AA770" s="78">
        <v>69</v>
      </c>
      <c r="AB770" s="62">
        <f t="shared" ref="AB770:AB774" si="130">IF(C768&lt;&gt;"",C768+AC770,IF(C766&lt;&gt;"",C766+AC770,IF(C765&lt;&gt;"",C765+AC770,IF(C764&lt;&gt;"",C764+AC770,IF(C763&lt;&gt;"",C763+AC770,IF(C762&lt;&gt;"",C762+AC770))))))</f>
        <v>69</v>
      </c>
      <c r="AC770" s="20"/>
      <c r="AD770" s="21"/>
      <c r="AE770" s="57">
        <v>69</v>
      </c>
      <c r="AF770" s="23">
        <f t="shared" si="122"/>
        <v>0</v>
      </c>
      <c r="AG770" s="23">
        <f t="shared" si="123"/>
        <v>0</v>
      </c>
      <c r="AH770" s="23"/>
      <c r="AI770" s="23">
        <v>10</v>
      </c>
    </row>
    <row r="771" spans="1:37" hidden="1" outlineLevel="1">
      <c r="A771" s="96">
        <v>45867</v>
      </c>
      <c r="B771" s="17" t="s">
        <v>19</v>
      </c>
      <c r="C771" s="18">
        <f t="shared" ref="C771:C772" si="131">AA773</f>
        <v>69</v>
      </c>
      <c r="D771" s="23"/>
      <c r="E771" s="23">
        <f t="shared" si="119"/>
        <v>-4159</v>
      </c>
      <c r="G771" s="19"/>
      <c r="H771" s="62"/>
      <c r="I771" s="20"/>
      <c r="J771" s="21"/>
      <c r="K771" s="42"/>
      <c r="L771" s="23"/>
      <c r="M771" s="23"/>
      <c r="N771" s="23"/>
      <c r="O771" s="23"/>
      <c r="Q771" s="19"/>
      <c r="R771" s="62"/>
      <c r="S771" s="20"/>
      <c r="T771" s="21"/>
      <c r="U771" s="42"/>
      <c r="V771" s="23">
        <f t="shared" si="120"/>
        <v>1</v>
      </c>
      <c r="W771" s="23">
        <f t="shared" si="121"/>
        <v>1</v>
      </c>
      <c r="X771" s="23"/>
      <c r="Y771" s="23"/>
      <c r="AA771" s="78">
        <v>69</v>
      </c>
      <c r="AB771" s="62">
        <f t="shared" si="130"/>
        <v>69</v>
      </c>
      <c r="AC771" s="20"/>
      <c r="AD771" s="21"/>
      <c r="AE771" s="57">
        <v>69</v>
      </c>
      <c r="AF771" s="23">
        <f t="shared" si="122"/>
        <v>0</v>
      </c>
      <c r="AG771" s="23">
        <f t="shared" si="123"/>
        <v>0</v>
      </c>
      <c r="AH771" s="23"/>
      <c r="AI771" s="23">
        <v>12</v>
      </c>
    </row>
    <row r="772" spans="1:37" hidden="1" outlineLevel="1">
      <c r="A772" s="96">
        <v>45868</v>
      </c>
      <c r="B772" s="17" t="s">
        <v>20</v>
      </c>
      <c r="C772" s="18">
        <f t="shared" si="131"/>
        <v>54</v>
      </c>
      <c r="D772" s="23"/>
      <c r="E772" s="23">
        <f t="shared" si="119"/>
        <v>-4213</v>
      </c>
      <c r="G772" s="19"/>
      <c r="H772" s="62"/>
      <c r="I772" s="20"/>
      <c r="J772" s="21"/>
      <c r="K772" s="42"/>
      <c r="L772" s="23"/>
      <c r="M772" s="23"/>
      <c r="N772" s="23"/>
      <c r="O772" s="23"/>
      <c r="Q772" s="19"/>
      <c r="R772" s="62"/>
      <c r="S772" s="20"/>
      <c r="T772" s="21"/>
      <c r="U772" s="42"/>
      <c r="V772" s="23">
        <f t="shared" si="120"/>
        <v>1</v>
      </c>
      <c r="W772" s="23">
        <f t="shared" si="121"/>
        <v>1</v>
      </c>
      <c r="X772" s="23"/>
      <c r="Y772" s="23"/>
      <c r="AA772" s="78">
        <v>54</v>
      </c>
      <c r="AB772" s="62">
        <f t="shared" si="130"/>
        <v>54</v>
      </c>
      <c r="AC772" s="20"/>
      <c r="AD772" s="21"/>
      <c r="AE772" s="57">
        <v>54</v>
      </c>
      <c r="AF772" s="23">
        <f t="shared" si="122"/>
        <v>0</v>
      </c>
      <c r="AG772" s="23">
        <f t="shared" si="123"/>
        <v>0</v>
      </c>
      <c r="AH772" s="23"/>
      <c r="AI772" s="23">
        <v>12</v>
      </c>
    </row>
    <row r="773" spans="1:37" hidden="1" outlineLevel="1">
      <c r="A773" s="96">
        <v>45869</v>
      </c>
      <c r="B773" s="17" t="s">
        <v>14</v>
      </c>
      <c r="C773" s="18">
        <f>AA777</f>
        <v>57</v>
      </c>
      <c r="D773" s="23"/>
      <c r="E773" s="23">
        <f t="shared" si="119"/>
        <v>-4270</v>
      </c>
      <c r="G773" s="19"/>
      <c r="H773" s="62"/>
      <c r="I773" s="20"/>
      <c r="J773" s="21"/>
      <c r="K773" s="42"/>
      <c r="L773" s="23"/>
      <c r="M773" s="23"/>
      <c r="N773" s="23"/>
      <c r="O773" s="23"/>
      <c r="Q773" s="19"/>
      <c r="R773" s="62"/>
      <c r="S773" s="20"/>
      <c r="T773" s="21"/>
      <c r="U773" s="42"/>
      <c r="V773" s="23">
        <f t="shared" si="120"/>
        <v>1</v>
      </c>
      <c r="W773" s="23">
        <f t="shared" si="121"/>
        <v>1</v>
      </c>
      <c r="X773" s="23"/>
      <c r="Y773" s="23"/>
      <c r="AA773" s="78">
        <v>69</v>
      </c>
      <c r="AB773" s="62">
        <f t="shared" si="130"/>
        <v>69</v>
      </c>
      <c r="AC773" s="20"/>
      <c r="AD773" s="21"/>
      <c r="AE773" s="57">
        <v>69</v>
      </c>
      <c r="AF773" s="23">
        <f t="shared" si="122"/>
        <v>0</v>
      </c>
      <c r="AG773" s="23">
        <f t="shared" si="123"/>
        <v>0</v>
      </c>
      <c r="AH773" s="23"/>
      <c r="AI773" s="23">
        <v>9</v>
      </c>
    </row>
    <row r="774" spans="1:37" hidden="1" outlineLevel="1">
      <c r="A774" s="96">
        <v>45870</v>
      </c>
      <c r="B774" s="17" t="s">
        <v>15</v>
      </c>
      <c r="C774" s="18">
        <f>AA778</f>
        <v>69</v>
      </c>
      <c r="D774" s="23"/>
      <c r="E774" s="23">
        <f t="shared" si="119"/>
        <v>-4339</v>
      </c>
      <c r="G774" s="19"/>
      <c r="H774" s="62"/>
      <c r="I774" s="20"/>
      <c r="J774" s="21"/>
      <c r="K774" s="42"/>
      <c r="L774" s="23"/>
      <c r="M774" s="23"/>
      <c r="N774" s="23"/>
      <c r="O774" s="23"/>
      <c r="Q774" s="19"/>
      <c r="R774" s="62"/>
      <c r="S774" s="20"/>
      <c r="T774" s="21"/>
      <c r="U774" s="42"/>
      <c r="V774" s="23">
        <f t="shared" si="120"/>
        <v>1</v>
      </c>
      <c r="W774" s="23">
        <f t="shared" si="121"/>
        <v>1</v>
      </c>
      <c r="X774" s="23"/>
      <c r="Y774" s="23"/>
      <c r="AA774" s="78">
        <v>54</v>
      </c>
      <c r="AB774" s="62">
        <f t="shared" si="130"/>
        <v>54</v>
      </c>
      <c r="AC774" s="20"/>
      <c r="AD774" s="21"/>
      <c r="AE774" s="57">
        <v>54</v>
      </c>
      <c r="AF774" s="23">
        <f t="shared" si="122"/>
        <v>0</v>
      </c>
      <c r="AG774" s="23">
        <f t="shared" si="123"/>
        <v>0</v>
      </c>
      <c r="AH774" s="23"/>
      <c r="AI774" s="23">
        <v>12</v>
      </c>
      <c r="AK774" s="1">
        <f>AVERAGE(AA770:AA774)</f>
        <v>63</v>
      </c>
    </row>
    <row r="775" spans="1:37" s="12" customFormat="1" hidden="1" outlineLevel="1">
      <c r="A775" s="95">
        <v>45871</v>
      </c>
      <c r="B775" s="25" t="s">
        <v>16</v>
      </c>
      <c r="C775" s="26"/>
      <c r="D775" s="29"/>
      <c r="E775" s="29">
        <f t="shared" si="119"/>
        <v>-4339</v>
      </c>
      <c r="G775" s="64"/>
      <c r="H775" s="63"/>
      <c r="I775" s="27"/>
      <c r="J775" s="28"/>
      <c r="K775" s="43"/>
      <c r="L775" s="29"/>
      <c r="M775" s="29"/>
      <c r="N775" s="29"/>
      <c r="O775" s="29"/>
      <c r="Q775" s="64"/>
      <c r="R775" s="63"/>
      <c r="S775" s="27"/>
      <c r="T775" s="28"/>
      <c r="U775" s="43"/>
      <c r="V775" s="29">
        <f t="shared" si="120"/>
        <v>1</v>
      </c>
      <c r="W775" s="29">
        <f t="shared" si="121"/>
        <v>1</v>
      </c>
      <c r="X775" s="29"/>
      <c r="Y775" s="29"/>
      <c r="AA775" s="79"/>
      <c r="AB775" s="63"/>
      <c r="AC775" s="27"/>
      <c r="AD775" s="28"/>
      <c r="AE775" s="43"/>
      <c r="AF775" s="29">
        <f t="shared" si="122"/>
        <v>0</v>
      </c>
      <c r="AG775" s="29">
        <f t="shared" si="123"/>
        <v>0</v>
      </c>
      <c r="AH775" s="29"/>
      <c r="AI775" s="29"/>
      <c r="AJ775" s="11"/>
    </row>
    <row r="776" spans="1:37" s="12" customFormat="1" hidden="1" outlineLevel="1" collapsed="1">
      <c r="A776" s="95">
        <v>45872</v>
      </c>
      <c r="B776" s="25" t="s">
        <v>17</v>
      </c>
      <c r="C776" s="26"/>
      <c r="D776" s="29"/>
      <c r="E776" s="29">
        <f t="shared" si="119"/>
        <v>-4339</v>
      </c>
      <c r="G776" s="64"/>
      <c r="H776" s="63"/>
      <c r="I776" s="27"/>
      <c r="J776" s="28"/>
      <c r="K776" s="43"/>
      <c r="L776" s="29"/>
      <c r="M776" s="29"/>
      <c r="N776" s="29"/>
      <c r="O776" s="29"/>
      <c r="Q776" s="64"/>
      <c r="R776" s="63"/>
      <c r="S776" s="27"/>
      <c r="T776" s="28"/>
      <c r="U776" s="43"/>
      <c r="V776" s="29">
        <f t="shared" si="120"/>
        <v>1</v>
      </c>
      <c r="W776" s="29">
        <f t="shared" si="121"/>
        <v>1</v>
      </c>
      <c r="X776" s="29"/>
      <c r="Y776" s="29"/>
      <c r="AA776" s="79"/>
      <c r="AB776" s="63"/>
      <c r="AC776" s="27"/>
      <c r="AD776" s="28"/>
      <c r="AE776" s="43"/>
      <c r="AF776" s="29">
        <f t="shared" si="122"/>
        <v>0</v>
      </c>
      <c r="AG776" s="29">
        <f t="shared" si="123"/>
        <v>0</v>
      </c>
      <c r="AH776" s="29"/>
      <c r="AI776" s="29"/>
      <c r="AJ776" s="11"/>
    </row>
    <row r="777" spans="1:37" hidden="1" outlineLevel="1">
      <c r="A777" s="96">
        <v>45873</v>
      </c>
      <c r="B777" s="17" t="s">
        <v>18</v>
      </c>
      <c r="C777" s="18">
        <f>AA779</f>
        <v>57</v>
      </c>
      <c r="D777" s="23"/>
      <c r="E777" s="23">
        <f t="shared" si="119"/>
        <v>-4396</v>
      </c>
      <c r="G777" s="19"/>
      <c r="H777" s="62"/>
      <c r="I777" s="20"/>
      <c r="J777" s="21"/>
      <c r="K777" s="42"/>
      <c r="L777" s="23"/>
      <c r="M777" s="23"/>
      <c r="N777" s="23"/>
      <c r="O777" s="23"/>
      <c r="Q777" s="19"/>
      <c r="R777" s="62"/>
      <c r="S777" s="20"/>
      <c r="T777" s="21"/>
      <c r="U777" s="42"/>
      <c r="V777" s="23">
        <f t="shared" si="120"/>
        <v>1</v>
      </c>
      <c r="W777" s="23">
        <f t="shared" si="121"/>
        <v>1</v>
      </c>
      <c r="X777" s="23"/>
      <c r="Y777" s="23"/>
      <c r="AA777" s="78">
        <v>57</v>
      </c>
      <c r="AB777" s="62">
        <f t="shared" ref="AB777:AB781" si="132">IF(C775&lt;&gt;"",C775+AC777,IF(C773&lt;&gt;"",C773+AC777,IF(C772&lt;&gt;"",C772+AC777,IF(C771&lt;&gt;"",C771+AC777,IF(C770&lt;&gt;"",C770+AC777,IF(C769&lt;&gt;"",C769+AC777))))))</f>
        <v>57</v>
      </c>
      <c r="AC777" s="20"/>
      <c r="AD777" s="21"/>
      <c r="AE777" s="57">
        <v>57</v>
      </c>
      <c r="AF777" s="23">
        <f t="shared" si="122"/>
        <v>0</v>
      </c>
      <c r="AG777" s="23">
        <f t="shared" si="123"/>
        <v>0</v>
      </c>
      <c r="AH777" s="23"/>
      <c r="AI777" s="23">
        <v>8</v>
      </c>
    </row>
    <row r="778" spans="1:37" hidden="1" outlineLevel="1">
      <c r="A778" s="96">
        <v>45874</v>
      </c>
      <c r="B778" s="17" t="s">
        <v>19</v>
      </c>
      <c r="C778" s="18">
        <f t="shared" ref="C778:C779" si="133">AA780</f>
        <v>72</v>
      </c>
      <c r="D778" s="23"/>
      <c r="E778" s="23">
        <f t="shared" si="119"/>
        <v>-4468</v>
      </c>
      <c r="G778" s="19"/>
      <c r="H778" s="62"/>
      <c r="I778" s="20"/>
      <c r="J778" s="21"/>
      <c r="K778" s="42"/>
      <c r="L778" s="23"/>
      <c r="M778" s="23"/>
      <c r="N778" s="23"/>
      <c r="O778" s="23"/>
      <c r="Q778" s="19"/>
      <c r="R778" s="62"/>
      <c r="S778" s="20"/>
      <c r="T778" s="21"/>
      <c r="U778" s="42"/>
      <c r="V778" s="23">
        <f t="shared" si="120"/>
        <v>1</v>
      </c>
      <c r="W778" s="23">
        <f t="shared" si="121"/>
        <v>1</v>
      </c>
      <c r="X778" s="23"/>
      <c r="Y778" s="23"/>
      <c r="AA778" s="78">
        <v>69</v>
      </c>
      <c r="AB778" s="62">
        <f t="shared" si="132"/>
        <v>69</v>
      </c>
      <c r="AC778" s="20"/>
      <c r="AD778" s="21"/>
      <c r="AE778" s="57">
        <v>69</v>
      </c>
      <c r="AF778" s="23">
        <f t="shared" si="122"/>
        <v>0</v>
      </c>
      <c r="AG778" s="23">
        <f t="shared" si="123"/>
        <v>0</v>
      </c>
      <c r="AH778" s="23"/>
      <c r="AI778" s="23">
        <v>11</v>
      </c>
    </row>
    <row r="779" spans="1:37" hidden="1" outlineLevel="1">
      <c r="A779" s="96">
        <v>45875</v>
      </c>
      <c r="B779" s="17" t="s">
        <v>20</v>
      </c>
      <c r="C779" s="18">
        <f t="shared" si="133"/>
        <v>54</v>
      </c>
      <c r="D779" s="23"/>
      <c r="E779" s="23">
        <f t="shared" si="119"/>
        <v>-4522</v>
      </c>
      <c r="G779" s="19"/>
      <c r="H779" s="62"/>
      <c r="I779" s="20"/>
      <c r="J779" s="21"/>
      <c r="K779" s="42"/>
      <c r="L779" s="23"/>
      <c r="M779" s="23"/>
      <c r="N779" s="23"/>
      <c r="O779" s="23"/>
      <c r="Q779" s="19"/>
      <c r="R779" s="62"/>
      <c r="S779" s="20"/>
      <c r="T779" s="21"/>
      <c r="U779" s="42"/>
      <c r="V779" s="23">
        <f t="shared" si="120"/>
        <v>1</v>
      </c>
      <c r="W779" s="23">
        <f t="shared" si="121"/>
        <v>1</v>
      </c>
      <c r="X779" s="23"/>
      <c r="Y779" s="23"/>
      <c r="AA779" s="78">
        <v>57</v>
      </c>
      <c r="AB779" s="62">
        <f t="shared" si="132"/>
        <v>57</v>
      </c>
      <c r="AC779" s="20"/>
      <c r="AD779" s="21"/>
      <c r="AE779" s="57">
        <v>57</v>
      </c>
      <c r="AF779" s="23">
        <f t="shared" si="122"/>
        <v>0</v>
      </c>
      <c r="AG779" s="23">
        <f t="shared" si="123"/>
        <v>0</v>
      </c>
      <c r="AH779" s="23"/>
      <c r="AI779" s="23">
        <v>12</v>
      </c>
    </row>
    <row r="780" spans="1:37" hidden="1" outlineLevel="1">
      <c r="A780" s="96">
        <v>45876</v>
      </c>
      <c r="B780" s="17" t="s">
        <v>14</v>
      </c>
      <c r="C780" s="18">
        <f>AA791</f>
        <v>75</v>
      </c>
      <c r="D780" s="23"/>
      <c r="E780" s="23">
        <f t="shared" ref="E780:E811" si="134">E779-C780+D780</f>
        <v>-4597</v>
      </c>
      <c r="G780" s="19"/>
      <c r="H780" s="62"/>
      <c r="I780" s="20"/>
      <c r="J780" s="21"/>
      <c r="K780" s="42"/>
      <c r="L780" s="23"/>
      <c r="M780" s="23"/>
      <c r="N780" s="23"/>
      <c r="O780" s="23"/>
      <c r="Q780" s="19"/>
      <c r="R780" s="62"/>
      <c r="S780" s="20"/>
      <c r="T780" s="21"/>
      <c r="U780" s="42"/>
      <c r="V780" s="23">
        <f t="shared" ref="V780:V811" si="135">V779-Q780+U780</f>
        <v>1</v>
      </c>
      <c r="W780" s="23">
        <f t="shared" ref="W780:W811" si="136">W779-Q780+R780</f>
        <v>1</v>
      </c>
      <c r="X780" s="23"/>
      <c r="Y780" s="23"/>
      <c r="AA780" s="78">
        <v>72</v>
      </c>
      <c r="AB780" s="62">
        <f t="shared" si="132"/>
        <v>72</v>
      </c>
      <c r="AC780" s="20"/>
      <c r="AD780" s="21"/>
      <c r="AE780" s="57">
        <v>72</v>
      </c>
      <c r="AF780" s="23">
        <f t="shared" ref="AF780:AF811" si="137">AF779-AA780+AE780</f>
        <v>0</v>
      </c>
      <c r="AG780" s="23">
        <f t="shared" ref="AG780:AG811" si="138">AG779-AA780+AB780</f>
        <v>0</v>
      </c>
      <c r="AH780" s="23"/>
      <c r="AI780" s="23">
        <v>8</v>
      </c>
    </row>
    <row r="781" spans="1:37" hidden="1" outlineLevel="1">
      <c r="A781" s="96">
        <v>45877</v>
      </c>
      <c r="B781" s="17" t="s">
        <v>15</v>
      </c>
      <c r="C781" s="18">
        <f>AA792</f>
        <v>57</v>
      </c>
      <c r="D781" s="23"/>
      <c r="E781" s="23">
        <f t="shared" si="134"/>
        <v>-4654</v>
      </c>
      <c r="G781" s="19"/>
      <c r="H781" s="62"/>
      <c r="I781" s="20"/>
      <c r="J781" s="21"/>
      <c r="K781" s="42"/>
      <c r="L781" s="23"/>
      <c r="M781" s="23"/>
      <c r="N781" s="23"/>
      <c r="O781" s="23"/>
      <c r="Q781" s="19"/>
      <c r="R781" s="62"/>
      <c r="S781" s="20"/>
      <c r="T781" s="21"/>
      <c r="U781" s="42"/>
      <c r="V781" s="23">
        <f t="shared" si="135"/>
        <v>1</v>
      </c>
      <c r="W781" s="23">
        <f t="shared" si="136"/>
        <v>1</v>
      </c>
      <c r="X781" s="23"/>
      <c r="Y781" s="23"/>
      <c r="AA781" s="78">
        <v>54</v>
      </c>
      <c r="AB781" s="62">
        <f t="shared" si="132"/>
        <v>54</v>
      </c>
      <c r="AC781" s="20"/>
      <c r="AD781" s="21"/>
      <c r="AE781" s="57">
        <v>54</v>
      </c>
      <c r="AF781" s="23">
        <f t="shared" si="137"/>
        <v>0</v>
      </c>
      <c r="AG781" s="23">
        <f t="shared" si="138"/>
        <v>0</v>
      </c>
      <c r="AH781" s="23"/>
      <c r="AI781" s="23">
        <v>10</v>
      </c>
      <c r="AK781" s="1">
        <f>AVERAGE(AA777:AA781)</f>
        <v>61.8</v>
      </c>
    </row>
    <row r="782" spans="1:37" s="12" customFormat="1" hidden="1" outlineLevel="1">
      <c r="A782" s="95">
        <v>45878</v>
      </c>
      <c r="B782" s="25" t="s">
        <v>16</v>
      </c>
      <c r="C782" s="26"/>
      <c r="D782" s="29"/>
      <c r="E782" s="29">
        <f t="shared" si="134"/>
        <v>-4654</v>
      </c>
      <c r="G782" s="64"/>
      <c r="H782" s="63"/>
      <c r="I782" s="27"/>
      <c r="J782" s="28"/>
      <c r="K782" s="43"/>
      <c r="L782" s="29"/>
      <c r="M782" s="29"/>
      <c r="N782" s="29"/>
      <c r="O782" s="29"/>
      <c r="Q782" s="64"/>
      <c r="R782" s="63"/>
      <c r="S782" s="27"/>
      <c r="T782" s="28"/>
      <c r="U782" s="43"/>
      <c r="V782" s="29">
        <f t="shared" si="135"/>
        <v>1</v>
      </c>
      <c r="W782" s="29">
        <f t="shared" si="136"/>
        <v>1</v>
      </c>
      <c r="X782" s="29"/>
      <c r="Y782" s="29"/>
      <c r="AA782" s="79"/>
      <c r="AB782" s="63"/>
      <c r="AC782" s="27"/>
      <c r="AD782" s="28"/>
      <c r="AE782" s="43"/>
      <c r="AF782" s="29">
        <f t="shared" si="137"/>
        <v>0</v>
      </c>
      <c r="AG782" s="29">
        <f t="shared" si="138"/>
        <v>0</v>
      </c>
      <c r="AH782" s="29"/>
      <c r="AI782" s="29"/>
      <c r="AJ782" s="11"/>
    </row>
    <row r="783" spans="1:37" s="12" customFormat="1" hidden="1" outlineLevel="1">
      <c r="A783" s="95">
        <v>45879</v>
      </c>
      <c r="B783" s="25" t="s">
        <v>17</v>
      </c>
      <c r="C783" s="26"/>
      <c r="D783" s="29"/>
      <c r="E783" s="29">
        <f t="shared" si="134"/>
        <v>-4654</v>
      </c>
      <c r="G783" s="64"/>
      <c r="H783" s="63"/>
      <c r="I783" s="27"/>
      <c r="J783" s="28"/>
      <c r="K783" s="43"/>
      <c r="L783" s="29"/>
      <c r="M783" s="29"/>
      <c r="N783" s="29"/>
      <c r="O783" s="29"/>
      <c r="Q783" s="64"/>
      <c r="R783" s="63"/>
      <c r="S783" s="27"/>
      <c r="T783" s="28"/>
      <c r="U783" s="43"/>
      <c r="V783" s="29">
        <f t="shared" si="135"/>
        <v>1</v>
      </c>
      <c r="W783" s="29">
        <f t="shared" si="136"/>
        <v>1</v>
      </c>
      <c r="X783" s="29"/>
      <c r="Y783" s="29"/>
      <c r="AA783" s="79"/>
      <c r="AB783" s="63"/>
      <c r="AC783" s="27"/>
      <c r="AD783" s="28"/>
      <c r="AE783" s="43"/>
      <c r="AF783" s="29">
        <f t="shared" si="137"/>
        <v>0</v>
      </c>
      <c r="AG783" s="29">
        <f t="shared" si="138"/>
        <v>0</v>
      </c>
      <c r="AH783" s="29"/>
      <c r="AI783" s="29"/>
      <c r="AJ783" s="11"/>
    </row>
    <row r="784" spans="1:37" s="12" customFormat="1" hidden="1" outlineLevel="1">
      <c r="A784" s="95">
        <v>45880</v>
      </c>
      <c r="B784" s="25" t="s">
        <v>18</v>
      </c>
      <c r="C784" s="26"/>
      <c r="D784" s="29"/>
      <c r="E784" s="29">
        <f t="shared" si="134"/>
        <v>-4654</v>
      </c>
      <c r="G784" s="64"/>
      <c r="H784" s="63"/>
      <c r="I784" s="27"/>
      <c r="J784" s="28"/>
      <c r="K784" s="43"/>
      <c r="L784" s="29"/>
      <c r="M784" s="29"/>
      <c r="N784" s="29"/>
      <c r="O784" s="29"/>
      <c r="Q784" s="64"/>
      <c r="R784" s="63"/>
      <c r="S784" s="27"/>
      <c r="T784" s="28"/>
      <c r="U784" s="43"/>
      <c r="V784" s="29">
        <f t="shared" si="135"/>
        <v>1</v>
      </c>
      <c r="W784" s="29">
        <f t="shared" si="136"/>
        <v>1</v>
      </c>
      <c r="X784" s="29"/>
      <c r="Y784" s="29"/>
      <c r="AA784" s="79"/>
      <c r="AB784" s="63"/>
      <c r="AC784" s="27"/>
      <c r="AD784" s="28"/>
      <c r="AE784" s="43"/>
      <c r="AF784" s="29">
        <f t="shared" si="137"/>
        <v>0</v>
      </c>
      <c r="AG784" s="29">
        <f t="shared" si="138"/>
        <v>0</v>
      </c>
      <c r="AH784" s="29"/>
      <c r="AI784" s="29"/>
      <c r="AJ784" s="11"/>
    </row>
    <row r="785" spans="1:37" s="12" customFormat="1" hidden="1" outlineLevel="1">
      <c r="A785" s="95">
        <v>45881</v>
      </c>
      <c r="B785" s="25" t="s">
        <v>19</v>
      </c>
      <c r="C785" s="26"/>
      <c r="D785" s="29"/>
      <c r="E785" s="29">
        <f t="shared" si="134"/>
        <v>-4654</v>
      </c>
      <c r="G785" s="64"/>
      <c r="H785" s="63"/>
      <c r="I785" s="27"/>
      <c r="J785" s="28"/>
      <c r="K785" s="43"/>
      <c r="L785" s="29"/>
      <c r="M785" s="29"/>
      <c r="N785" s="29"/>
      <c r="O785" s="29"/>
      <c r="Q785" s="64"/>
      <c r="R785" s="63"/>
      <c r="S785" s="27"/>
      <c r="T785" s="28"/>
      <c r="U785" s="43"/>
      <c r="V785" s="29">
        <f t="shared" si="135"/>
        <v>1</v>
      </c>
      <c r="W785" s="29">
        <f t="shared" si="136"/>
        <v>1</v>
      </c>
      <c r="X785" s="29"/>
      <c r="Y785" s="29"/>
      <c r="AA785" s="79"/>
      <c r="AB785" s="63"/>
      <c r="AC785" s="27"/>
      <c r="AD785" s="28"/>
      <c r="AE785" s="43"/>
      <c r="AF785" s="29">
        <f t="shared" si="137"/>
        <v>0</v>
      </c>
      <c r="AG785" s="29">
        <f t="shared" si="138"/>
        <v>0</v>
      </c>
      <c r="AH785" s="29"/>
      <c r="AI785" s="29"/>
      <c r="AJ785" s="11"/>
    </row>
    <row r="786" spans="1:37" s="12" customFormat="1" hidden="1" outlineLevel="1">
      <c r="A786" s="95">
        <v>45882</v>
      </c>
      <c r="B786" s="25" t="s">
        <v>20</v>
      </c>
      <c r="C786" s="26"/>
      <c r="D786" s="29"/>
      <c r="E786" s="29">
        <f t="shared" si="134"/>
        <v>-4654</v>
      </c>
      <c r="G786" s="64"/>
      <c r="H786" s="63"/>
      <c r="I786" s="27"/>
      <c r="J786" s="28"/>
      <c r="K786" s="43"/>
      <c r="L786" s="29"/>
      <c r="M786" s="29"/>
      <c r="N786" s="29"/>
      <c r="O786" s="29"/>
      <c r="Q786" s="64"/>
      <c r="R786" s="63"/>
      <c r="S786" s="27"/>
      <c r="T786" s="28"/>
      <c r="U786" s="43"/>
      <c r="V786" s="29">
        <f t="shared" si="135"/>
        <v>1</v>
      </c>
      <c r="W786" s="29">
        <f t="shared" si="136"/>
        <v>1</v>
      </c>
      <c r="X786" s="29"/>
      <c r="Y786" s="29"/>
      <c r="AA786" s="79"/>
      <c r="AB786" s="63"/>
      <c r="AC786" s="27"/>
      <c r="AD786" s="28"/>
      <c r="AE786" s="43"/>
      <c r="AF786" s="29">
        <f t="shared" si="137"/>
        <v>0</v>
      </c>
      <c r="AG786" s="29">
        <f t="shared" si="138"/>
        <v>0</v>
      </c>
      <c r="AH786" s="29"/>
      <c r="AI786" s="29"/>
      <c r="AJ786" s="11"/>
    </row>
    <row r="787" spans="1:37" s="12" customFormat="1" hidden="1" outlineLevel="1" collapsed="1">
      <c r="A787" s="95">
        <v>45883</v>
      </c>
      <c r="B787" s="25" t="s">
        <v>14</v>
      </c>
      <c r="C787" s="26"/>
      <c r="D787" s="29"/>
      <c r="E787" s="29">
        <f t="shared" si="134"/>
        <v>-4654</v>
      </c>
      <c r="G787" s="64"/>
      <c r="H787" s="63"/>
      <c r="I787" s="27"/>
      <c r="J787" s="28"/>
      <c r="K787" s="43"/>
      <c r="L787" s="29"/>
      <c r="M787" s="29"/>
      <c r="N787" s="29"/>
      <c r="O787" s="29"/>
      <c r="Q787" s="64"/>
      <c r="R787" s="63"/>
      <c r="S787" s="27"/>
      <c r="T787" s="28"/>
      <c r="U787" s="43"/>
      <c r="V787" s="29">
        <f t="shared" si="135"/>
        <v>1</v>
      </c>
      <c r="W787" s="29">
        <f t="shared" si="136"/>
        <v>1</v>
      </c>
      <c r="X787" s="29"/>
      <c r="Y787" s="29"/>
      <c r="AA787" s="79"/>
      <c r="AB787" s="63"/>
      <c r="AC787" s="27"/>
      <c r="AD787" s="28"/>
      <c r="AE787" s="43"/>
      <c r="AF787" s="29">
        <f t="shared" si="137"/>
        <v>0</v>
      </c>
      <c r="AG787" s="29">
        <f t="shared" si="138"/>
        <v>0</v>
      </c>
      <c r="AH787" s="29"/>
      <c r="AI787" s="29"/>
      <c r="AJ787" s="11"/>
    </row>
    <row r="788" spans="1:37" s="12" customFormat="1" hidden="1" outlineLevel="1">
      <c r="A788" s="95">
        <v>45884</v>
      </c>
      <c r="B788" s="25" t="s">
        <v>15</v>
      </c>
      <c r="C788" s="26"/>
      <c r="D788" s="29"/>
      <c r="E788" s="29">
        <f t="shared" si="134"/>
        <v>-4654</v>
      </c>
      <c r="G788" s="64"/>
      <c r="H788" s="63"/>
      <c r="I788" s="27"/>
      <c r="J788" s="28"/>
      <c r="K788" s="43"/>
      <c r="L788" s="29"/>
      <c r="M788" s="29"/>
      <c r="N788" s="29"/>
      <c r="O788" s="29"/>
      <c r="Q788" s="64"/>
      <c r="R788" s="63"/>
      <c r="S788" s="27"/>
      <c r="T788" s="28"/>
      <c r="U788" s="43"/>
      <c r="V788" s="29">
        <f t="shared" si="135"/>
        <v>1</v>
      </c>
      <c r="W788" s="29">
        <f t="shared" si="136"/>
        <v>1</v>
      </c>
      <c r="X788" s="29"/>
      <c r="Y788" s="29"/>
      <c r="AA788" s="79"/>
      <c r="AB788" s="63"/>
      <c r="AC788" s="27"/>
      <c r="AD788" s="28"/>
      <c r="AE788" s="43"/>
      <c r="AF788" s="29">
        <f t="shared" si="137"/>
        <v>0</v>
      </c>
      <c r="AG788" s="29">
        <f t="shared" si="138"/>
        <v>0</v>
      </c>
      <c r="AH788" s="29"/>
      <c r="AI788" s="29"/>
      <c r="AJ788" s="11"/>
    </row>
    <row r="789" spans="1:37" s="12" customFormat="1" hidden="1" outlineLevel="1">
      <c r="A789" s="95">
        <v>45885</v>
      </c>
      <c r="B789" s="25" t="s">
        <v>16</v>
      </c>
      <c r="C789" s="26"/>
      <c r="D789" s="29"/>
      <c r="E789" s="29">
        <f t="shared" si="134"/>
        <v>-4654</v>
      </c>
      <c r="G789" s="64"/>
      <c r="H789" s="63"/>
      <c r="I789" s="27"/>
      <c r="J789" s="28"/>
      <c r="K789" s="43"/>
      <c r="L789" s="29"/>
      <c r="M789" s="29"/>
      <c r="N789" s="29"/>
      <c r="O789" s="29"/>
      <c r="Q789" s="64"/>
      <c r="R789" s="63"/>
      <c r="S789" s="27"/>
      <c r="T789" s="28"/>
      <c r="U789" s="43"/>
      <c r="V789" s="29">
        <f t="shared" si="135"/>
        <v>1</v>
      </c>
      <c r="W789" s="29">
        <f t="shared" si="136"/>
        <v>1</v>
      </c>
      <c r="X789" s="29"/>
      <c r="Y789" s="29"/>
      <c r="AA789" s="79"/>
      <c r="AB789" s="63"/>
      <c r="AC789" s="27"/>
      <c r="AD789" s="28"/>
      <c r="AE789" s="43"/>
      <c r="AF789" s="29">
        <f t="shared" si="137"/>
        <v>0</v>
      </c>
      <c r="AG789" s="29">
        <f t="shared" si="138"/>
        <v>0</v>
      </c>
      <c r="AH789" s="29"/>
      <c r="AI789" s="29"/>
      <c r="AJ789" s="11"/>
    </row>
    <row r="790" spans="1:37" s="12" customFormat="1" hidden="1" outlineLevel="1">
      <c r="A790" s="95">
        <v>45886</v>
      </c>
      <c r="B790" s="25" t="s">
        <v>17</v>
      </c>
      <c r="C790" s="26"/>
      <c r="D790" s="29"/>
      <c r="E790" s="29">
        <f t="shared" si="134"/>
        <v>-4654</v>
      </c>
      <c r="G790" s="64"/>
      <c r="H790" s="63"/>
      <c r="I790" s="27"/>
      <c r="J790" s="28"/>
      <c r="K790" s="43"/>
      <c r="L790" s="29"/>
      <c r="M790" s="29"/>
      <c r="N790" s="29"/>
      <c r="O790" s="29"/>
      <c r="Q790" s="64"/>
      <c r="R790" s="63"/>
      <c r="S790" s="27"/>
      <c r="T790" s="28"/>
      <c r="U790" s="43"/>
      <c r="V790" s="29">
        <f t="shared" si="135"/>
        <v>1</v>
      </c>
      <c r="W790" s="29">
        <f t="shared" si="136"/>
        <v>1</v>
      </c>
      <c r="X790" s="29"/>
      <c r="Y790" s="29"/>
      <c r="AA790" s="79"/>
      <c r="AB790" s="63"/>
      <c r="AC790" s="27"/>
      <c r="AD790" s="28"/>
      <c r="AE790" s="43"/>
      <c r="AF790" s="29">
        <f t="shared" si="137"/>
        <v>0</v>
      </c>
      <c r="AG790" s="29">
        <f t="shared" si="138"/>
        <v>0</v>
      </c>
      <c r="AH790" s="29"/>
      <c r="AI790" s="29"/>
      <c r="AJ790" s="11"/>
    </row>
    <row r="791" spans="1:37" hidden="1" outlineLevel="1">
      <c r="A791" s="96">
        <v>45887</v>
      </c>
      <c r="B791" s="17" t="s">
        <v>18</v>
      </c>
      <c r="C791" s="18">
        <f>AA793</f>
        <v>59</v>
      </c>
      <c r="D791" s="23"/>
      <c r="E791" s="23">
        <f t="shared" si="134"/>
        <v>-4713</v>
      </c>
      <c r="G791" s="19"/>
      <c r="H791" s="62"/>
      <c r="I791" s="20"/>
      <c r="J791" s="21"/>
      <c r="K791" s="42"/>
      <c r="L791" s="23"/>
      <c r="M791" s="23"/>
      <c r="N791" s="23"/>
      <c r="O791" s="23"/>
      <c r="Q791" s="19"/>
      <c r="R791" s="62"/>
      <c r="S791" s="20"/>
      <c r="T791" s="21"/>
      <c r="U791" s="42"/>
      <c r="V791" s="23">
        <f t="shared" si="135"/>
        <v>1</v>
      </c>
      <c r="W791" s="23">
        <f t="shared" si="136"/>
        <v>1</v>
      </c>
      <c r="X791" s="23"/>
      <c r="Y791" s="23"/>
      <c r="AA791" s="78">
        <v>75</v>
      </c>
      <c r="AB791" s="62">
        <f>C780</f>
        <v>75</v>
      </c>
      <c r="AC791" s="20"/>
      <c r="AD791" s="21"/>
      <c r="AE791" s="57">
        <v>75</v>
      </c>
      <c r="AF791" s="23">
        <f t="shared" si="137"/>
        <v>0</v>
      </c>
      <c r="AG791" s="23">
        <f t="shared" si="138"/>
        <v>0</v>
      </c>
      <c r="AH791" s="23"/>
      <c r="AI791" s="23">
        <v>12</v>
      </c>
    </row>
    <row r="792" spans="1:37" hidden="1" outlineLevel="1">
      <c r="A792" s="96">
        <v>45888</v>
      </c>
      <c r="B792" s="17" t="s">
        <v>19</v>
      </c>
      <c r="C792" s="18">
        <f t="shared" ref="C792:C793" si="139">AA794</f>
        <v>57</v>
      </c>
      <c r="D792" s="23"/>
      <c r="E792" s="23">
        <f t="shared" si="134"/>
        <v>-4770</v>
      </c>
      <c r="G792" s="19"/>
      <c r="H792" s="62"/>
      <c r="I792" s="20"/>
      <c r="J792" s="21"/>
      <c r="K792" s="42"/>
      <c r="L792" s="23"/>
      <c r="M792" s="23"/>
      <c r="N792" s="23"/>
      <c r="O792" s="23"/>
      <c r="Q792" s="19"/>
      <c r="R792" s="62"/>
      <c r="S792" s="20"/>
      <c r="T792" s="21"/>
      <c r="U792" s="42"/>
      <c r="V792" s="23">
        <f t="shared" si="135"/>
        <v>1</v>
      </c>
      <c r="W792" s="23">
        <f t="shared" si="136"/>
        <v>1</v>
      </c>
      <c r="X792" s="23"/>
      <c r="Y792" s="23"/>
      <c r="AA792" s="78">
        <v>57</v>
      </c>
      <c r="AB792" s="62">
        <f>C781</f>
        <v>57</v>
      </c>
      <c r="AC792" s="20"/>
      <c r="AD792" s="21"/>
      <c r="AE792" s="57">
        <v>57</v>
      </c>
      <c r="AF792" s="23">
        <f t="shared" si="137"/>
        <v>0</v>
      </c>
      <c r="AG792" s="23">
        <f t="shared" si="138"/>
        <v>0</v>
      </c>
      <c r="AH792" s="23"/>
      <c r="AI792" s="23">
        <v>11</v>
      </c>
    </row>
    <row r="793" spans="1:37" hidden="1" outlineLevel="1">
      <c r="A793" s="96">
        <v>45889</v>
      </c>
      <c r="B793" s="17" t="s">
        <v>20</v>
      </c>
      <c r="C793" s="18">
        <f t="shared" si="139"/>
        <v>57</v>
      </c>
      <c r="D793" s="23"/>
      <c r="E793" s="23">
        <f t="shared" si="134"/>
        <v>-4827</v>
      </c>
      <c r="G793" s="19"/>
      <c r="H793" s="62"/>
      <c r="I793" s="20"/>
      <c r="J793" s="21"/>
      <c r="K793" s="42"/>
      <c r="L793" s="23"/>
      <c r="M793" s="23"/>
      <c r="N793" s="23"/>
      <c r="O793" s="23"/>
      <c r="Q793" s="19"/>
      <c r="R793" s="62"/>
      <c r="S793" s="20"/>
      <c r="T793" s="21"/>
      <c r="U793" s="42"/>
      <c r="V793" s="23">
        <f t="shared" si="135"/>
        <v>1</v>
      </c>
      <c r="W793" s="23">
        <f t="shared" si="136"/>
        <v>1</v>
      </c>
      <c r="X793" s="23"/>
      <c r="Y793" s="23"/>
      <c r="AA793" s="78">
        <f>57+2</f>
        <v>59</v>
      </c>
      <c r="AB793" s="62">
        <f t="shared" ref="AB793:AB795" si="140">IF(C791&lt;&gt;"",C791+AC793,IF(C789&lt;&gt;"",C789+AC793,IF(C788&lt;&gt;"",C788+AC793,IF(C787&lt;&gt;"",C787+AC793,IF(C786&lt;&gt;"",C786+AC793,IF(C785&lt;&gt;"",C785+AC793))))))</f>
        <v>59</v>
      </c>
      <c r="AC793" s="20"/>
      <c r="AD793" s="21"/>
      <c r="AE793" s="57">
        <v>59</v>
      </c>
      <c r="AF793" s="23">
        <f t="shared" si="137"/>
        <v>0</v>
      </c>
      <c r="AG793" s="23">
        <f t="shared" si="138"/>
        <v>0</v>
      </c>
      <c r="AH793" s="23"/>
      <c r="AI793" s="23">
        <v>13</v>
      </c>
    </row>
    <row r="794" spans="1:37" hidden="1" outlineLevel="1">
      <c r="A794" s="96">
        <v>45890</v>
      </c>
      <c r="B794" s="17" t="s">
        <v>14</v>
      </c>
      <c r="C794" s="18">
        <f>AA798</f>
        <v>27</v>
      </c>
      <c r="D794" s="23"/>
      <c r="E794" s="23">
        <f t="shared" si="134"/>
        <v>-4854</v>
      </c>
      <c r="G794" s="19"/>
      <c r="H794" s="62"/>
      <c r="I794" s="20"/>
      <c r="J794" s="21"/>
      <c r="K794" s="42"/>
      <c r="L794" s="23"/>
      <c r="M794" s="23"/>
      <c r="N794" s="23"/>
      <c r="O794" s="23"/>
      <c r="Q794" s="19"/>
      <c r="R794" s="62"/>
      <c r="S794" s="20"/>
      <c r="T794" s="21"/>
      <c r="U794" s="42"/>
      <c r="V794" s="23">
        <f t="shared" si="135"/>
        <v>1</v>
      </c>
      <c r="W794" s="23">
        <f t="shared" si="136"/>
        <v>1</v>
      </c>
      <c r="X794" s="23"/>
      <c r="Y794" s="23"/>
      <c r="AA794" s="78">
        <v>57</v>
      </c>
      <c r="AB794" s="62">
        <f t="shared" si="140"/>
        <v>57</v>
      </c>
      <c r="AC794" s="20"/>
      <c r="AD794" s="21"/>
      <c r="AE794" s="57">
        <v>57</v>
      </c>
      <c r="AF794" s="23">
        <f t="shared" si="137"/>
        <v>0</v>
      </c>
      <c r="AG794" s="23">
        <f t="shared" si="138"/>
        <v>0</v>
      </c>
      <c r="AH794" s="23"/>
      <c r="AI794" s="23">
        <f>8+1</f>
        <v>9</v>
      </c>
    </row>
    <row r="795" spans="1:37" hidden="1" outlineLevel="1">
      <c r="A795" s="96">
        <v>45891</v>
      </c>
      <c r="B795" s="17" t="s">
        <v>15</v>
      </c>
      <c r="C795" s="18">
        <f>AA799</f>
        <v>69</v>
      </c>
      <c r="D795" s="23"/>
      <c r="E795" s="23">
        <f t="shared" si="134"/>
        <v>-4923</v>
      </c>
      <c r="G795" s="19"/>
      <c r="H795" s="62"/>
      <c r="I795" s="20"/>
      <c r="J795" s="21"/>
      <c r="K795" s="42"/>
      <c r="L795" s="23"/>
      <c r="M795" s="23"/>
      <c r="N795" s="23"/>
      <c r="O795" s="23"/>
      <c r="Q795" s="19"/>
      <c r="R795" s="62"/>
      <c r="S795" s="20"/>
      <c r="T795" s="21"/>
      <c r="U795" s="42"/>
      <c r="V795" s="23">
        <f t="shared" si="135"/>
        <v>1</v>
      </c>
      <c r="W795" s="23">
        <f t="shared" si="136"/>
        <v>1</v>
      </c>
      <c r="X795" s="23"/>
      <c r="Y795" s="23"/>
      <c r="AA795" s="78">
        <v>57</v>
      </c>
      <c r="AB795" s="62">
        <f t="shared" si="140"/>
        <v>57</v>
      </c>
      <c r="AC795" s="20"/>
      <c r="AD795" s="21"/>
      <c r="AE795" s="57">
        <v>57</v>
      </c>
      <c r="AF795" s="23">
        <f t="shared" si="137"/>
        <v>0</v>
      </c>
      <c r="AG795" s="23">
        <f t="shared" si="138"/>
        <v>0</v>
      </c>
      <c r="AH795" s="23"/>
      <c r="AI795" s="23">
        <v>12</v>
      </c>
      <c r="AK795" s="1">
        <f>AVERAGE(AA791:AA795)</f>
        <v>61</v>
      </c>
    </row>
    <row r="796" spans="1:37" s="12" customFormat="1" hidden="1" outlineLevel="1">
      <c r="A796" s="95">
        <v>45892</v>
      </c>
      <c r="B796" s="25" t="s">
        <v>16</v>
      </c>
      <c r="C796" s="26"/>
      <c r="D796" s="29"/>
      <c r="E796" s="29">
        <f t="shared" si="134"/>
        <v>-4923</v>
      </c>
      <c r="G796" s="64"/>
      <c r="H796" s="63"/>
      <c r="I796" s="27"/>
      <c r="J796" s="28"/>
      <c r="K796" s="43"/>
      <c r="L796" s="29"/>
      <c r="M796" s="29"/>
      <c r="N796" s="29"/>
      <c r="O796" s="29"/>
      <c r="Q796" s="64"/>
      <c r="R796" s="63"/>
      <c r="S796" s="27"/>
      <c r="T796" s="28"/>
      <c r="U796" s="43"/>
      <c r="V796" s="29">
        <f t="shared" si="135"/>
        <v>1</v>
      </c>
      <c r="W796" s="29">
        <f t="shared" si="136"/>
        <v>1</v>
      </c>
      <c r="X796" s="29"/>
      <c r="Y796" s="29"/>
      <c r="AA796" s="79"/>
      <c r="AB796" s="63"/>
      <c r="AC796" s="27"/>
      <c r="AD796" s="28"/>
      <c r="AE796" s="43"/>
      <c r="AF796" s="29">
        <f t="shared" si="137"/>
        <v>0</v>
      </c>
      <c r="AG796" s="29">
        <f t="shared" si="138"/>
        <v>0</v>
      </c>
      <c r="AH796" s="29"/>
      <c r="AI796" s="29"/>
      <c r="AJ796" s="11"/>
    </row>
    <row r="797" spans="1:37" s="12" customFormat="1" hidden="1" outlineLevel="1" collapsed="1">
      <c r="A797" s="95">
        <v>45893</v>
      </c>
      <c r="B797" s="25" t="s">
        <v>17</v>
      </c>
      <c r="C797" s="26"/>
      <c r="D797" s="29"/>
      <c r="E797" s="29">
        <f t="shared" si="134"/>
        <v>-4923</v>
      </c>
      <c r="G797" s="64"/>
      <c r="H797" s="63"/>
      <c r="I797" s="27"/>
      <c r="J797" s="28"/>
      <c r="K797" s="43"/>
      <c r="L797" s="29"/>
      <c r="M797" s="29"/>
      <c r="N797" s="29"/>
      <c r="O797" s="29"/>
      <c r="Q797" s="64"/>
      <c r="R797" s="63"/>
      <c r="S797" s="27"/>
      <c r="T797" s="28"/>
      <c r="U797" s="43"/>
      <c r="V797" s="29">
        <f t="shared" si="135"/>
        <v>1</v>
      </c>
      <c r="W797" s="29">
        <f t="shared" si="136"/>
        <v>1</v>
      </c>
      <c r="X797" s="29"/>
      <c r="Y797" s="29"/>
      <c r="AA797" s="79"/>
      <c r="AB797" s="63"/>
      <c r="AC797" s="27"/>
      <c r="AD797" s="28"/>
      <c r="AE797" s="43"/>
      <c r="AF797" s="29">
        <f t="shared" si="137"/>
        <v>0</v>
      </c>
      <c r="AG797" s="29">
        <f t="shared" si="138"/>
        <v>0</v>
      </c>
      <c r="AH797" s="29"/>
      <c r="AI797" s="29"/>
      <c r="AJ797" s="11"/>
    </row>
    <row r="798" spans="1:37" hidden="1" outlineLevel="1">
      <c r="A798" s="96">
        <v>45894</v>
      </c>
      <c r="B798" s="17" t="s">
        <v>18</v>
      </c>
      <c r="C798" s="18">
        <f>AA800</f>
        <v>57</v>
      </c>
      <c r="D798" s="23"/>
      <c r="E798" s="23">
        <f t="shared" si="134"/>
        <v>-4980</v>
      </c>
      <c r="G798" s="19"/>
      <c r="H798" s="62"/>
      <c r="I798" s="20"/>
      <c r="J798" s="21"/>
      <c r="K798" s="42"/>
      <c r="L798" s="23"/>
      <c r="M798" s="23"/>
      <c r="N798" s="23"/>
      <c r="O798" s="23"/>
      <c r="Q798" s="19"/>
      <c r="R798" s="62"/>
      <c r="S798" s="20"/>
      <c r="T798" s="21"/>
      <c r="U798" s="42"/>
      <c r="V798" s="23">
        <f t="shared" si="135"/>
        <v>1</v>
      </c>
      <c r="W798" s="23">
        <f t="shared" si="136"/>
        <v>1</v>
      </c>
      <c r="X798" s="23"/>
      <c r="Y798" s="23"/>
      <c r="AA798" s="78">
        <f>18+9</f>
        <v>27</v>
      </c>
      <c r="AB798" s="62">
        <f t="shared" ref="AB798:AB802" si="141">IF(C796&lt;&gt;"",C796+AC798,IF(C794&lt;&gt;"",C794+AC798,IF(C793&lt;&gt;"",C793+AC798,IF(C792&lt;&gt;"",C792+AC798,IF(C791&lt;&gt;"",C791+AC798,IF(C790&lt;&gt;"",C790+AC798))))))</f>
        <v>27</v>
      </c>
      <c r="AC798" s="20"/>
      <c r="AD798" s="21"/>
      <c r="AE798" s="57">
        <v>27</v>
      </c>
      <c r="AF798" s="23">
        <f t="shared" si="137"/>
        <v>0</v>
      </c>
      <c r="AG798" s="23">
        <f t="shared" si="138"/>
        <v>0</v>
      </c>
      <c r="AH798" s="23"/>
      <c r="AI798" s="23">
        <v>8</v>
      </c>
    </row>
    <row r="799" spans="1:37" hidden="1" outlineLevel="1">
      <c r="A799" s="96">
        <v>45895</v>
      </c>
      <c r="B799" s="17" t="s">
        <v>19</v>
      </c>
      <c r="C799" s="18">
        <f t="shared" ref="C799:C800" si="142">AA801</f>
        <v>72</v>
      </c>
      <c r="D799" s="23"/>
      <c r="E799" s="23">
        <f t="shared" si="134"/>
        <v>-5052</v>
      </c>
      <c r="G799" s="19"/>
      <c r="H799" s="62"/>
      <c r="I799" s="20"/>
      <c r="J799" s="21"/>
      <c r="K799" s="42"/>
      <c r="L799" s="23"/>
      <c r="M799" s="23"/>
      <c r="N799" s="23"/>
      <c r="O799" s="23"/>
      <c r="Q799" s="19"/>
      <c r="R799" s="62"/>
      <c r="S799" s="20"/>
      <c r="T799" s="21"/>
      <c r="U799" s="42"/>
      <c r="V799" s="23">
        <f t="shared" si="135"/>
        <v>1</v>
      </c>
      <c r="W799" s="23">
        <f t="shared" si="136"/>
        <v>1</v>
      </c>
      <c r="X799" s="23"/>
      <c r="Y799" s="23"/>
      <c r="AA799" s="78">
        <v>69</v>
      </c>
      <c r="AB799" s="62">
        <f t="shared" si="141"/>
        <v>69</v>
      </c>
      <c r="AC799" s="20"/>
      <c r="AD799" s="21"/>
      <c r="AE799" s="57">
        <v>69</v>
      </c>
      <c r="AF799" s="23">
        <f t="shared" si="137"/>
        <v>0</v>
      </c>
      <c r="AG799" s="23">
        <f t="shared" si="138"/>
        <v>0</v>
      </c>
      <c r="AH799" s="23"/>
      <c r="AI799" s="23">
        <f>2+5</f>
        <v>7</v>
      </c>
    </row>
    <row r="800" spans="1:37" hidden="1" outlineLevel="1">
      <c r="A800" s="96">
        <v>45896</v>
      </c>
      <c r="B800" s="17" t="s">
        <v>20</v>
      </c>
      <c r="C800" s="18">
        <f t="shared" si="142"/>
        <v>57</v>
      </c>
      <c r="D800" s="23"/>
      <c r="E800" s="23">
        <f t="shared" si="134"/>
        <v>-5109</v>
      </c>
      <c r="G800" s="19"/>
      <c r="H800" s="62"/>
      <c r="I800" s="20"/>
      <c r="J800" s="21"/>
      <c r="K800" s="42"/>
      <c r="L800" s="23"/>
      <c r="M800" s="23"/>
      <c r="N800" s="23"/>
      <c r="O800" s="23"/>
      <c r="Q800" s="19"/>
      <c r="R800" s="62"/>
      <c r="S800" s="20"/>
      <c r="T800" s="21"/>
      <c r="U800" s="42"/>
      <c r="V800" s="23">
        <f t="shared" si="135"/>
        <v>1</v>
      </c>
      <c r="W800" s="23">
        <f t="shared" si="136"/>
        <v>1</v>
      </c>
      <c r="X800" s="23"/>
      <c r="Y800" s="23"/>
      <c r="AA800" s="78">
        <v>57</v>
      </c>
      <c r="AB800" s="62">
        <f t="shared" si="141"/>
        <v>57</v>
      </c>
      <c r="AC800" s="20"/>
      <c r="AD800" s="21"/>
      <c r="AE800" s="57">
        <v>57</v>
      </c>
      <c r="AF800" s="23">
        <f t="shared" si="137"/>
        <v>0</v>
      </c>
      <c r="AG800" s="23">
        <f t="shared" si="138"/>
        <v>0</v>
      </c>
      <c r="AH800" s="23"/>
      <c r="AI800" s="23">
        <v>12</v>
      </c>
    </row>
    <row r="801" spans="1:37" hidden="1" outlineLevel="1">
      <c r="A801" s="96">
        <v>45897</v>
      </c>
      <c r="B801" s="17" t="s">
        <v>14</v>
      </c>
      <c r="C801" s="18">
        <f>AA805</f>
        <v>78</v>
      </c>
      <c r="D801" s="23"/>
      <c r="E801" s="23">
        <f t="shared" si="134"/>
        <v>-5187</v>
      </c>
      <c r="G801" s="19"/>
      <c r="H801" s="62"/>
      <c r="I801" s="20"/>
      <c r="J801" s="21"/>
      <c r="K801" s="42"/>
      <c r="L801" s="23"/>
      <c r="M801" s="23"/>
      <c r="N801" s="23"/>
      <c r="O801" s="23"/>
      <c r="Q801" s="19"/>
      <c r="R801" s="62"/>
      <c r="S801" s="20"/>
      <c r="T801" s="21"/>
      <c r="U801" s="42"/>
      <c r="V801" s="23">
        <f t="shared" si="135"/>
        <v>1</v>
      </c>
      <c r="W801" s="23">
        <f t="shared" si="136"/>
        <v>1</v>
      </c>
      <c r="X801" s="23"/>
      <c r="Y801" s="23"/>
      <c r="AA801" s="78">
        <v>72</v>
      </c>
      <c r="AB801" s="62">
        <f t="shared" si="141"/>
        <v>72</v>
      </c>
      <c r="AC801" s="20"/>
      <c r="AD801" s="21"/>
      <c r="AE801" s="57">
        <v>72</v>
      </c>
      <c r="AF801" s="23">
        <f t="shared" si="137"/>
        <v>0</v>
      </c>
      <c r="AG801" s="23">
        <f t="shared" si="138"/>
        <v>0</v>
      </c>
      <c r="AH801" s="23"/>
      <c r="AI801" s="23">
        <v>10</v>
      </c>
    </row>
    <row r="802" spans="1:37" hidden="1" outlineLevel="1">
      <c r="A802" s="96">
        <v>45898</v>
      </c>
      <c r="B802" s="17" t="s">
        <v>15</v>
      </c>
      <c r="C802" s="18">
        <f>AA806</f>
        <v>78</v>
      </c>
      <c r="D802" s="23"/>
      <c r="E802" s="23">
        <f t="shared" si="134"/>
        <v>-5265</v>
      </c>
      <c r="G802" s="19"/>
      <c r="H802" s="62"/>
      <c r="I802" s="20"/>
      <c r="J802" s="21"/>
      <c r="K802" s="42"/>
      <c r="L802" s="23"/>
      <c r="M802" s="23"/>
      <c r="N802" s="23"/>
      <c r="O802" s="23"/>
      <c r="Q802" s="19"/>
      <c r="R802" s="62"/>
      <c r="S802" s="20"/>
      <c r="T802" s="21"/>
      <c r="U802" s="42"/>
      <c r="V802" s="23">
        <f t="shared" si="135"/>
        <v>1</v>
      </c>
      <c r="W802" s="23">
        <f t="shared" si="136"/>
        <v>1</v>
      </c>
      <c r="X802" s="23"/>
      <c r="Y802" s="23"/>
      <c r="AA802" s="78">
        <v>57</v>
      </c>
      <c r="AB802" s="62">
        <f t="shared" si="141"/>
        <v>57</v>
      </c>
      <c r="AC802" s="20"/>
      <c r="AD802" s="21"/>
      <c r="AE802" s="57">
        <v>57</v>
      </c>
      <c r="AF802" s="23">
        <f t="shared" si="137"/>
        <v>0</v>
      </c>
      <c r="AG802" s="23">
        <f t="shared" si="138"/>
        <v>0</v>
      </c>
      <c r="AH802" s="23"/>
      <c r="AI802" s="23">
        <v>12</v>
      </c>
      <c r="AK802" s="1">
        <f>AVERAGE(AA798:AA802)</f>
        <v>56.4</v>
      </c>
    </row>
    <row r="803" spans="1:37" s="12" customFormat="1" hidden="1" outlineLevel="1">
      <c r="A803" s="95">
        <v>45899</v>
      </c>
      <c r="B803" s="25" t="s">
        <v>16</v>
      </c>
      <c r="C803" s="26"/>
      <c r="D803" s="29"/>
      <c r="E803" s="29">
        <f t="shared" si="134"/>
        <v>-5265</v>
      </c>
      <c r="G803" s="64"/>
      <c r="H803" s="63"/>
      <c r="I803" s="27"/>
      <c r="J803" s="28"/>
      <c r="K803" s="43"/>
      <c r="L803" s="29"/>
      <c r="M803" s="29"/>
      <c r="N803" s="29"/>
      <c r="O803" s="29"/>
      <c r="Q803" s="64"/>
      <c r="R803" s="63"/>
      <c r="S803" s="27"/>
      <c r="T803" s="28"/>
      <c r="U803" s="43"/>
      <c r="V803" s="29">
        <f t="shared" si="135"/>
        <v>1</v>
      </c>
      <c r="W803" s="29">
        <f t="shared" si="136"/>
        <v>1</v>
      </c>
      <c r="X803" s="29"/>
      <c r="Y803" s="29"/>
      <c r="AA803" s="64"/>
      <c r="AB803" s="63"/>
      <c r="AC803" s="27"/>
      <c r="AD803" s="28"/>
      <c r="AE803" s="43"/>
      <c r="AF803" s="29">
        <f t="shared" si="137"/>
        <v>0</v>
      </c>
      <c r="AG803" s="29">
        <f t="shared" si="138"/>
        <v>0</v>
      </c>
      <c r="AH803" s="29"/>
      <c r="AI803" s="29"/>
      <c r="AJ803" s="11"/>
    </row>
    <row r="804" spans="1:37" s="12" customFormat="1" hidden="1" outlineLevel="1" collapsed="1">
      <c r="A804" s="95">
        <v>45900</v>
      </c>
      <c r="B804" s="25" t="s">
        <v>17</v>
      </c>
      <c r="C804" s="26"/>
      <c r="D804" s="29"/>
      <c r="E804" s="29">
        <f t="shared" si="134"/>
        <v>-5265</v>
      </c>
      <c r="G804" s="64"/>
      <c r="H804" s="63"/>
      <c r="I804" s="27"/>
      <c r="J804" s="28"/>
      <c r="K804" s="43"/>
      <c r="L804" s="29"/>
      <c r="M804" s="29"/>
      <c r="N804" s="29"/>
      <c r="O804" s="29"/>
      <c r="Q804" s="64"/>
      <c r="R804" s="63"/>
      <c r="S804" s="27"/>
      <c r="T804" s="28"/>
      <c r="U804" s="43"/>
      <c r="V804" s="29">
        <f t="shared" si="135"/>
        <v>1</v>
      </c>
      <c r="W804" s="29">
        <f t="shared" si="136"/>
        <v>1</v>
      </c>
      <c r="X804" s="29"/>
      <c r="Y804" s="29"/>
      <c r="AA804" s="64"/>
      <c r="AB804" s="63"/>
      <c r="AC804" s="27"/>
      <c r="AD804" s="28"/>
      <c r="AE804" s="43"/>
      <c r="AF804" s="29">
        <f t="shared" si="137"/>
        <v>0</v>
      </c>
      <c r="AG804" s="29">
        <f t="shared" si="138"/>
        <v>0</v>
      </c>
      <c r="AH804" s="29"/>
      <c r="AI804" s="29"/>
      <c r="AJ804" s="11"/>
    </row>
    <row r="805" spans="1:37" hidden="1" outlineLevel="1">
      <c r="A805" s="96">
        <v>45901</v>
      </c>
      <c r="B805" s="17" t="s">
        <v>18</v>
      </c>
      <c r="C805" s="18">
        <f>AA807</f>
        <v>75</v>
      </c>
      <c r="D805" s="23"/>
      <c r="E805" s="23">
        <f t="shared" si="134"/>
        <v>-5340</v>
      </c>
      <c r="G805" s="19"/>
      <c r="H805" s="62"/>
      <c r="I805" s="20"/>
      <c r="J805" s="21"/>
      <c r="K805" s="42"/>
      <c r="L805" s="23"/>
      <c r="M805" s="23"/>
      <c r="N805" s="23"/>
      <c r="O805" s="23"/>
      <c r="Q805" s="19"/>
      <c r="R805" s="62"/>
      <c r="S805" s="20"/>
      <c r="T805" s="21"/>
      <c r="U805" s="42"/>
      <c r="V805" s="23">
        <f t="shared" si="135"/>
        <v>1</v>
      </c>
      <c r="W805" s="23">
        <f t="shared" si="136"/>
        <v>1</v>
      </c>
      <c r="X805" s="23"/>
      <c r="Y805" s="23"/>
      <c r="AA805" s="78">
        <v>78</v>
      </c>
      <c r="AB805" s="62">
        <f t="shared" ref="AB805:AB809" si="143">IF(C803&lt;&gt;"",C803+AC805,IF(C801&lt;&gt;"",C801+AC805,IF(C800&lt;&gt;"",C800+AC805,IF(C799&lt;&gt;"",C799+AC805,IF(C798&lt;&gt;"",C798+AC805,IF(C797&lt;&gt;"",C797+AC805))))))</f>
        <v>78</v>
      </c>
      <c r="AC805" s="20"/>
      <c r="AD805" s="21"/>
      <c r="AE805" s="57">
        <v>78</v>
      </c>
      <c r="AF805" s="23">
        <f t="shared" si="137"/>
        <v>0</v>
      </c>
      <c r="AG805" s="23">
        <f t="shared" si="138"/>
        <v>0</v>
      </c>
      <c r="AH805" s="23"/>
      <c r="AI805" s="23">
        <v>10</v>
      </c>
    </row>
    <row r="806" spans="1:37" hidden="1" outlineLevel="1">
      <c r="A806" s="96">
        <v>45902</v>
      </c>
      <c r="B806" s="17" t="s">
        <v>19</v>
      </c>
      <c r="C806" s="18">
        <f t="shared" ref="C806:C807" si="144">AA808</f>
        <v>63</v>
      </c>
      <c r="D806" s="23"/>
      <c r="E806" s="23">
        <f t="shared" si="134"/>
        <v>-5403</v>
      </c>
      <c r="G806" s="19"/>
      <c r="H806" s="62"/>
      <c r="I806" s="20"/>
      <c r="J806" s="21"/>
      <c r="K806" s="42"/>
      <c r="L806" s="23"/>
      <c r="M806" s="23"/>
      <c r="N806" s="23"/>
      <c r="O806" s="23"/>
      <c r="Q806" s="19"/>
      <c r="R806" s="62"/>
      <c r="S806" s="20"/>
      <c r="T806" s="21"/>
      <c r="U806" s="42"/>
      <c r="V806" s="23">
        <f t="shared" si="135"/>
        <v>1</v>
      </c>
      <c r="W806" s="23">
        <f t="shared" si="136"/>
        <v>1</v>
      </c>
      <c r="X806" s="23"/>
      <c r="Y806" s="23"/>
      <c r="AA806" s="78">
        <v>78</v>
      </c>
      <c r="AB806" s="62">
        <f t="shared" si="143"/>
        <v>78</v>
      </c>
      <c r="AC806" s="20"/>
      <c r="AD806" s="21"/>
      <c r="AE806" s="57">
        <v>78</v>
      </c>
      <c r="AF806" s="23">
        <f t="shared" si="137"/>
        <v>0</v>
      </c>
      <c r="AG806" s="23">
        <f t="shared" si="138"/>
        <v>0</v>
      </c>
      <c r="AH806" s="23"/>
      <c r="AI806" s="23">
        <v>12</v>
      </c>
    </row>
    <row r="807" spans="1:37" hidden="1" outlineLevel="1">
      <c r="A807" s="96">
        <v>45903</v>
      </c>
      <c r="B807" s="17" t="s">
        <v>20</v>
      </c>
      <c r="C807" s="18">
        <f t="shared" si="144"/>
        <v>93</v>
      </c>
      <c r="D807" s="23"/>
      <c r="E807" s="23">
        <f t="shared" si="134"/>
        <v>-5496</v>
      </c>
      <c r="G807" s="19"/>
      <c r="H807" s="62"/>
      <c r="I807" s="20"/>
      <c r="J807" s="21"/>
      <c r="K807" s="42"/>
      <c r="L807" s="23"/>
      <c r="M807" s="23"/>
      <c r="N807" s="23"/>
      <c r="O807" s="23"/>
      <c r="Q807" s="19"/>
      <c r="R807" s="62"/>
      <c r="S807" s="20"/>
      <c r="T807" s="21"/>
      <c r="U807" s="42"/>
      <c r="V807" s="23">
        <f t="shared" si="135"/>
        <v>1</v>
      </c>
      <c r="W807" s="23">
        <f t="shared" si="136"/>
        <v>1</v>
      </c>
      <c r="X807" s="23"/>
      <c r="Y807" s="23"/>
      <c r="AA807" s="78">
        <v>75</v>
      </c>
      <c r="AB807" s="62">
        <f t="shared" si="143"/>
        <v>75</v>
      </c>
      <c r="AC807" s="20"/>
      <c r="AD807" s="21"/>
      <c r="AE807" s="57">
        <v>75</v>
      </c>
      <c r="AF807" s="23">
        <f t="shared" si="137"/>
        <v>0</v>
      </c>
      <c r="AG807" s="23">
        <f t="shared" si="138"/>
        <v>0</v>
      </c>
      <c r="AH807" s="23"/>
      <c r="AI807" s="23">
        <v>0</v>
      </c>
    </row>
    <row r="808" spans="1:37" hidden="1" outlineLevel="1">
      <c r="A808" s="96">
        <v>45904</v>
      </c>
      <c r="B808" s="17" t="s">
        <v>14</v>
      </c>
      <c r="C808" s="18">
        <f>AA812</f>
        <v>63</v>
      </c>
      <c r="D808" s="23"/>
      <c r="E808" s="23">
        <f t="shared" si="134"/>
        <v>-5559</v>
      </c>
      <c r="G808" s="19"/>
      <c r="H808" s="62"/>
      <c r="I808" s="20"/>
      <c r="J808" s="21"/>
      <c r="K808" s="42"/>
      <c r="L808" s="23"/>
      <c r="M808" s="23"/>
      <c r="N808" s="23"/>
      <c r="O808" s="23"/>
      <c r="Q808" s="19"/>
      <c r="R808" s="62"/>
      <c r="S808" s="20"/>
      <c r="T808" s="21"/>
      <c r="U808" s="42"/>
      <c r="V808" s="23">
        <f t="shared" si="135"/>
        <v>1</v>
      </c>
      <c r="W808" s="23">
        <f t="shared" si="136"/>
        <v>1</v>
      </c>
      <c r="X808" s="23"/>
      <c r="Y808" s="23"/>
      <c r="AA808" s="78">
        <v>63</v>
      </c>
      <c r="AB808" s="62">
        <f t="shared" si="143"/>
        <v>63</v>
      </c>
      <c r="AC808" s="20"/>
      <c r="AD808" s="21"/>
      <c r="AE808" s="57">
        <v>63</v>
      </c>
      <c r="AF808" s="23">
        <f t="shared" si="137"/>
        <v>0</v>
      </c>
      <c r="AG808" s="23">
        <f t="shared" si="138"/>
        <v>0</v>
      </c>
      <c r="AH808" s="23"/>
      <c r="AI808" s="23">
        <v>13</v>
      </c>
    </row>
    <row r="809" spans="1:37" hidden="1" outlineLevel="1">
      <c r="A809" s="96">
        <v>45905</v>
      </c>
      <c r="B809" s="17" t="s">
        <v>15</v>
      </c>
      <c r="C809" s="18">
        <f>AA813</f>
        <v>0</v>
      </c>
      <c r="D809" s="23"/>
      <c r="E809" s="23">
        <f t="shared" si="134"/>
        <v>-5559</v>
      </c>
      <c r="G809" s="19"/>
      <c r="H809" s="62"/>
      <c r="I809" s="20"/>
      <c r="J809" s="21"/>
      <c r="K809" s="42"/>
      <c r="L809" s="23"/>
      <c r="M809" s="23"/>
      <c r="N809" s="23"/>
      <c r="O809" s="23"/>
      <c r="Q809" s="19"/>
      <c r="R809" s="62"/>
      <c r="S809" s="20"/>
      <c r="T809" s="21"/>
      <c r="U809" s="42"/>
      <c r="V809" s="23">
        <f t="shared" si="135"/>
        <v>1</v>
      </c>
      <c r="W809" s="23">
        <f t="shared" si="136"/>
        <v>1</v>
      </c>
      <c r="X809" s="23"/>
      <c r="Y809" s="23"/>
      <c r="AA809" s="78">
        <v>93</v>
      </c>
      <c r="AB809" s="62">
        <f t="shared" si="143"/>
        <v>93</v>
      </c>
      <c r="AC809" s="20"/>
      <c r="AD809" s="21"/>
      <c r="AE809" s="57">
        <v>93</v>
      </c>
      <c r="AF809" s="23">
        <f t="shared" si="137"/>
        <v>0</v>
      </c>
      <c r="AG809" s="23">
        <f t="shared" si="138"/>
        <v>0</v>
      </c>
      <c r="AH809" s="23"/>
      <c r="AI809" s="23">
        <v>0</v>
      </c>
      <c r="AK809" s="1">
        <f>AVERAGE(AA805:AA809)</f>
        <v>77.400000000000006</v>
      </c>
    </row>
    <row r="810" spans="1:37" s="12" customFormat="1" hidden="1" outlineLevel="1">
      <c r="A810" s="95">
        <v>45906</v>
      </c>
      <c r="B810" s="25" t="s">
        <v>16</v>
      </c>
      <c r="C810" s="26"/>
      <c r="D810" s="29"/>
      <c r="E810" s="29">
        <f t="shared" si="134"/>
        <v>-5559</v>
      </c>
      <c r="G810" s="64"/>
      <c r="H810" s="63"/>
      <c r="I810" s="27"/>
      <c r="J810" s="28"/>
      <c r="K810" s="43"/>
      <c r="L810" s="29"/>
      <c r="M810" s="29"/>
      <c r="N810" s="29"/>
      <c r="O810" s="29"/>
      <c r="Q810" s="64"/>
      <c r="R810" s="63"/>
      <c r="S810" s="27"/>
      <c r="T810" s="28"/>
      <c r="U810" s="43"/>
      <c r="V810" s="29">
        <f t="shared" si="135"/>
        <v>1</v>
      </c>
      <c r="W810" s="29">
        <f t="shared" si="136"/>
        <v>1</v>
      </c>
      <c r="X810" s="29"/>
      <c r="Y810" s="29"/>
      <c r="AA810" s="79"/>
      <c r="AB810" s="63"/>
      <c r="AC810" s="27"/>
      <c r="AD810" s="28"/>
      <c r="AE810" s="43"/>
      <c r="AF810" s="29">
        <f t="shared" si="137"/>
        <v>0</v>
      </c>
      <c r="AG810" s="29">
        <f t="shared" si="138"/>
        <v>0</v>
      </c>
      <c r="AH810" s="29"/>
      <c r="AI810" s="29"/>
      <c r="AJ810" s="11"/>
    </row>
    <row r="811" spans="1:37" s="12" customFormat="1" hidden="1" outlineLevel="1" collapsed="1">
      <c r="A811" s="95">
        <v>45907</v>
      </c>
      <c r="B811" s="25" t="s">
        <v>17</v>
      </c>
      <c r="C811" s="26"/>
      <c r="D811" s="29"/>
      <c r="E811" s="29">
        <f t="shared" si="134"/>
        <v>-5559</v>
      </c>
      <c r="G811" s="64"/>
      <c r="H811" s="63"/>
      <c r="I811" s="27"/>
      <c r="J811" s="28"/>
      <c r="K811" s="43"/>
      <c r="L811" s="29"/>
      <c r="M811" s="29"/>
      <c r="N811" s="29"/>
      <c r="O811" s="29"/>
      <c r="Q811" s="64"/>
      <c r="R811" s="63"/>
      <c r="S811" s="27"/>
      <c r="T811" s="28"/>
      <c r="U811" s="43"/>
      <c r="V811" s="29">
        <f t="shared" si="135"/>
        <v>1</v>
      </c>
      <c r="W811" s="29">
        <f t="shared" si="136"/>
        <v>1</v>
      </c>
      <c r="X811" s="29"/>
      <c r="Y811" s="29"/>
      <c r="AA811" s="79"/>
      <c r="AB811" s="63"/>
      <c r="AC811" s="27"/>
      <c r="AD811" s="28"/>
      <c r="AE811" s="43"/>
      <c r="AF811" s="29">
        <f t="shared" si="137"/>
        <v>0</v>
      </c>
      <c r="AG811" s="29">
        <f t="shared" si="138"/>
        <v>0</v>
      </c>
      <c r="AH811" s="29"/>
      <c r="AI811" s="29"/>
      <c r="AJ811" s="11"/>
    </row>
    <row r="812" spans="1:37" hidden="1" outlineLevel="1">
      <c r="A812" s="96">
        <v>45908</v>
      </c>
      <c r="B812" s="17" t="s">
        <v>18</v>
      </c>
      <c r="C812" s="18">
        <f>AA814</f>
        <v>9</v>
      </c>
      <c r="D812" s="23"/>
      <c r="E812" s="23">
        <f t="shared" ref="E812:E837" si="145">E811-C812+D812</f>
        <v>-5568</v>
      </c>
      <c r="G812" s="19"/>
      <c r="H812" s="62"/>
      <c r="I812" s="20"/>
      <c r="J812" s="21"/>
      <c r="K812" s="42"/>
      <c r="L812" s="23"/>
      <c r="M812" s="23"/>
      <c r="N812" s="23"/>
      <c r="O812" s="23"/>
      <c r="Q812" s="19"/>
      <c r="R812" s="62"/>
      <c r="S812" s="20"/>
      <c r="T812" s="21"/>
      <c r="U812" s="42"/>
      <c r="V812" s="23">
        <f t="shared" ref="V812:V837" si="146">V811-Q812+U812</f>
        <v>1</v>
      </c>
      <c r="W812" s="23">
        <f t="shared" ref="W812:W837" si="147">W811-Q812+R812</f>
        <v>1</v>
      </c>
      <c r="X812" s="23"/>
      <c r="Y812" s="23"/>
      <c r="AA812" s="78">
        <v>63</v>
      </c>
      <c r="AB812" s="62">
        <f t="shared" ref="AB812:AB816" si="148">IF(C810&lt;&gt;"",C810+AC812,IF(C808&lt;&gt;"",C808+AC812,IF(C807&lt;&gt;"",C807+AC812,IF(C806&lt;&gt;"",C806+AC812,IF(C805&lt;&gt;"",C805+AC812,IF(C804&lt;&gt;"",C804+AC812))))))</f>
        <v>63</v>
      </c>
      <c r="AC812" s="20"/>
      <c r="AD812" s="21"/>
      <c r="AE812" s="57">
        <v>63</v>
      </c>
      <c r="AF812" s="23">
        <f t="shared" ref="AF812:AF837" si="149">AF811-AA812+AE812</f>
        <v>0</v>
      </c>
      <c r="AG812" s="23">
        <f t="shared" ref="AG812:AG837" si="150">AG811-AA812+AB812</f>
        <v>0</v>
      </c>
      <c r="AH812" s="23"/>
      <c r="AI812" s="23">
        <f>5+12+7</f>
        <v>24</v>
      </c>
    </row>
    <row r="813" spans="1:37" hidden="1" outlineLevel="1">
      <c r="A813" s="96">
        <v>45909</v>
      </c>
      <c r="B813" s="17" t="s">
        <v>19</v>
      </c>
      <c r="C813" s="18">
        <f t="shared" ref="C813:C814" si="151">AA815</f>
        <v>54</v>
      </c>
      <c r="D813" s="23"/>
      <c r="E813" s="23">
        <f t="shared" si="145"/>
        <v>-5622</v>
      </c>
      <c r="G813" s="19"/>
      <c r="H813" s="62"/>
      <c r="I813" s="20"/>
      <c r="J813" s="21"/>
      <c r="K813" s="42"/>
      <c r="L813" s="23"/>
      <c r="M813" s="23"/>
      <c r="N813" s="23"/>
      <c r="O813" s="23"/>
      <c r="Q813" s="19"/>
      <c r="R813" s="62"/>
      <c r="S813" s="20"/>
      <c r="T813" s="21"/>
      <c r="U813" s="42"/>
      <c r="V813" s="23">
        <f t="shared" si="146"/>
        <v>1</v>
      </c>
      <c r="W813" s="23">
        <f t="shared" si="147"/>
        <v>1</v>
      </c>
      <c r="X813" s="23"/>
      <c r="Y813" s="23"/>
      <c r="AA813" s="78">
        <v>0</v>
      </c>
      <c r="AB813" s="62">
        <f t="shared" si="148"/>
        <v>0</v>
      </c>
      <c r="AC813" s="20"/>
      <c r="AD813" s="21"/>
      <c r="AE813" s="57">
        <v>0</v>
      </c>
      <c r="AF813" s="23">
        <f t="shared" si="149"/>
        <v>0</v>
      </c>
      <c r="AG813" s="23">
        <f t="shared" si="150"/>
        <v>0</v>
      </c>
      <c r="AH813" s="23"/>
      <c r="AI813" s="23">
        <f>10+4</f>
        <v>14</v>
      </c>
    </row>
    <row r="814" spans="1:37" hidden="1" outlineLevel="1">
      <c r="A814" s="96">
        <v>45910</v>
      </c>
      <c r="B814" s="17" t="s">
        <v>20</v>
      </c>
      <c r="C814" s="18">
        <f t="shared" si="151"/>
        <v>57</v>
      </c>
      <c r="D814" s="23"/>
      <c r="E814" s="23">
        <f t="shared" si="145"/>
        <v>-5679</v>
      </c>
      <c r="G814" s="19"/>
      <c r="H814" s="62"/>
      <c r="I814" s="20"/>
      <c r="J814" s="21"/>
      <c r="K814" s="42"/>
      <c r="L814" s="23"/>
      <c r="M814" s="23"/>
      <c r="N814" s="23"/>
      <c r="O814" s="23"/>
      <c r="Q814" s="19"/>
      <c r="R814" s="62"/>
      <c r="S814" s="20"/>
      <c r="T814" s="21"/>
      <c r="U814" s="42"/>
      <c r="V814" s="23">
        <f t="shared" si="146"/>
        <v>1</v>
      </c>
      <c r="W814" s="23">
        <f t="shared" si="147"/>
        <v>1</v>
      </c>
      <c r="X814" s="23"/>
      <c r="Y814" s="23"/>
      <c r="AA814" s="78">
        <v>9</v>
      </c>
      <c r="AB814" s="62">
        <f t="shared" si="148"/>
        <v>36</v>
      </c>
      <c r="AC814" s="20">
        <v>27</v>
      </c>
      <c r="AD814" s="21"/>
      <c r="AE814" s="57">
        <v>36</v>
      </c>
      <c r="AF814" s="23">
        <f t="shared" si="149"/>
        <v>27</v>
      </c>
      <c r="AG814" s="23">
        <f t="shared" si="150"/>
        <v>27</v>
      </c>
      <c r="AH814" s="23"/>
      <c r="AI814" s="23">
        <v>0</v>
      </c>
    </row>
    <row r="815" spans="1:37" hidden="1" outlineLevel="1">
      <c r="A815" s="96">
        <v>45911</v>
      </c>
      <c r="B815" s="17" t="s">
        <v>14</v>
      </c>
      <c r="C815" s="18">
        <f>AA820</f>
        <v>69</v>
      </c>
      <c r="D815" s="23"/>
      <c r="E815" s="23">
        <f t="shared" si="145"/>
        <v>-5748</v>
      </c>
      <c r="G815" s="19"/>
      <c r="H815" s="62"/>
      <c r="I815" s="20"/>
      <c r="J815" s="21"/>
      <c r="K815" s="42"/>
      <c r="L815" s="23"/>
      <c r="M815" s="23"/>
      <c r="N815" s="23"/>
      <c r="O815" s="23"/>
      <c r="Q815" s="19"/>
      <c r="R815" s="62"/>
      <c r="S815" s="20"/>
      <c r="T815" s="21"/>
      <c r="U815" s="42"/>
      <c r="V815" s="23">
        <f t="shared" si="146"/>
        <v>1</v>
      </c>
      <c r="W815" s="23">
        <f t="shared" si="147"/>
        <v>1</v>
      </c>
      <c r="X815" s="23"/>
      <c r="Y815" s="23"/>
      <c r="AA815" s="78">
        <v>54</v>
      </c>
      <c r="AB815" s="62">
        <f t="shared" si="148"/>
        <v>36</v>
      </c>
      <c r="AC815" s="20">
        <v>-18</v>
      </c>
      <c r="AD815" s="21"/>
      <c r="AE815" s="57">
        <v>36</v>
      </c>
      <c r="AF815" s="23">
        <f t="shared" si="149"/>
        <v>9</v>
      </c>
      <c r="AG815" s="23">
        <f t="shared" si="150"/>
        <v>9</v>
      </c>
      <c r="AH815" s="23"/>
      <c r="AI815" s="23">
        <v>7</v>
      </c>
    </row>
    <row r="816" spans="1:37" hidden="1" outlineLevel="1">
      <c r="A816" s="96">
        <v>45912</v>
      </c>
      <c r="B816" s="17" t="s">
        <v>15</v>
      </c>
      <c r="C816" s="18">
        <f>AA821</f>
        <v>57</v>
      </c>
      <c r="D816" s="23"/>
      <c r="E816" s="23">
        <f t="shared" si="145"/>
        <v>-5805</v>
      </c>
      <c r="G816" s="19"/>
      <c r="H816" s="62"/>
      <c r="I816" s="20"/>
      <c r="J816" s="21"/>
      <c r="K816" s="42"/>
      <c r="L816" s="23"/>
      <c r="M816" s="23"/>
      <c r="N816" s="23"/>
      <c r="O816" s="23"/>
      <c r="Q816" s="19"/>
      <c r="R816" s="62"/>
      <c r="S816" s="20"/>
      <c r="T816" s="21"/>
      <c r="U816" s="42"/>
      <c r="V816" s="23">
        <f t="shared" si="146"/>
        <v>1</v>
      </c>
      <c r="W816" s="23">
        <f t="shared" si="147"/>
        <v>1</v>
      </c>
      <c r="X816" s="23"/>
      <c r="Y816" s="23"/>
      <c r="AA816" s="78">
        <v>57</v>
      </c>
      <c r="AB816" s="62">
        <f t="shared" si="148"/>
        <v>72</v>
      </c>
      <c r="AC816" s="20">
        <v>15</v>
      </c>
      <c r="AD816" s="21"/>
      <c r="AE816" s="57">
        <v>72</v>
      </c>
      <c r="AF816" s="23">
        <f t="shared" si="149"/>
        <v>24</v>
      </c>
      <c r="AG816" s="23">
        <f t="shared" si="150"/>
        <v>24</v>
      </c>
      <c r="AH816" s="23"/>
      <c r="AI816" s="23">
        <v>6</v>
      </c>
      <c r="AK816" s="1">
        <f>AVERAGE(AA812:AA816)</f>
        <v>36.6</v>
      </c>
    </row>
    <row r="817" spans="1:37" s="12" customFormat="1" hidden="1" outlineLevel="1">
      <c r="A817" s="95">
        <v>45913</v>
      </c>
      <c r="B817" s="25" t="s">
        <v>16</v>
      </c>
      <c r="C817" s="26"/>
      <c r="D817" s="29"/>
      <c r="E817" s="29">
        <f t="shared" si="145"/>
        <v>-5805</v>
      </c>
      <c r="G817" s="64"/>
      <c r="H817" s="63"/>
      <c r="I817" s="27"/>
      <c r="J817" s="28"/>
      <c r="K817" s="43"/>
      <c r="L817" s="29"/>
      <c r="M817" s="29"/>
      <c r="N817" s="29"/>
      <c r="O817" s="29"/>
      <c r="Q817" s="64"/>
      <c r="R817" s="63"/>
      <c r="S817" s="27"/>
      <c r="T817" s="28"/>
      <c r="U817" s="43"/>
      <c r="V817" s="29">
        <f t="shared" si="146"/>
        <v>1</v>
      </c>
      <c r="W817" s="29">
        <f t="shared" si="147"/>
        <v>1</v>
      </c>
      <c r="X817" s="29"/>
      <c r="Y817" s="29"/>
      <c r="AA817" s="79"/>
      <c r="AB817" s="63"/>
      <c r="AC817" s="27"/>
      <c r="AD817" s="28"/>
      <c r="AE817" s="43"/>
      <c r="AF817" s="29">
        <f t="shared" si="149"/>
        <v>24</v>
      </c>
      <c r="AG817" s="29">
        <f t="shared" si="150"/>
        <v>24</v>
      </c>
      <c r="AH817" s="29"/>
      <c r="AI817" s="29"/>
      <c r="AJ817" s="11"/>
    </row>
    <row r="818" spans="1:37" s="12" customFormat="1" hidden="1" outlineLevel="1">
      <c r="A818" s="95">
        <v>45914</v>
      </c>
      <c r="B818" s="25" t="s">
        <v>17</v>
      </c>
      <c r="C818" s="26"/>
      <c r="D818" s="29"/>
      <c r="E818" s="29">
        <f t="shared" si="145"/>
        <v>-5805</v>
      </c>
      <c r="G818" s="64"/>
      <c r="H818" s="63"/>
      <c r="I818" s="27"/>
      <c r="J818" s="28"/>
      <c r="K818" s="43"/>
      <c r="L818" s="29"/>
      <c r="M818" s="29"/>
      <c r="N818" s="29"/>
      <c r="O818" s="29"/>
      <c r="Q818" s="64"/>
      <c r="R818" s="63"/>
      <c r="S818" s="27"/>
      <c r="T818" s="28"/>
      <c r="U818" s="43"/>
      <c r="V818" s="29">
        <f t="shared" si="146"/>
        <v>1</v>
      </c>
      <c r="W818" s="29">
        <f t="shared" si="147"/>
        <v>1</v>
      </c>
      <c r="X818" s="29"/>
      <c r="Y818" s="29"/>
      <c r="AA818" s="79"/>
      <c r="AB818" s="63"/>
      <c r="AC818" s="27"/>
      <c r="AD818" s="28"/>
      <c r="AE818" s="43"/>
      <c r="AF818" s="29">
        <f t="shared" si="149"/>
        <v>24</v>
      </c>
      <c r="AG818" s="29">
        <f t="shared" si="150"/>
        <v>24</v>
      </c>
      <c r="AH818" s="29"/>
      <c r="AI818" s="29"/>
      <c r="AJ818" s="11"/>
    </row>
    <row r="819" spans="1:37" s="12" customFormat="1" collapsed="1">
      <c r="A819" s="95">
        <v>45915</v>
      </c>
      <c r="B819" s="25" t="s">
        <v>18</v>
      </c>
      <c r="C819" s="26"/>
      <c r="D819" s="29"/>
      <c r="E819" s="29">
        <f t="shared" si="145"/>
        <v>-5805</v>
      </c>
      <c r="G819" s="64"/>
      <c r="H819" s="63"/>
      <c r="I819" s="27"/>
      <c r="J819" s="28"/>
      <c r="K819" s="43"/>
      <c r="L819" s="29"/>
      <c r="M819" s="29"/>
      <c r="N819" s="29"/>
      <c r="O819" s="29"/>
      <c r="Q819" s="64"/>
      <c r="R819" s="63"/>
      <c r="S819" s="27"/>
      <c r="T819" s="28"/>
      <c r="U819" s="43"/>
      <c r="V819" s="29">
        <f t="shared" si="146"/>
        <v>1</v>
      </c>
      <c r="W819" s="29">
        <f t="shared" si="147"/>
        <v>1</v>
      </c>
      <c r="X819" s="29"/>
      <c r="Y819" s="29"/>
      <c r="AA819" s="79"/>
      <c r="AB819" s="63"/>
      <c r="AC819" s="27"/>
      <c r="AD819" s="28"/>
      <c r="AE819" s="43"/>
      <c r="AF819" s="29">
        <f t="shared" si="149"/>
        <v>24</v>
      </c>
      <c r="AG819" s="29">
        <f t="shared" si="150"/>
        <v>24</v>
      </c>
      <c r="AH819" s="29"/>
      <c r="AI819" s="29"/>
      <c r="AJ819" s="11"/>
    </row>
    <row r="820" spans="1:37">
      <c r="A820" s="96">
        <v>45916</v>
      </c>
      <c r="B820" s="17" t="s">
        <v>19</v>
      </c>
      <c r="C820" s="18">
        <f t="shared" ref="C820:C821" si="152">AA822</f>
        <v>72</v>
      </c>
      <c r="D820" s="23"/>
      <c r="E820" s="23">
        <f t="shared" si="145"/>
        <v>-5877</v>
      </c>
      <c r="G820" s="19"/>
      <c r="H820" s="62"/>
      <c r="I820" s="20"/>
      <c r="J820" s="21"/>
      <c r="K820" s="42"/>
      <c r="L820" s="23"/>
      <c r="M820" s="23"/>
      <c r="N820" s="23"/>
      <c r="O820" s="23"/>
      <c r="Q820" s="19"/>
      <c r="R820" s="62"/>
      <c r="S820" s="20"/>
      <c r="T820" s="21"/>
      <c r="U820" s="42"/>
      <c r="V820" s="23">
        <f t="shared" si="146"/>
        <v>1</v>
      </c>
      <c r="W820" s="23">
        <f t="shared" si="147"/>
        <v>1</v>
      </c>
      <c r="X820" s="23"/>
      <c r="Y820" s="23"/>
      <c r="AA820" s="78">
        <v>69</v>
      </c>
      <c r="AB820" s="62">
        <f>C815+AC820</f>
        <v>45</v>
      </c>
      <c r="AC820" s="20">
        <v>-24</v>
      </c>
      <c r="AD820" s="21"/>
      <c r="AE820" s="57">
        <v>45</v>
      </c>
      <c r="AF820" s="23">
        <f t="shared" si="149"/>
        <v>0</v>
      </c>
      <c r="AG820" s="23">
        <f t="shared" si="150"/>
        <v>0</v>
      </c>
      <c r="AH820" s="23"/>
      <c r="AI820" s="23">
        <v>8</v>
      </c>
    </row>
    <row r="821" spans="1:37">
      <c r="A821" s="96">
        <v>45917</v>
      </c>
      <c r="B821" s="17" t="s">
        <v>20</v>
      </c>
      <c r="C821" s="18">
        <f t="shared" si="152"/>
        <v>54</v>
      </c>
      <c r="D821" s="23"/>
      <c r="E821" s="23">
        <f t="shared" si="145"/>
        <v>-5931</v>
      </c>
      <c r="G821" s="19"/>
      <c r="H821" s="62"/>
      <c r="I821" s="20"/>
      <c r="J821" s="21"/>
      <c r="K821" s="42"/>
      <c r="L821" s="23"/>
      <c r="M821" s="23"/>
      <c r="N821" s="23"/>
      <c r="O821" s="23"/>
      <c r="Q821" s="19"/>
      <c r="R821" s="62"/>
      <c r="S821" s="20"/>
      <c r="T821" s="21"/>
      <c r="U821" s="42"/>
      <c r="V821" s="23">
        <f t="shared" si="146"/>
        <v>1</v>
      </c>
      <c r="W821" s="23">
        <f t="shared" si="147"/>
        <v>1</v>
      </c>
      <c r="X821" s="23"/>
      <c r="Y821" s="23"/>
      <c r="AA821" s="78">
        <v>57</v>
      </c>
      <c r="AB821" s="62">
        <f t="shared" ref="AB821:AB823" si="153">IF(C819&lt;&gt;"",C819+AC821,IF(C817&lt;&gt;"",C817+AC821,IF(C816&lt;&gt;"",C816+AC821,IF(C815&lt;&gt;"",C815+AC821,IF(C814&lt;&gt;"",C814+AC821,IF(C813&lt;&gt;"",C813+AC821))))))</f>
        <v>57</v>
      </c>
      <c r="AC821" s="20"/>
      <c r="AD821" s="21"/>
      <c r="AE821" s="57">
        <v>57</v>
      </c>
      <c r="AF821" s="23">
        <f t="shared" si="149"/>
        <v>0</v>
      </c>
      <c r="AG821" s="23">
        <f t="shared" si="150"/>
        <v>0</v>
      </c>
      <c r="AH821" s="23"/>
      <c r="AI821" s="23">
        <f>8+4</f>
        <v>12</v>
      </c>
    </row>
    <row r="822" spans="1:37">
      <c r="A822" s="96">
        <v>45918</v>
      </c>
      <c r="B822" s="17" t="s">
        <v>14</v>
      </c>
      <c r="C822" s="18">
        <f>AA826</f>
        <v>57</v>
      </c>
      <c r="D822" s="23"/>
      <c r="E822" s="23">
        <f t="shared" si="145"/>
        <v>-5988</v>
      </c>
      <c r="G822" s="19"/>
      <c r="H822" s="62"/>
      <c r="I822" s="20"/>
      <c r="J822" s="21"/>
      <c r="K822" s="42"/>
      <c r="L822" s="23"/>
      <c r="M822" s="23"/>
      <c r="N822" s="23"/>
      <c r="O822" s="23"/>
      <c r="Q822" s="19"/>
      <c r="R822" s="62"/>
      <c r="S822" s="20"/>
      <c r="T822" s="21"/>
      <c r="U822" s="42"/>
      <c r="V822" s="23">
        <f t="shared" si="146"/>
        <v>1</v>
      </c>
      <c r="W822" s="23">
        <f t="shared" si="147"/>
        <v>1</v>
      </c>
      <c r="X822" s="23"/>
      <c r="Y822" s="23"/>
      <c r="AA822" s="78">
        <v>72</v>
      </c>
      <c r="AB822" s="62">
        <f t="shared" si="153"/>
        <v>72</v>
      </c>
      <c r="AC822" s="20"/>
      <c r="AD822" s="21"/>
      <c r="AE822" s="57">
        <v>72</v>
      </c>
      <c r="AF822" s="23">
        <f t="shared" si="149"/>
        <v>0</v>
      </c>
      <c r="AG822" s="23">
        <f t="shared" si="150"/>
        <v>0</v>
      </c>
      <c r="AH822" s="23"/>
      <c r="AI822" s="23">
        <v>10</v>
      </c>
    </row>
    <row r="823" spans="1:37">
      <c r="A823" s="96">
        <v>45919</v>
      </c>
      <c r="B823" s="17" t="s">
        <v>15</v>
      </c>
      <c r="C823" s="18">
        <f>AA827</f>
        <v>57</v>
      </c>
      <c r="D823" s="23"/>
      <c r="E823" s="23">
        <f t="shared" si="145"/>
        <v>-6045</v>
      </c>
      <c r="G823" s="19"/>
      <c r="H823" s="62"/>
      <c r="I823" s="20"/>
      <c r="J823" s="21"/>
      <c r="K823" s="42"/>
      <c r="L823" s="23"/>
      <c r="M823" s="23"/>
      <c r="N823" s="23"/>
      <c r="O823" s="23"/>
      <c r="Q823" s="19"/>
      <c r="R823" s="62"/>
      <c r="S823" s="20"/>
      <c r="T823" s="21"/>
      <c r="U823" s="42"/>
      <c r="V823" s="23">
        <f t="shared" si="146"/>
        <v>1</v>
      </c>
      <c r="W823" s="23">
        <f t="shared" si="147"/>
        <v>1</v>
      </c>
      <c r="X823" s="23"/>
      <c r="Y823" s="23"/>
      <c r="AA823" s="78">
        <v>54</v>
      </c>
      <c r="AB823" s="62">
        <f t="shared" si="153"/>
        <v>54</v>
      </c>
      <c r="AC823" s="20"/>
      <c r="AD823" s="21"/>
      <c r="AE823" s="57">
        <v>54</v>
      </c>
      <c r="AF823" s="23">
        <f t="shared" si="149"/>
        <v>0</v>
      </c>
      <c r="AG823" s="23">
        <f t="shared" si="150"/>
        <v>0</v>
      </c>
      <c r="AH823" s="23"/>
      <c r="AI823" s="23">
        <v>12</v>
      </c>
      <c r="AK823" s="1">
        <f>AVERAGE(AA820:AA823)</f>
        <v>63</v>
      </c>
    </row>
    <row r="824" spans="1:37" s="12" customFormat="1">
      <c r="A824" s="95">
        <v>45920</v>
      </c>
      <c r="B824" s="25" t="s">
        <v>16</v>
      </c>
      <c r="C824" s="26"/>
      <c r="D824" s="29"/>
      <c r="E824" s="29">
        <f t="shared" si="145"/>
        <v>-6045</v>
      </c>
      <c r="G824" s="64"/>
      <c r="H824" s="63"/>
      <c r="I824" s="27"/>
      <c r="J824" s="28"/>
      <c r="K824" s="43"/>
      <c r="L824" s="29"/>
      <c r="M824" s="29"/>
      <c r="N824" s="29"/>
      <c r="O824" s="29"/>
      <c r="Q824" s="64"/>
      <c r="R824" s="63"/>
      <c r="S824" s="27"/>
      <c r="T824" s="28"/>
      <c r="U824" s="43"/>
      <c r="V824" s="29">
        <f t="shared" si="146"/>
        <v>1</v>
      </c>
      <c r="W824" s="29">
        <f t="shared" si="147"/>
        <v>1</v>
      </c>
      <c r="X824" s="29"/>
      <c r="Y824" s="29"/>
      <c r="AA824" s="79"/>
      <c r="AB824" s="63"/>
      <c r="AC824" s="27"/>
      <c r="AD824" s="28"/>
      <c r="AE824" s="43"/>
      <c r="AF824" s="29">
        <f t="shared" si="149"/>
        <v>0</v>
      </c>
      <c r="AG824" s="29">
        <f t="shared" si="150"/>
        <v>0</v>
      </c>
      <c r="AH824" s="29"/>
      <c r="AI824" s="29"/>
      <c r="AJ824" s="11"/>
    </row>
    <row r="825" spans="1:37" s="12" customFormat="1">
      <c r="A825" s="95">
        <v>45921</v>
      </c>
      <c r="B825" s="25" t="s">
        <v>17</v>
      </c>
      <c r="C825" s="26"/>
      <c r="D825" s="29"/>
      <c r="E825" s="29">
        <f t="shared" si="145"/>
        <v>-6045</v>
      </c>
      <c r="G825" s="64"/>
      <c r="H825" s="63"/>
      <c r="I825" s="27"/>
      <c r="J825" s="28"/>
      <c r="K825" s="43"/>
      <c r="L825" s="29"/>
      <c r="M825" s="29"/>
      <c r="N825" s="29"/>
      <c r="O825" s="29"/>
      <c r="Q825" s="64"/>
      <c r="R825" s="63"/>
      <c r="S825" s="27"/>
      <c r="T825" s="28"/>
      <c r="U825" s="43"/>
      <c r="V825" s="29">
        <f t="shared" si="146"/>
        <v>1</v>
      </c>
      <c r="W825" s="29">
        <f t="shared" si="147"/>
        <v>1</v>
      </c>
      <c r="X825" s="29"/>
      <c r="Y825" s="29"/>
      <c r="AA825" s="79"/>
      <c r="AB825" s="63"/>
      <c r="AC825" s="27"/>
      <c r="AD825" s="28"/>
      <c r="AE825" s="43"/>
      <c r="AF825" s="29">
        <f t="shared" si="149"/>
        <v>0</v>
      </c>
      <c r="AG825" s="29">
        <f t="shared" si="150"/>
        <v>0</v>
      </c>
      <c r="AH825" s="29"/>
      <c r="AI825" s="29"/>
      <c r="AJ825" s="11"/>
    </row>
    <row r="826" spans="1:37">
      <c r="A826" s="96">
        <v>45922</v>
      </c>
      <c r="B826" s="17" t="s">
        <v>18</v>
      </c>
      <c r="C826" s="152">
        <f>AA828</f>
        <v>54</v>
      </c>
      <c r="D826" s="23"/>
      <c r="E826" s="23">
        <f t="shared" si="145"/>
        <v>-6099</v>
      </c>
      <c r="G826" s="19"/>
      <c r="H826" s="62"/>
      <c r="I826" s="20"/>
      <c r="J826" s="21"/>
      <c r="K826" s="42"/>
      <c r="L826" s="23"/>
      <c r="M826" s="23"/>
      <c r="N826" s="23"/>
      <c r="O826" s="23"/>
      <c r="Q826" s="19"/>
      <c r="R826" s="62"/>
      <c r="S826" s="20"/>
      <c r="T826" s="21"/>
      <c r="U826" s="42"/>
      <c r="V826" s="23">
        <f t="shared" si="146"/>
        <v>1</v>
      </c>
      <c r="W826" s="23">
        <f t="shared" si="147"/>
        <v>1</v>
      </c>
      <c r="X826" s="23"/>
      <c r="Y826" s="23"/>
      <c r="AA826" s="78">
        <v>57</v>
      </c>
      <c r="AB826" s="62">
        <f t="shared" ref="AB826:AB830" si="154">IF(C824&lt;&gt;"",C824+AC826,IF(C822&lt;&gt;"",C822+AC826,IF(C821&lt;&gt;"",C821+AC826,IF(C820&lt;&gt;"",C820+AC826,IF(C819&lt;&gt;"",C819+AC826,IF(C818&lt;&gt;"",C818+AC826))))))</f>
        <v>57</v>
      </c>
      <c r="AC826" s="20"/>
      <c r="AD826" s="21"/>
      <c r="AE826" s="57">
        <v>57</v>
      </c>
      <c r="AF826" s="23">
        <f t="shared" si="149"/>
        <v>0</v>
      </c>
      <c r="AG826" s="23">
        <f t="shared" si="150"/>
        <v>0</v>
      </c>
      <c r="AH826" s="23"/>
      <c r="AI826" s="23"/>
    </row>
    <row r="827" spans="1:37">
      <c r="A827" s="96">
        <v>45923</v>
      </c>
      <c r="B827" s="17" t="s">
        <v>19</v>
      </c>
      <c r="C827" s="152">
        <f t="shared" ref="C827:C828" si="155">AA829</f>
        <v>72</v>
      </c>
      <c r="D827" s="23"/>
      <c r="E827" s="23">
        <f t="shared" si="145"/>
        <v>-6171</v>
      </c>
      <c r="G827" s="19"/>
      <c r="H827" s="62"/>
      <c r="I827" s="20"/>
      <c r="J827" s="21"/>
      <c r="K827" s="42"/>
      <c r="L827" s="23"/>
      <c r="M827" s="23"/>
      <c r="N827" s="23"/>
      <c r="O827" s="23"/>
      <c r="Q827" s="19"/>
      <c r="R827" s="62"/>
      <c r="S827" s="20"/>
      <c r="T827" s="21"/>
      <c r="U827" s="42"/>
      <c r="V827" s="23">
        <f t="shared" si="146"/>
        <v>1</v>
      </c>
      <c r="W827" s="23">
        <f t="shared" si="147"/>
        <v>1</v>
      </c>
      <c r="X827" s="23"/>
      <c r="Y827" s="23"/>
      <c r="AA827" s="78">
        <v>57</v>
      </c>
      <c r="AB827" s="62">
        <f t="shared" si="154"/>
        <v>57</v>
      </c>
      <c r="AC827" s="20"/>
      <c r="AD827" s="21"/>
      <c r="AE827" s="42"/>
      <c r="AF827" s="23">
        <f t="shared" si="149"/>
        <v>-57</v>
      </c>
      <c r="AG827" s="23">
        <f t="shared" si="150"/>
        <v>0</v>
      </c>
      <c r="AH827" s="23"/>
      <c r="AI827" s="23"/>
    </row>
    <row r="828" spans="1:37">
      <c r="A828" s="96">
        <v>45924</v>
      </c>
      <c r="B828" s="17" t="s">
        <v>20</v>
      </c>
      <c r="C828" s="152">
        <f t="shared" si="155"/>
        <v>48</v>
      </c>
      <c r="D828" s="23"/>
      <c r="E828" s="23">
        <f t="shared" si="145"/>
        <v>-6219</v>
      </c>
      <c r="G828" s="19"/>
      <c r="H828" s="62"/>
      <c r="I828" s="20"/>
      <c r="J828" s="21"/>
      <c r="K828" s="42"/>
      <c r="L828" s="23"/>
      <c r="M828" s="23"/>
      <c r="N828" s="23"/>
      <c r="O828" s="23"/>
      <c r="Q828" s="19"/>
      <c r="R828" s="62"/>
      <c r="S828" s="20"/>
      <c r="T828" s="21"/>
      <c r="U828" s="42"/>
      <c r="V828" s="23">
        <f t="shared" si="146"/>
        <v>1</v>
      </c>
      <c r="W828" s="23">
        <f t="shared" si="147"/>
        <v>1</v>
      </c>
      <c r="X828" s="23"/>
      <c r="Y828" s="23"/>
      <c r="AA828" s="78">
        <v>54</v>
      </c>
      <c r="AB828" s="62">
        <f t="shared" si="154"/>
        <v>54</v>
      </c>
      <c r="AC828" s="20"/>
      <c r="AD828" s="21"/>
      <c r="AE828" s="42"/>
      <c r="AF828" s="23">
        <f t="shared" si="149"/>
        <v>-111</v>
      </c>
      <c r="AG828" s="23">
        <f t="shared" si="150"/>
        <v>0</v>
      </c>
      <c r="AH828" s="23"/>
      <c r="AI828" s="23"/>
    </row>
    <row r="829" spans="1:37">
      <c r="A829" s="96">
        <v>45925</v>
      </c>
      <c r="B829" s="17" t="s">
        <v>14</v>
      </c>
      <c r="C829" s="152">
        <f>AA833</f>
        <v>72</v>
      </c>
      <c r="D829" s="23"/>
      <c r="E829" s="23">
        <f t="shared" si="145"/>
        <v>-6291</v>
      </c>
      <c r="G829" s="19"/>
      <c r="H829" s="62"/>
      <c r="I829" s="20"/>
      <c r="J829" s="21"/>
      <c r="K829" s="42"/>
      <c r="L829" s="23"/>
      <c r="M829" s="23"/>
      <c r="N829" s="23"/>
      <c r="O829" s="23"/>
      <c r="Q829" s="19"/>
      <c r="R829" s="62"/>
      <c r="S829" s="20"/>
      <c r="T829" s="21"/>
      <c r="U829" s="42"/>
      <c r="V829" s="23">
        <f t="shared" si="146"/>
        <v>1</v>
      </c>
      <c r="W829" s="23">
        <f t="shared" si="147"/>
        <v>1</v>
      </c>
      <c r="X829" s="23"/>
      <c r="Y829" s="23"/>
      <c r="AA829" s="78">
        <v>72</v>
      </c>
      <c r="AB829" s="62">
        <f t="shared" si="154"/>
        <v>72</v>
      </c>
      <c r="AC829" s="20"/>
      <c r="AD829" s="21"/>
      <c r="AE829" s="42"/>
      <c r="AF829" s="23">
        <f t="shared" si="149"/>
        <v>-183</v>
      </c>
      <c r="AG829" s="23">
        <f t="shared" si="150"/>
        <v>0</v>
      </c>
      <c r="AH829" s="23"/>
      <c r="AI829" s="23"/>
    </row>
    <row r="830" spans="1:37">
      <c r="A830" s="96">
        <v>45926</v>
      </c>
      <c r="B830" s="17" t="s">
        <v>15</v>
      </c>
      <c r="C830" s="152">
        <f>AA834</f>
        <v>72</v>
      </c>
      <c r="D830" s="23"/>
      <c r="E830" s="23">
        <f t="shared" si="145"/>
        <v>-6363</v>
      </c>
      <c r="G830" s="19"/>
      <c r="H830" s="62"/>
      <c r="I830" s="20"/>
      <c r="J830" s="21"/>
      <c r="K830" s="42"/>
      <c r="L830" s="23"/>
      <c r="M830" s="23"/>
      <c r="N830" s="23"/>
      <c r="O830" s="23"/>
      <c r="Q830" s="19"/>
      <c r="R830" s="62"/>
      <c r="S830" s="20"/>
      <c r="T830" s="21"/>
      <c r="U830" s="42"/>
      <c r="V830" s="23">
        <f t="shared" si="146"/>
        <v>1</v>
      </c>
      <c r="W830" s="23">
        <f t="shared" si="147"/>
        <v>1</v>
      </c>
      <c r="X830" s="23"/>
      <c r="Y830" s="23"/>
      <c r="AA830" s="78">
        <v>48</v>
      </c>
      <c r="AB830" s="62">
        <f t="shared" si="154"/>
        <v>48</v>
      </c>
      <c r="AC830" s="20"/>
      <c r="AD830" s="21"/>
      <c r="AE830" s="42"/>
      <c r="AF830" s="23">
        <f t="shared" si="149"/>
        <v>-231</v>
      </c>
      <c r="AG830" s="23">
        <f t="shared" si="150"/>
        <v>0</v>
      </c>
      <c r="AH830" s="23"/>
      <c r="AI830" s="23"/>
      <c r="AK830" s="1">
        <f>AVERAGE(AA826:AA830)</f>
        <v>57.6</v>
      </c>
    </row>
    <row r="831" spans="1:37" s="12" customFormat="1">
      <c r="A831" s="95">
        <v>45927</v>
      </c>
      <c r="B831" s="25" t="s">
        <v>16</v>
      </c>
      <c r="C831" s="26"/>
      <c r="D831" s="29"/>
      <c r="E831" s="29">
        <f t="shared" si="145"/>
        <v>-6363</v>
      </c>
      <c r="G831" s="64"/>
      <c r="H831" s="63"/>
      <c r="I831" s="27"/>
      <c r="J831" s="28"/>
      <c r="K831" s="43"/>
      <c r="L831" s="29"/>
      <c r="M831" s="29"/>
      <c r="N831" s="29"/>
      <c r="O831" s="29"/>
      <c r="Q831" s="64"/>
      <c r="R831" s="63"/>
      <c r="S831" s="27"/>
      <c r="T831" s="28"/>
      <c r="U831" s="43"/>
      <c r="V831" s="29">
        <f t="shared" si="146"/>
        <v>1</v>
      </c>
      <c r="W831" s="29">
        <f t="shared" si="147"/>
        <v>1</v>
      </c>
      <c r="X831" s="29"/>
      <c r="Y831" s="29"/>
      <c r="AA831" s="64"/>
      <c r="AB831" s="63"/>
      <c r="AC831" s="27"/>
      <c r="AD831" s="28"/>
      <c r="AE831" s="43"/>
      <c r="AF831" s="29">
        <f t="shared" si="149"/>
        <v>-231</v>
      </c>
      <c r="AG831" s="29">
        <f t="shared" si="150"/>
        <v>0</v>
      </c>
      <c r="AH831" s="29"/>
      <c r="AI831" s="29"/>
      <c r="AJ831" s="11"/>
    </row>
    <row r="832" spans="1:37" s="12" customFormat="1">
      <c r="A832" s="95">
        <v>45928</v>
      </c>
      <c r="B832" s="25" t="s">
        <v>17</v>
      </c>
      <c r="C832" s="26"/>
      <c r="D832" s="29"/>
      <c r="E832" s="29">
        <f t="shared" si="145"/>
        <v>-6363</v>
      </c>
      <c r="G832" s="64"/>
      <c r="H832" s="63"/>
      <c r="I832" s="27"/>
      <c r="J832" s="28"/>
      <c r="K832" s="43"/>
      <c r="L832" s="29"/>
      <c r="M832" s="29"/>
      <c r="N832" s="29"/>
      <c r="O832" s="29"/>
      <c r="Q832" s="64"/>
      <c r="R832" s="63"/>
      <c r="S832" s="27"/>
      <c r="T832" s="28"/>
      <c r="U832" s="43"/>
      <c r="V832" s="29">
        <f t="shared" si="146"/>
        <v>1</v>
      </c>
      <c r="W832" s="29">
        <f t="shared" si="147"/>
        <v>1</v>
      </c>
      <c r="X832" s="29"/>
      <c r="Y832" s="29"/>
      <c r="AA832" s="64"/>
      <c r="AB832" s="63"/>
      <c r="AC832" s="27"/>
      <c r="AD832" s="28"/>
      <c r="AE832" s="43"/>
      <c r="AF832" s="29">
        <f t="shared" si="149"/>
        <v>-231</v>
      </c>
      <c r="AG832" s="29">
        <f t="shared" si="150"/>
        <v>0</v>
      </c>
      <c r="AH832" s="29"/>
      <c r="AI832" s="29"/>
      <c r="AJ832" s="11"/>
    </row>
    <row r="833" spans="1:37">
      <c r="A833" s="96">
        <v>45929</v>
      </c>
      <c r="B833" s="17" t="s">
        <v>18</v>
      </c>
      <c r="C833" s="152">
        <f>AA835</f>
        <v>63</v>
      </c>
      <c r="D833" s="23"/>
      <c r="E833" s="23">
        <f t="shared" si="145"/>
        <v>-6426</v>
      </c>
      <c r="G833" s="19"/>
      <c r="H833" s="62"/>
      <c r="I833" s="20"/>
      <c r="J833" s="21"/>
      <c r="K833" s="42"/>
      <c r="L833" s="23"/>
      <c r="M833" s="23"/>
      <c r="N833" s="23"/>
      <c r="O833" s="23"/>
      <c r="Q833" s="19"/>
      <c r="R833" s="62"/>
      <c r="S833" s="20"/>
      <c r="T833" s="21"/>
      <c r="U833" s="42"/>
      <c r="V833" s="23">
        <f t="shared" si="146"/>
        <v>1</v>
      </c>
      <c r="W833" s="23">
        <f t="shared" si="147"/>
        <v>1</v>
      </c>
      <c r="X833" s="23"/>
      <c r="Y833" s="23"/>
      <c r="AA833" s="78">
        <v>72</v>
      </c>
      <c r="AB833" s="62">
        <f t="shared" ref="AB833:AB837" si="156">IF(C831&lt;&gt;"",C831+AC833,IF(C829&lt;&gt;"",C829+AC833,IF(C828&lt;&gt;"",C828+AC833,IF(C827&lt;&gt;"",C827+AC833,IF(C826&lt;&gt;"",C826+AC833,IF(C825&lt;&gt;"",C825+AC833))))))</f>
        <v>72</v>
      </c>
      <c r="AC833" s="20"/>
      <c r="AD833" s="21"/>
      <c r="AE833" s="42"/>
      <c r="AF833" s="23">
        <f t="shared" si="149"/>
        <v>-303</v>
      </c>
      <c r="AG833" s="23">
        <f t="shared" si="150"/>
        <v>0</v>
      </c>
      <c r="AH833" s="23"/>
      <c r="AI833" s="23"/>
    </row>
    <row r="834" spans="1:37">
      <c r="A834" s="96">
        <v>45930</v>
      </c>
      <c r="B834" s="17" t="s">
        <v>19</v>
      </c>
      <c r="C834" s="152">
        <f t="shared" ref="C834:C835" si="157">AA836</f>
        <v>72</v>
      </c>
      <c r="D834" s="23"/>
      <c r="E834" s="23">
        <f t="shared" si="145"/>
        <v>-6498</v>
      </c>
      <c r="G834" s="19"/>
      <c r="H834" s="62"/>
      <c r="I834" s="20"/>
      <c r="J834" s="21"/>
      <c r="K834" s="42"/>
      <c r="L834" s="23"/>
      <c r="M834" s="23"/>
      <c r="N834" s="23"/>
      <c r="O834" s="23"/>
      <c r="Q834" s="19"/>
      <c r="R834" s="62"/>
      <c r="S834" s="20"/>
      <c r="T834" s="21"/>
      <c r="U834" s="42"/>
      <c r="V834" s="23">
        <f t="shared" si="146"/>
        <v>1</v>
      </c>
      <c r="W834" s="23">
        <f t="shared" si="147"/>
        <v>1</v>
      </c>
      <c r="X834" s="23"/>
      <c r="Y834" s="23"/>
      <c r="AA834" s="78">
        <v>72</v>
      </c>
      <c r="AB834" s="62">
        <f t="shared" si="156"/>
        <v>72</v>
      </c>
      <c r="AC834" s="20"/>
      <c r="AD834" s="21"/>
      <c r="AE834" s="42"/>
      <c r="AF834" s="23">
        <f t="shared" si="149"/>
        <v>-375</v>
      </c>
      <c r="AG834" s="23">
        <f t="shared" si="150"/>
        <v>0</v>
      </c>
      <c r="AH834" s="23"/>
      <c r="AI834" s="23"/>
    </row>
    <row r="835" spans="1:37">
      <c r="A835" s="96">
        <v>45931</v>
      </c>
      <c r="B835" s="17" t="s">
        <v>20</v>
      </c>
      <c r="C835" s="152">
        <f t="shared" si="157"/>
        <v>57</v>
      </c>
      <c r="D835" s="23"/>
      <c r="E835" s="23">
        <f t="shared" si="145"/>
        <v>-6555</v>
      </c>
      <c r="G835" s="19"/>
      <c r="H835" s="62"/>
      <c r="I835" s="20"/>
      <c r="J835" s="21"/>
      <c r="K835" s="42"/>
      <c r="L835" s="23"/>
      <c r="M835" s="23"/>
      <c r="N835" s="23"/>
      <c r="O835" s="23"/>
      <c r="Q835" s="19"/>
      <c r="R835" s="62"/>
      <c r="S835" s="20"/>
      <c r="T835" s="21"/>
      <c r="U835" s="42"/>
      <c r="V835" s="23">
        <f t="shared" si="146"/>
        <v>1</v>
      </c>
      <c r="W835" s="23">
        <f t="shared" si="147"/>
        <v>1</v>
      </c>
      <c r="X835" s="23"/>
      <c r="Y835" s="23"/>
      <c r="AA835" s="78">
        <f>57+6</f>
        <v>63</v>
      </c>
      <c r="AB835" s="62">
        <f t="shared" si="156"/>
        <v>63</v>
      </c>
      <c r="AC835" s="20"/>
      <c r="AD835" s="21"/>
      <c r="AE835" s="42"/>
      <c r="AF835" s="23">
        <f t="shared" si="149"/>
        <v>-438</v>
      </c>
      <c r="AG835" s="23">
        <f t="shared" si="150"/>
        <v>0</v>
      </c>
      <c r="AH835" s="23"/>
      <c r="AI835" s="23"/>
    </row>
    <row r="836" spans="1:37">
      <c r="A836" s="96">
        <v>45932</v>
      </c>
      <c r="B836" s="17" t="s">
        <v>14</v>
      </c>
      <c r="C836" s="152">
        <f>AA840</f>
        <v>72</v>
      </c>
      <c r="D836" s="23"/>
      <c r="E836" s="23">
        <f t="shared" si="145"/>
        <v>-6627</v>
      </c>
      <c r="G836" s="19"/>
      <c r="H836" s="62"/>
      <c r="I836" s="20"/>
      <c r="J836" s="21"/>
      <c r="K836" s="42"/>
      <c r="L836" s="23"/>
      <c r="M836" s="23"/>
      <c r="N836" s="23"/>
      <c r="O836" s="23"/>
      <c r="Q836" s="19"/>
      <c r="R836" s="62"/>
      <c r="S836" s="20"/>
      <c r="T836" s="21"/>
      <c r="U836" s="42"/>
      <c r="V836" s="23">
        <f t="shared" si="146"/>
        <v>1</v>
      </c>
      <c r="W836" s="23">
        <f t="shared" si="147"/>
        <v>1</v>
      </c>
      <c r="X836" s="23"/>
      <c r="Y836" s="23"/>
      <c r="AA836" s="78">
        <v>72</v>
      </c>
      <c r="AB836" s="62">
        <f t="shared" si="156"/>
        <v>72</v>
      </c>
      <c r="AC836" s="20"/>
      <c r="AD836" s="21"/>
      <c r="AE836" s="42"/>
      <c r="AF836" s="23">
        <f t="shared" si="149"/>
        <v>-510</v>
      </c>
      <c r="AG836" s="23">
        <f t="shared" si="150"/>
        <v>0</v>
      </c>
      <c r="AH836" s="23"/>
      <c r="AI836" s="23"/>
    </row>
    <row r="837" spans="1:37">
      <c r="A837" s="96">
        <v>45933</v>
      </c>
      <c r="B837" s="17" t="s">
        <v>15</v>
      </c>
      <c r="C837" s="152">
        <f>AA841</f>
        <v>57</v>
      </c>
      <c r="D837" s="23"/>
      <c r="E837" s="23">
        <f t="shared" si="145"/>
        <v>-6684</v>
      </c>
      <c r="G837" s="19"/>
      <c r="H837" s="62"/>
      <c r="I837" s="20"/>
      <c r="J837" s="21"/>
      <c r="K837" s="42"/>
      <c r="L837" s="23"/>
      <c r="M837" s="23"/>
      <c r="N837" s="23"/>
      <c r="O837" s="23"/>
      <c r="Q837" s="19"/>
      <c r="R837" s="62"/>
      <c r="S837" s="20"/>
      <c r="T837" s="21"/>
      <c r="U837" s="42"/>
      <c r="V837" s="23">
        <f t="shared" si="146"/>
        <v>1</v>
      </c>
      <c r="W837" s="23">
        <f t="shared" si="147"/>
        <v>1</v>
      </c>
      <c r="X837" s="23"/>
      <c r="Y837" s="23"/>
      <c r="AA837" s="19">
        <v>57</v>
      </c>
      <c r="AB837" s="62">
        <f t="shared" si="156"/>
        <v>57</v>
      </c>
      <c r="AC837" s="20"/>
      <c r="AD837" s="21"/>
      <c r="AE837" s="42"/>
      <c r="AF837" s="23">
        <f t="shared" si="149"/>
        <v>-567</v>
      </c>
      <c r="AG837" s="23">
        <f t="shared" si="150"/>
        <v>0</v>
      </c>
      <c r="AH837" s="23"/>
      <c r="AI837" s="23"/>
      <c r="AK837" s="1">
        <f>AVERAGE(AA833:AA837)</f>
        <v>67.2</v>
      </c>
    </row>
    <row r="838" spans="1:37" s="12" customFormat="1">
      <c r="A838" s="95">
        <v>45934</v>
      </c>
      <c r="B838" s="25" t="s">
        <v>16</v>
      </c>
      <c r="C838" s="26"/>
      <c r="D838" s="29"/>
      <c r="E838" s="29">
        <f t="shared" ref="E838:E869" si="158">E837-C838+D838</f>
        <v>-6684</v>
      </c>
      <c r="G838" s="64"/>
      <c r="H838" s="63"/>
      <c r="I838" s="27"/>
      <c r="J838" s="28"/>
      <c r="K838" s="43"/>
      <c r="L838" s="29"/>
      <c r="M838" s="29"/>
      <c r="N838" s="29"/>
      <c r="O838" s="29"/>
      <c r="Q838" s="64"/>
      <c r="R838" s="63"/>
      <c r="S838" s="27"/>
      <c r="T838" s="28"/>
      <c r="U838" s="43"/>
      <c r="V838" s="29">
        <f t="shared" ref="V838:V869" si="159">V837-Q838+U838</f>
        <v>1</v>
      </c>
      <c r="W838" s="29">
        <f t="shared" ref="W838:W869" si="160">W837-Q838+R838</f>
        <v>1</v>
      </c>
      <c r="X838" s="29"/>
      <c r="Y838" s="29"/>
      <c r="AA838" s="64"/>
      <c r="AB838" s="63"/>
      <c r="AC838" s="27"/>
      <c r="AD838" s="28"/>
      <c r="AE838" s="43"/>
      <c r="AF838" s="29">
        <f t="shared" ref="AF838:AF869" si="161">AF837-AA838+AE838</f>
        <v>-567</v>
      </c>
      <c r="AG838" s="29">
        <f t="shared" ref="AG838:AG869" si="162">AG837-AA838+AB838</f>
        <v>0</v>
      </c>
      <c r="AH838" s="29"/>
      <c r="AI838" s="29"/>
      <c r="AJ838" s="11"/>
    </row>
    <row r="839" spans="1:37" s="12" customFormat="1">
      <c r="A839" s="95">
        <v>45935</v>
      </c>
      <c r="B839" s="25" t="s">
        <v>17</v>
      </c>
      <c r="C839" s="26"/>
      <c r="D839" s="29"/>
      <c r="E839" s="29">
        <f t="shared" si="158"/>
        <v>-6684</v>
      </c>
      <c r="G839" s="64"/>
      <c r="H839" s="63"/>
      <c r="I839" s="27"/>
      <c r="J839" s="28"/>
      <c r="K839" s="43"/>
      <c r="L839" s="29"/>
      <c r="M839" s="29"/>
      <c r="N839" s="29"/>
      <c r="O839" s="29"/>
      <c r="Q839" s="64"/>
      <c r="R839" s="63"/>
      <c r="S839" s="27"/>
      <c r="T839" s="28"/>
      <c r="U839" s="43"/>
      <c r="V839" s="29">
        <f t="shared" si="159"/>
        <v>1</v>
      </c>
      <c r="W839" s="29">
        <f t="shared" si="160"/>
        <v>1</v>
      </c>
      <c r="X839" s="29"/>
      <c r="Y839" s="29"/>
      <c r="AA839" s="64"/>
      <c r="AB839" s="63"/>
      <c r="AC839" s="27"/>
      <c r="AD839" s="28"/>
      <c r="AE839" s="43"/>
      <c r="AF839" s="29">
        <f t="shared" si="161"/>
        <v>-567</v>
      </c>
      <c r="AG839" s="29">
        <f t="shared" si="162"/>
        <v>0</v>
      </c>
      <c r="AH839" s="29"/>
      <c r="AI839" s="29"/>
      <c r="AJ839" s="11"/>
    </row>
    <row r="840" spans="1:37">
      <c r="A840" s="96">
        <v>45936</v>
      </c>
      <c r="B840" s="17" t="s">
        <v>18</v>
      </c>
      <c r="C840" s="18">
        <f>AA842</f>
        <v>60</v>
      </c>
      <c r="D840" s="23"/>
      <c r="E840" s="23">
        <f t="shared" si="158"/>
        <v>-6744</v>
      </c>
      <c r="G840" s="19"/>
      <c r="H840" s="62"/>
      <c r="I840" s="20"/>
      <c r="J840" s="21"/>
      <c r="K840" s="42"/>
      <c r="L840" s="23"/>
      <c r="M840" s="23"/>
      <c r="N840" s="23"/>
      <c r="O840" s="23"/>
      <c r="Q840" s="19"/>
      <c r="R840" s="62"/>
      <c r="S840" s="20"/>
      <c r="T840" s="21"/>
      <c r="U840" s="42"/>
      <c r="V840" s="23">
        <f t="shared" si="159"/>
        <v>1</v>
      </c>
      <c r="W840" s="23">
        <f t="shared" si="160"/>
        <v>1</v>
      </c>
      <c r="X840" s="23"/>
      <c r="Y840" s="23"/>
      <c r="AA840" s="19">
        <v>72</v>
      </c>
      <c r="AB840" s="62">
        <f t="shared" ref="AB840:AB844" si="163">IF(C838&lt;&gt;"",C838+AC840,IF(C836&lt;&gt;"",C836+AC840,IF(C835&lt;&gt;"",C835+AC840,IF(C834&lt;&gt;"",C834+AC840,IF(C833&lt;&gt;"",C833+AC840,IF(C832&lt;&gt;"",C832+AC840))))))</f>
        <v>72</v>
      </c>
      <c r="AC840" s="20"/>
      <c r="AD840" s="21"/>
      <c r="AE840" s="42"/>
      <c r="AF840" s="23">
        <f t="shared" si="161"/>
        <v>-639</v>
      </c>
      <c r="AG840" s="23">
        <f t="shared" si="162"/>
        <v>0</v>
      </c>
      <c r="AH840" s="23"/>
      <c r="AI840" s="23"/>
    </row>
    <row r="841" spans="1:37">
      <c r="A841" s="96">
        <v>45937</v>
      </c>
      <c r="B841" s="17" t="s">
        <v>19</v>
      </c>
      <c r="C841" s="18">
        <f t="shared" ref="C841:C842" si="164">AA843</f>
        <v>57</v>
      </c>
      <c r="D841" s="23"/>
      <c r="E841" s="23">
        <f t="shared" si="158"/>
        <v>-6801</v>
      </c>
      <c r="G841" s="19"/>
      <c r="H841" s="62"/>
      <c r="I841" s="20"/>
      <c r="J841" s="21"/>
      <c r="K841" s="42"/>
      <c r="L841" s="23"/>
      <c r="M841" s="23"/>
      <c r="N841" s="23"/>
      <c r="O841" s="23"/>
      <c r="Q841" s="19"/>
      <c r="R841" s="62"/>
      <c r="S841" s="20"/>
      <c r="T841" s="21"/>
      <c r="U841" s="42"/>
      <c r="V841" s="23">
        <f t="shared" si="159"/>
        <v>1</v>
      </c>
      <c r="W841" s="23">
        <f t="shared" si="160"/>
        <v>1</v>
      </c>
      <c r="X841" s="23"/>
      <c r="Y841" s="23"/>
      <c r="AA841" s="19">
        <v>57</v>
      </c>
      <c r="AB841" s="62">
        <f t="shared" si="163"/>
        <v>57</v>
      </c>
      <c r="AC841" s="20"/>
      <c r="AD841" s="21"/>
      <c r="AE841" s="42"/>
      <c r="AF841" s="23">
        <f t="shared" si="161"/>
        <v>-696</v>
      </c>
      <c r="AG841" s="23">
        <f t="shared" si="162"/>
        <v>0</v>
      </c>
      <c r="AH841" s="23"/>
      <c r="AI841" s="23"/>
    </row>
    <row r="842" spans="1:37">
      <c r="A842" s="96">
        <v>45938</v>
      </c>
      <c r="B842" s="17" t="s">
        <v>20</v>
      </c>
      <c r="C842" s="18">
        <f t="shared" si="164"/>
        <v>72</v>
      </c>
      <c r="D842" s="23"/>
      <c r="E842" s="23">
        <f t="shared" si="158"/>
        <v>-6873</v>
      </c>
      <c r="G842" s="19"/>
      <c r="H842" s="62"/>
      <c r="I842" s="20"/>
      <c r="J842" s="21"/>
      <c r="K842" s="42"/>
      <c r="L842" s="23"/>
      <c r="M842" s="23"/>
      <c r="N842" s="23"/>
      <c r="O842" s="23"/>
      <c r="Q842" s="19"/>
      <c r="R842" s="62"/>
      <c r="S842" s="20"/>
      <c r="T842" s="21"/>
      <c r="U842" s="42"/>
      <c r="V842" s="23">
        <f t="shared" si="159"/>
        <v>1</v>
      </c>
      <c r="W842" s="23">
        <f t="shared" si="160"/>
        <v>1</v>
      </c>
      <c r="X842" s="23"/>
      <c r="Y842" s="23"/>
      <c r="AA842" s="19">
        <v>60</v>
      </c>
      <c r="AB842" s="62">
        <f t="shared" si="163"/>
        <v>60</v>
      </c>
      <c r="AC842" s="20"/>
      <c r="AD842" s="21"/>
      <c r="AE842" s="42"/>
      <c r="AF842" s="23">
        <f t="shared" si="161"/>
        <v>-756</v>
      </c>
      <c r="AG842" s="23">
        <f t="shared" si="162"/>
        <v>0</v>
      </c>
      <c r="AH842" s="23"/>
      <c r="AI842" s="23"/>
    </row>
    <row r="843" spans="1:37">
      <c r="A843" s="96">
        <v>45939</v>
      </c>
      <c r="B843" s="17" t="s">
        <v>14</v>
      </c>
      <c r="C843" s="18">
        <f>AA848</f>
        <v>42</v>
      </c>
      <c r="D843" s="23"/>
      <c r="E843" s="23">
        <f t="shared" si="158"/>
        <v>-6915</v>
      </c>
      <c r="G843" s="19"/>
      <c r="H843" s="62"/>
      <c r="I843" s="20"/>
      <c r="J843" s="21"/>
      <c r="K843" s="42"/>
      <c r="L843" s="23"/>
      <c r="M843" s="23"/>
      <c r="N843" s="23"/>
      <c r="O843" s="23"/>
      <c r="Q843" s="19"/>
      <c r="R843" s="62"/>
      <c r="S843" s="20"/>
      <c r="T843" s="21"/>
      <c r="U843" s="42"/>
      <c r="V843" s="23">
        <f t="shared" si="159"/>
        <v>1</v>
      </c>
      <c r="W843" s="23">
        <f t="shared" si="160"/>
        <v>1</v>
      </c>
      <c r="X843" s="23"/>
      <c r="Y843" s="23"/>
      <c r="AA843" s="19">
        <v>57</v>
      </c>
      <c r="AB843" s="62">
        <f t="shared" si="163"/>
        <v>57</v>
      </c>
      <c r="AC843" s="20"/>
      <c r="AD843" s="21"/>
      <c r="AE843" s="42"/>
      <c r="AF843" s="23">
        <f t="shared" si="161"/>
        <v>-813</v>
      </c>
      <c r="AG843" s="23">
        <f t="shared" si="162"/>
        <v>0</v>
      </c>
      <c r="AH843" s="23"/>
      <c r="AI843" s="23"/>
    </row>
    <row r="844" spans="1:37">
      <c r="A844" s="96">
        <v>45940</v>
      </c>
      <c r="B844" s="17" t="s">
        <v>15</v>
      </c>
      <c r="C844" s="18">
        <f>AA849</f>
        <v>57</v>
      </c>
      <c r="D844" s="23"/>
      <c r="E844" s="23">
        <f t="shared" si="158"/>
        <v>-6972</v>
      </c>
      <c r="G844" s="19"/>
      <c r="H844" s="62"/>
      <c r="I844" s="20"/>
      <c r="J844" s="21"/>
      <c r="K844" s="42"/>
      <c r="L844" s="23"/>
      <c r="M844" s="23"/>
      <c r="N844" s="23"/>
      <c r="O844" s="23"/>
      <c r="Q844" s="19"/>
      <c r="R844" s="62"/>
      <c r="S844" s="20"/>
      <c r="T844" s="21"/>
      <c r="U844" s="42"/>
      <c r="V844" s="23">
        <f t="shared" si="159"/>
        <v>1</v>
      </c>
      <c r="W844" s="23">
        <f t="shared" si="160"/>
        <v>1</v>
      </c>
      <c r="X844" s="23"/>
      <c r="Y844" s="23"/>
      <c r="AA844" s="19">
        <v>72</v>
      </c>
      <c r="AB844" s="62">
        <f t="shared" si="163"/>
        <v>72</v>
      </c>
      <c r="AC844" s="20"/>
      <c r="AD844" s="21"/>
      <c r="AE844" s="42"/>
      <c r="AF844" s="23">
        <f t="shared" si="161"/>
        <v>-885</v>
      </c>
      <c r="AG844" s="23">
        <f t="shared" si="162"/>
        <v>0</v>
      </c>
      <c r="AH844" s="23"/>
      <c r="AI844" s="23"/>
      <c r="AK844" s="1">
        <f>AVERAGE(AA840:AA844)</f>
        <v>63.6</v>
      </c>
    </row>
    <row r="845" spans="1:37" s="12" customFormat="1">
      <c r="A845" s="95">
        <v>45941</v>
      </c>
      <c r="B845" s="25" t="s">
        <v>16</v>
      </c>
      <c r="C845" s="26"/>
      <c r="D845" s="29"/>
      <c r="E845" s="29">
        <f t="shared" si="158"/>
        <v>-6972</v>
      </c>
      <c r="G845" s="64"/>
      <c r="H845" s="63"/>
      <c r="I845" s="27"/>
      <c r="J845" s="28"/>
      <c r="K845" s="43"/>
      <c r="L845" s="29"/>
      <c r="M845" s="29"/>
      <c r="N845" s="29"/>
      <c r="O845" s="29"/>
      <c r="Q845" s="64"/>
      <c r="R845" s="63"/>
      <c r="S845" s="27"/>
      <c r="T845" s="28"/>
      <c r="U845" s="43"/>
      <c r="V845" s="29">
        <f t="shared" si="159"/>
        <v>1</v>
      </c>
      <c r="W845" s="29">
        <f t="shared" si="160"/>
        <v>1</v>
      </c>
      <c r="X845" s="29"/>
      <c r="Y845" s="29"/>
      <c r="AA845" s="64"/>
      <c r="AB845" s="63"/>
      <c r="AC845" s="27"/>
      <c r="AD845" s="28"/>
      <c r="AE845" s="43"/>
      <c r="AF845" s="29">
        <f t="shared" si="161"/>
        <v>-885</v>
      </c>
      <c r="AG845" s="29">
        <f t="shared" si="162"/>
        <v>0</v>
      </c>
      <c r="AH845" s="29"/>
      <c r="AI845" s="29"/>
      <c r="AJ845" s="11"/>
    </row>
    <row r="846" spans="1:37" s="12" customFormat="1">
      <c r="A846" s="95">
        <v>45942</v>
      </c>
      <c r="B846" s="25" t="s">
        <v>17</v>
      </c>
      <c r="C846" s="26"/>
      <c r="D846" s="29"/>
      <c r="E846" s="29">
        <f t="shared" si="158"/>
        <v>-6972</v>
      </c>
      <c r="G846" s="64"/>
      <c r="H846" s="63"/>
      <c r="I846" s="27"/>
      <c r="J846" s="28"/>
      <c r="K846" s="43"/>
      <c r="L846" s="29"/>
      <c r="M846" s="29"/>
      <c r="N846" s="29"/>
      <c r="O846" s="29"/>
      <c r="Q846" s="64"/>
      <c r="R846" s="63"/>
      <c r="S846" s="27"/>
      <c r="T846" s="28"/>
      <c r="U846" s="43"/>
      <c r="V846" s="29">
        <f t="shared" si="159"/>
        <v>1</v>
      </c>
      <c r="W846" s="29">
        <f t="shared" si="160"/>
        <v>1</v>
      </c>
      <c r="X846" s="29"/>
      <c r="Y846" s="29"/>
      <c r="AA846" s="64"/>
      <c r="AB846" s="63"/>
      <c r="AC846" s="27"/>
      <c r="AD846" s="28"/>
      <c r="AE846" s="43"/>
      <c r="AF846" s="29">
        <f t="shared" si="161"/>
        <v>-885</v>
      </c>
      <c r="AG846" s="29">
        <f t="shared" si="162"/>
        <v>0</v>
      </c>
      <c r="AH846" s="29"/>
      <c r="AI846" s="29"/>
      <c r="AJ846" s="11"/>
    </row>
    <row r="847" spans="1:37" s="12" customFormat="1">
      <c r="A847" s="95">
        <v>45943</v>
      </c>
      <c r="B847" s="25" t="s">
        <v>18</v>
      </c>
      <c r="C847" s="26"/>
      <c r="D847" s="29"/>
      <c r="E847" s="29">
        <f t="shared" si="158"/>
        <v>-6972</v>
      </c>
      <c r="G847" s="64"/>
      <c r="H847" s="63"/>
      <c r="I847" s="27"/>
      <c r="J847" s="28"/>
      <c r="K847" s="43"/>
      <c r="L847" s="29"/>
      <c r="M847" s="29"/>
      <c r="N847" s="29"/>
      <c r="O847" s="29"/>
      <c r="Q847" s="64"/>
      <c r="R847" s="63"/>
      <c r="S847" s="27"/>
      <c r="T847" s="28"/>
      <c r="U847" s="43"/>
      <c r="V847" s="29">
        <f t="shared" si="159"/>
        <v>1</v>
      </c>
      <c r="W847" s="29">
        <f t="shared" si="160"/>
        <v>1</v>
      </c>
      <c r="X847" s="29"/>
      <c r="Y847" s="29"/>
      <c r="AA847" s="64"/>
      <c r="AB847" s="63"/>
      <c r="AC847" s="27"/>
      <c r="AD847" s="28"/>
      <c r="AE847" s="43"/>
      <c r="AF847" s="29">
        <f t="shared" si="161"/>
        <v>-885</v>
      </c>
      <c r="AG847" s="29">
        <f t="shared" si="162"/>
        <v>0</v>
      </c>
      <c r="AH847" s="29"/>
      <c r="AI847" s="29"/>
      <c r="AJ847" s="11"/>
    </row>
    <row r="848" spans="1:37">
      <c r="A848" s="96">
        <v>45944</v>
      </c>
      <c r="B848" s="17" t="s">
        <v>19</v>
      </c>
      <c r="C848" s="18">
        <f t="shared" ref="C848:C849" si="165">AA850</f>
        <v>57</v>
      </c>
      <c r="D848" s="23"/>
      <c r="E848" s="23">
        <f t="shared" si="158"/>
        <v>-7029</v>
      </c>
      <c r="G848" s="19"/>
      <c r="H848" s="62"/>
      <c r="I848" s="20"/>
      <c r="J848" s="21"/>
      <c r="K848" s="42"/>
      <c r="L848" s="23"/>
      <c r="M848" s="23"/>
      <c r="N848" s="23"/>
      <c r="O848" s="23"/>
      <c r="Q848" s="19"/>
      <c r="R848" s="62"/>
      <c r="S848" s="20"/>
      <c r="T848" s="21"/>
      <c r="U848" s="42"/>
      <c r="V848" s="23">
        <f t="shared" si="159"/>
        <v>1</v>
      </c>
      <c r="W848" s="23">
        <f t="shared" si="160"/>
        <v>1</v>
      </c>
      <c r="X848" s="23"/>
      <c r="Y848" s="23"/>
      <c r="AA848" s="19">
        <v>42</v>
      </c>
      <c r="AB848" s="62">
        <f>C843</f>
        <v>42</v>
      </c>
      <c r="AC848" s="20"/>
      <c r="AD848" s="21"/>
      <c r="AE848" s="42"/>
      <c r="AF848" s="23">
        <f t="shared" si="161"/>
        <v>-927</v>
      </c>
      <c r="AG848" s="23">
        <f t="shared" si="162"/>
        <v>0</v>
      </c>
      <c r="AH848" s="23"/>
      <c r="AI848" s="23"/>
    </row>
    <row r="849" spans="1:37">
      <c r="A849" s="96">
        <v>45945</v>
      </c>
      <c r="B849" s="17" t="s">
        <v>20</v>
      </c>
      <c r="C849" s="18">
        <f t="shared" si="165"/>
        <v>51</v>
      </c>
      <c r="D849" s="23"/>
      <c r="E849" s="23">
        <f t="shared" si="158"/>
        <v>-7080</v>
      </c>
      <c r="G849" s="19"/>
      <c r="H849" s="62"/>
      <c r="I849" s="20"/>
      <c r="J849" s="21"/>
      <c r="K849" s="42"/>
      <c r="L849" s="23"/>
      <c r="M849" s="23"/>
      <c r="N849" s="23"/>
      <c r="O849" s="23"/>
      <c r="Q849" s="19"/>
      <c r="R849" s="62"/>
      <c r="S849" s="20"/>
      <c r="T849" s="21"/>
      <c r="U849" s="42"/>
      <c r="V849" s="23">
        <f t="shared" si="159"/>
        <v>1</v>
      </c>
      <c r="W849" s="23">
        <f t="shared" si="160"/>
        <v>1</v>
      </c>
      <c r="X849" s="23"/>
      <c r="Y849" s="23"/>
      <c r="AA849" s="19">
        <v>57</v>
      </c>
      <c r="AB849" s="62">
        <f t="shared" ref="AB849:AB851" si="166">IF(C847&lt;&gt;"",C847+AC849,IF(C845&lt;&gt;"",C845+AC849,IF(C844&lt;&gt;"",C844+AC849,IF(C843&lt;&gt;"",C843+AC849,IF(C842&lt;&gt;"",C842+AC849,IF(C841&lt;&gt;"",C841+AC849))))))</f>
        <v>57</v>
      </c>
      <c r="AC849" s="20"/>
      <c r="AD849" s="21"/>
      <c r="AE849" s="42"/>
      <c r="AF849" s="23">
        <f t="shared" si="161"/>
        <v>-984</v>
      </c>
      <c r="AG849" s="23">
        <f t="shared" si="162"/>
        <v>0</v>
      </c>
      <c r="AH849" s="23"/>
      <c r="AI849" s="23"/>
    </row>
    <row r="850" spans="1:37">
      <c r="A850" s="96">
        <v>45946</v>
      </c>
      <c r="B850" s="17" t="s">
        <v>14</v>
      </c>
      <c r="C850" s="18">
        <f>AA854</f>
        <v>72</v>
      </c>
      <c r="D850" s="23"/>
      <c r="E850" s="23">
        <f t="shared" si="158"/>
        <v>-7152</v>
      </c>
      <c r="G850" s="19"/>
      <c r="H850" s="62"/>
      <c r="I850" s="20"/>
      <c r="J850" s="21"/>
      <c r="K850" s="42"/>
      <c r="L850" s="23"/>
      <c r="M850" s="23"/>
      <c r="N850" s="23"/>
      <c r="O850" s="23"/>
      <c r="Q850" s="19"/>
      <c r="R850" s="62"/>
      <c r="S850" s="20"/>
      <c r="T850" s="21"/>
      <c r="U850" s="42"/>
      <c r="V850" s="23">
        <f t="shared" si="159"/>
        <v>1</v>
      </c>
      <c r="W850" s="23">
        <f t="shared" si="160"/>
        <v>1</v>
      </c>
      <c r="X850" s="23"/>
      <c r="Y850" s="23"/>
      <c r="AA850" s="19">
        <v>57</v>
      </c>
      <c r="AB850" s="62">
        <f t="shared" si="166"/>
        <v>57</v>
      </c>
      <c r="AC850" s="20"/>
      <c r="AD850" s="21"/>
      <c r="AE850" s="42"/>
      <c r="AF850" s="23">
        <f t="shared" si="161"/>
        <v>-1041</v>
      </c>
      <c r="AG850" s="23">
        <f t="shared" si="162"/>
        <v>0</v>
      </c>
      <c r="AH850" s="23"/>
      <c r="AI850" s="23"/>
    </row>
    <row r="851" spans="1:37">
      <c r="A851" s="96">
        <v>45947</v>
      </c>
      <c r="B851" s="17" t="s">
        <v>15</v>
      </c>
      <c r="C851" s="18">
        <f>AA855</f>
        <v>72</v>
      </c>
      <c r="D851" s="23"/>
      <c r="E851" s="23">
        <f t="shared" si="158"/>
        <v>-7224</v>
      </c>
      <c r="G851" s="19"/>
      <c r="H851" s="62"/>
      <c r="I851" s="20"/>
      <c r="J851" s="21"/>
      <c r="K851" s="42"/>
      <c r="L851" s="23"/>
      <c r="M851" s="23"/>
      <c r="N851" s="23"/>
      <c r="O851" s="23"/>
      <c r="Q851" s="19"/>
      <c r="R851" s="62"/>
      <c r="S851" s="20"/>
      <c r="T851" s="21"/>
      <c r="U851" s="42"/>
      <c r="V851" s="23">
        <f t="shared" si="159"/>
        <v>1</v>
      </c>
      <c r="W851" s="23">
        <f t="shared" si="160"/>
        <v>1</v>
      </c>
      <c r="X851" s="23"/>
      <c r="Y851" s="23"/>
      <c r="AA851" s="19">
        <v>51</v>
      </c>
      <c r="AB851" s="62">
        <f t="shared" si="166"/>
        <v>51</v>
      </c>
      <c r="AC851" s="20"/>
      <c r="AD851" s="21"/>
      <c r="AE851" s="42"/>
      <c r="AF851" s="23">
        <f t="shared" si="161"/>
        <v>-1092</v>
      </c>
      <c r="AG851" s="23">
        <f t="shared" si="162"/>
        <v>0</v>
      </c>
      <c r="AH851" s="23"/>
      <c r="AI851" s="23"/>
      <c r="AK851" s="1">
        <f>AVERAGE(AA848:AA851)</f>
        <v>51.75</v>
      </c>
    </row>
    <row r="852" spans="1:37" s="12" customFormat="1">
      <c r="A852" s="95">
        <v>45948</v>
      </c>
      <c r="B852" s="25" t="s">
        <v>16</v>
      </c>
      <c r="C852" s="26"/>
      <c r="D852" s="29"/>
      <c r="E852" s="29">
        <f t="shared" si="158"/>
        <v>-7224</v>
      </c>
      <c r="G852" s="64"/>
      <c r="H852" s="63"/>
      <c r="I852" s="27"/>
      <c r="J852" s="28"/>
      <c r="K852" s="43"/>
      <c r="L852" s="29"/>
      <c r="M852" s="29"/>
      <c r="N852" s="29"/>
      <c r="O852" s="29"/>
      <c r="Q852" s="64"/>
      <c r="R852" s="63"/>
      <c r="S852" s="27"/>
      <c r="T852" s="28"/>
      <c r="U852" s="43"/>
      <c r="V852" s="29">
        <f t="shared" si="159"/>
        <v>1</v>
      </c>
      <c r="W852" s="29">
        <f t="shared" si="160"/>
        <v>1</v>
      </c>
      <c r="X852" s="29"/>
      <c r="Y852" s="29"/>
      <c r="AA852" s="64"/>
      <c r="AB852" s="63"/>
      <c r="AC852" s="27"/>
      <c r="AD852" s="28"/>
      <c r="AE852" s="43"/>
      <c r="AF852" s="29">
        <f t="shared" si="161"/>
        <v>-1092</v>
      </c>
      <c r="AG852" s="29">
        <f t="shared" si="162"/>
        <v>0</v>
      </c>
      <c r="AH852" s="29"/>
      <c r="AI852" s="29"/>
      <c r="AJ852" s="11"/>
    </row>
    <row r="853" spans="1:37" s="12" customFormat="1">
      <c r="A853" s="95">
        <v>45949</v>
      </c>
      <c r="B853" s="25" t="s">
        <v>17</v>
      </c>
      <c r="C853" s="26"/>
      <c r="D853" s="29"/>
      <c r="E853" s="29">
        <f t="shared" si="158"/>
        <v>-7224</v>
      </c>
      <c r="G853" s="64"/>
      <c r="H853" s="63"/>
      <c r="I853" s="27"/>
      <c r="J853" s="28"/>
      <c r="K853" s="43"/>
      <c r="L853" s="29"/>
      <c r="M853" s="29"/>
      <c r="N853" s="29"/>
      <c r="O853" s="29"/>
      <c r="Q853" s="64"/>
      <c r="R853" s="63"/>
      <c r="S853" s="27"/>
      <c r="T853" s="28"/>
      <c r="U853" s="43"/>
      <c r="V853" s="29">
        <f t="shared" si="159"/>
        <v>1</v>
      </c>
      <c r="W853" s="29">
        <f t="shared" si="160"/>
        <v>1</v>
      </c>
      <c r="X853" s="29"/>
      <c r="Y853" s="29"/>
      <c r="AA853" s="64"/>
      <c r="AB853" s="63"/>
      <c r="AC853" s="27"/>
      <c r="AD853" s="28"/>
      <c r="AE853" s="43"/>
      <c r="AF853" s="29">
        <f t="shared" si="161"/>
        <v>-1092</v>
      </c>
      <c r="AG853" s="29">
        <f t="shared" si="162"/>
        <v>0</v>
      </c>
      <c r="AH853" s="29"/>
      <c r="AI853" s="29"/>
      <c r="AJ853" s="11"/>
    </row>
    <row r="854" spans="1:37">
      <c r="A854" s="96">
        <v>45950</v>
      </c>
      <c r="B854" s="17" t="s">
        <v>18</v>
      </c>
      <c r="C854" s="18">
        <f>AA856</f>
        <v>57</v>
      </c>
      <c r="D854" s="23"/>
      <c r="E854" s="23">
        <f t="shared" si="158"/>
        <v>-7281</v>
      </c>
      <c r="G854" s="19"/>
      <c r="H854" s="62"/>
      <c r="I854" s="20"/>
      <c r="J854" s="21"/>
      <c r="K854" s="42"/>
      <c r="L854" s="23"/>
      <c r="M854" s="23"/>
      <c r="N854" s="23"/>
      <c r="O854" s="23"/>
      <c r="Q854" s="19"/>
      <c r="R854" s="62"/>
      <c r="S854" s="20"/>
      <c r="T854" s="21"/>
      <c r="U854" s="42"/>
      <c r="V854" s="23">
        <f t="shared" si="159"/>
        <v>1</v>
      </c>
      <c r="W854" s="23">
        <f t="shared" si="160"/>
        <v>1</v>
      </c>
      <c r="X854" s="23"/>
      <c r="Y854" s="23"/>
      <c r="AA854" s="19">
        <v>72</v>
      </c>
      <c r="AB854" s="62">
        <f t="shared" ref="AB854:AB858" si="167">IF(C852&lt;&gt;"",C852+AC854,IF(C850&lt;&gt;"",C850+AC854,IF(C849&lt;&gt;"",C849+AC854,IF(C848&lt;&gt;"",C848+AC854,IF(C847&lt;&gt;"",C847+AC854,IF(C846&lt;&gt;"",C846+AC854))))))</f>
        <v>72</v>
      </c>
      <c r="AC854" s="20"/>
      <c r="AD854" s="21"/>
      <c r="AE854" s="42"/>
      <c r="AF854" s="23">
        <f t="shared" si="161"/>
        <v>-1164</v>
      </c>
      <c r="AG854" s="23">
        <f t="shared" si="162"/>
        <v>0</v>
      </c>
      <c r="AH854" s="23"/>
      <c r="AI854" s="23"/>
    </row>
    <row r="855" spans="1:37">
      <c r="A855" s="96">
        <v>45951</v>
      </c>
      <c r="B855" s="17" t="s">
        <v>19</v>
      </c>
      <c r="C855" s="18">
        <f t="shared" ref="C855:C856" si="168">AA857</f>
        <v>72</v>
      </c>
      <c r="D855" s="23"/>
      <c r="E855" s="23">
        <f t="shared" si="158"/>
        <v>-7353</v>
      </c>
      <c r="G855" s="19"/>
      <c r="H855" s="62"/>
      <c r="I855" s="20"/>
      <c r="J855" s="21"/>
      <c r="K855" s="42"/>
      <c r="L855" s="23"/>
      <c r="M855" s="23"/>
      <c r="N855" s="23"/>
      <c r="O855" s="23"/>
      <c r="Q855" s="19"/>
      <c r="R855" s="62"/>
      <c r="S855" s="20"/>
      <c r="T855" s="21"/>
      <c r="U855" s="42"/>
      <c r="V855" s="23">
        <f t="shared" si="159"/>
        <v>1</v>
      </c>
      <c r="W855" s="23">
        <f t="shared" si="160"/>
        <v>1</v>
      </c>
      <c r="X855" s="23"/>
      <c r="Y855" s="23"/>
      <c r="AA855" s="19">
        <v>72</v>
      </c>
      <c r="AB855" s="62">
        <f t="shared" si="167"/>
        <v>72</v>
      </c>
      <c r="AC855" s="20"/>
      <c r="AD855" s="21"/>
      <c r="AE855" s="42"/>
      <c r="AF855" s="23">
        <f t="shared" si="161"/>
        <v>-1236</v>
      </c>
      <c r="AG855" s="23">
        <f t="shared" si="162"/>
        <v>0</v>
      </c>
      <c r="AH855" s="23"/>
      <c r="AI855" s="23"/>
    </row>
    <row r="856" spans="1:37">
      <c r="A856" s="96">
        <v>45952</v>
      </c>
      <c r="B856" s="17" t="s">
        <v>20</v>
      </c>
      <c r="C856" s="18">
        <f t="shared" si="168"/>
        <v>57</v>
      </c>
      <c r="D856" s="23"/>
      <c r="E856" s="23">
        <f t="shared" si="158"/>
        <v>-7410</v>
      </c>
      <c r="G856" s="19"/>
      <c r="H856" s="62"/>
      <c r="I856" s="20"/>
      <c r="J856" s="21"/>
      <c r="K856" s="42"/>
      <c r="L856" s="23"/>
      <c r="M856" s="23"/>
      <c r="N856" s="23"/>
      <c r="O856" s="23"/>
      <c r="Q856" s="19"/>
      <c r="R856" s="62"/>
      <c r="S856" s="20"/>
      <c r="T856" s="21"/>
      <c r="U856" s="42"/>
      <c r="V856" s="23">
        <f t="shared" si="159"/>
        <v>1</v>
      </c>
      <c r="W856" s="23">
        <f t="shared" si="160"/>
        <v>1</v>
      </c>
      <c r="X856" s="23"/>
      <c r="Y856" s="23"/>
      <c r="AA856" s="19">
        <v>57</v>
      </c>
      <c r="AB856" s="62">
        <f t="shared" si="167"/>
        <v>57</v>
      </c>
      <c r="AC856" s="20"/>
      <c r="AD856" s="21"/>
      <c r="AE856" s="42"/>
      <c r="AF856" s="23">
        <f t="shared" si="161"/>
        <v>-1293</v>
      </c>
      <c r="AG856" s="23">
        <f t="shared" si="162"/>
        <v>0</v>
      </c>
      <c r="AH856" s="23"/>
      <c r="AI856" s="23"/>
    </row>
    <row r="857" spans="1:37">
      <c r="A857" s="96">
        <v>45953</v>
      </c>
      <c r="B857" s="17" t="s">
        <v>14</v>
      </c>
      <c r="C857" s="18">
        <f>AA861</f>
        <v>57</v>
      </c>
      <c r="D857" s="23"/>
      <c r="E857" s="23">
        <f t="shared" si="158"/>
        <v>-7467</v>
      </c>
      <c r="G857" s="19"/>
      <c r="H857" s="62"/>
      <c r="I857" s="20"/>
      <c r="J857" s="21"/>
      <c r="K857" s="42"/>
      <c r="L857" s="23"/>
      <c r="M857" s="23"/>
      <c r="N857" s="23"/>
      <c r="O857" s="23"/>
      <c r="Q857" s="19"/>
      <c r="R857" s="62"/>
      <c r="S857" s="20"/>
      <c r="T857" s="21"/>
      <c r="U857" s="42"/>
      <c r="V857" s="23">
        <f t="shared" si="159"/>
        <v>1</v>
      </c>
      <c r="W857" s="23">
        <f t="shared" si="160"/>
        <v>1</v>
      </c>
      <c r="X857" s="23"/>
      <c r="Y857" s="23"/>
      <c r="AA857" s="19">
        <v>72</v>
      </c>
      <c r="AB857" s="62">
        <f t="shared" si="167"/>
        <v>72</v>
      </c>
      <c r="AC857" s="20"/>
      <c r="AD857" s="21"/>
      <c r="AE857" s="42"/>
      <c r="AF857" s="23">
        <f t="shared" si="161"/>
        <v>-1365</v>
      </c>
      <c r="AG857" s="23">
        <f t="shared" si="162"/>
        <v>0</v>
      </c>
      <c r="AH857" s="23"/>
      <c r="AI857" s="23"/>
    </row>
    <row r="858" spans="1:37">
      <c r="A858" s="96">
        <v>45954</v>
      </c>
      <c r="B858" s="17" t="s">
        <v>15</v>
      </c>
      <c r="C858" s="18">
        <f>AA862</f>
        <v>57</v>
      </c>
      <c r="D858" s="23"/>
      <c r="E858" s="23">
        <f t="shared" si="158"/>
        <v>-7524</v>
      </c>
      <c r="G858" s="19"/>
      <c r="H858" s="62"/>
      <c r="I858" s="20"/>
      <c r="J858" s="21"/>
      <c r="K858" s="42"/>
      <c r="L858" s="23"/>
      <c r="M858" s="23"/>
      <c r="N858" s="23"/>
      <c r="O858" s="23"/>
      <c r="Q858" s="19"/>
      <c r="R858" s="62"/>
      <c r="S858" s="20"/>
      <c r="T858" s="21"/>
      <c r="U858" s="42"/>
      <c r="V858" s="23">
        <f t="shared" si="159"/>
        <v>1</v>
      </c>
      <c r="W858" s="23">
        <f t="shared" si="160"/>
        <v>1</v>
      </c>
      <c r="X858" s="23"/>
      <c r="Y858" s="23"/>
      <c r="AA858" s="19">
        <v>57</v>
      </c>
      <c r="AB858" s="62">
        <f t="shared" si="167"/>
        <v>57</v>
      </c>
      <c r="AC858" s="20"/>
      <c r="AD858" s="21"/>
      <c r="AE858" s="42"/>
      <c r="AF858" s="23">
        <f t="shared" si="161"/>
        <v>-1422</v>
      </c>
      <c r="AG858" s="23">
        <f t="shared" si="162"/>
        <v>0</v>
      </c>
      <c r="AH858" s="23"/>
      <c r="AI858" s="23"/>
      <c r="AK858" s="1">
        <f>AVERAGE(AA854:AA858)</f>
        <v>66</v>
      </c>
    </row>
    <row r="859" spans="1:37" s="12" customFormat="1">
      <c r="A859" s="95">
        <v>45955</v>
      </c>
      <c r="B859" s="25" t="s">
        <v>16</v>
      </c>
      <c r="C859" s="26"/>
      <c r="D859" s="29"/>
      <c r="E859" s="29">
        <f t="shared" si="158"/>
        <v>-7524</v>
      </c>
      <c r="G859" s="64"/>
      <c r="H859" s="63"/>
      <c r="I859" s="27"/>
      <c r="J859" s="28"/>
      <c r="K859" s="43"/>
      <c r="L859" s="29"/>
      <c r="M859" s="29"/>
      <c r="N859" s="29"/>
      <c r="O859" s="29"/>
      <c r="Q859" s="64"/>
      <c r="R859" s="63"/>
      <c r="S859" s="27"/>
      <c r="T859" s="28"/>
      <c r="U859" s="43"/>
      <c r="V859" s="29">
        <f t="shared" si="159"/>
        <v>1</v>
      </c>
      <c r="W859" s="29">
        <f t="shared" si="160"/>
        <v>1</v>
      </c>
      <c r="X859" s="29"/>
      <c r="Y859" s="29"/>
      <c r="AA859" s="64"/>
      <c r="AB859" s="63"/>
      <c r="AC859" s="27"/>
      <c r="AD859" s="28"/>
      <c r="AE859" s="43"/>
      <c r="AF859" s="29">
        <f t="shared" si="161"/>
        <v>-1422</v>
      </c>
      <c r="AG859" s="29">
        <f t="shared" si="162"/>
        <v>0</v>
      </c>
      <c r="AH859" s="29"/>
      <c r="AI859" s="29"/>
      <c r="AJ859" s="11"/>
    </row>
    <row r="860" spans="1:37" s="12" customFormat="1">
      <c r="A860" s="95">
        <v>45956</v>
      </c>
      <c r="B860" s="25" t="s">
        <v>17</v>
      </c>
      <c r="C860" s="26"/>
      <c r="D860" s="29"/>
      <c r="E860" s="29">
        <f t="shared" si="158"/>
        <v>-7524</v>
      </c>
      <c r="G860" s="64"/>
      <c r="H860" s="63"/>
      <c r="I860" s="27"/>
      <c r="J860" s="28"/>
      <c r="K860" s="43"/>
      <c r="L860" s="29"/>
      <c r="M860" s="29"/>
      <c r="N860" s="29"/>
      <c r="O860" s="29"/>
      <c r="Q860" s="64"/>
      <c r="R860" s="63"/>
      <c r="S860" s="27"/>
      <c r="T860" s="28"/>
      <c r="U860" s="43"/>
      <c r="V860" s="29">
        <f t="shared" si="159"/>
        <v>1</v>
      </c>
      <c r="W860" s="29">
        <f t="shared" si="160"/>
        <v>1</v>
      </c>
      <c r="X860" s="29"/>
      <c r="Y860" s="29"/>
      <c r="AA860" s="64"/>
      <c r="AB860" s="63"/>
      <c r="AC860" s="27"/>
      <c r="AD860" s="28"/>
      <c r="AE860" s="43"/>
      <c r="AF860" s="29">
        <f t="shared" si="161"/>
        <v>-1422</v>
      </c>
      <c r="AG860" s="29">
        <f t="shared" si="162"/>
        <v>0</v>
      </c>
      <c r="AH860" s="29"/>
      <c r="AI860" s="29"/>
      <c r="AJ860" s="11"/>
    </row>
    <row r="861" spans="1:37">
      <c r="A861" s="96">
        <v>45957</v>
      </c>
      <c r="B861" s="17" t="s">
        <v>18</v>
      </c>
      <c r="C861" s="18">
        <f>AA863</f>
        <v>57</v>
      </c>
      <c r="D861" s="23"/>
      <c r="E861" s="23">
        <f t="shared" si="158"/>
        <v>-7581</v>
      </c>
      <c r="G861" s="19"/>
      <c r="H861" s="62"/>
      <c r="I861" s="20"/>
      <c r="J861" s="21"/>
      <c r="K861" s="42"/>
      <c r="L861" s="23"/>
      <c r="M861" s="23"/>
      <c r="N861" s="23"/>
      <c r="O861" s="23"/>
      <c r="Q861" s="19"/>
      <c r="R861" s="62"/>
      <c r="S861" s="20"/>
      <c r="T861" s="21"/>
      <c r="U861" s="42"/>
      <c r="V861" s="23">
        <f t="shared" si="159"/>
        <v>1</v>
      </c>
      <c r="W861" s="23">
        <f t="shared" si="160"/>
        <v>1</v>
      </c>
      <c r="X861" s="23"/>
      <c r="Y861" s="23"/>
      <c r="AA861" s="19">
        <v>57</v>
      </c>
      <c r="AB861" s="62">
        <f t="shared" ref="AB861:AB865" si="169">IF(C859&lt;&gt;"",C859+AC861,IF(C857&lt;&gt;"",C857+AC861,IF(C856&lt;&gt;"",C856+AC861,IF(C855&lt;&gt;"",C855+AC861,IF(C854&lt;&gt;"",C854+AC861,IF(C853&lt;&gt;"",C853+AC861))))))</f>
        <v>57</v>
      </c>
      <c r="AC861" s="20"/>
      <c r="AD861" s="21"/>
      <c r="AE861" s="42"/>
      <c r="AF861" s="23">
        <f t="shared" si="161"/>
        <v>-1479</v>
      </c>
      <c r="AG861" s="23">
        <f t="shared" si="162"/>
        <v>0</v>
      </c>
      <c r="AH861" s="23"/>
      <c r="AI861" s="23"/>
    </row>
    <row r="862" spans="1:37">
      <c r="A862" s="96">
        <v>45958</v>
      </c>
      <c r="B862" s="17" t="s">
        <v>19</v>
      </c>
      <c r="C862" s="18">
        <f t="shared" ref="C862:C863" si="170">AA864</f>
        <v>57</v>
      </c>
      <c r="D862" s="23"/>
      <c r="E862" s="23">
        <f t="shared" si="158"/>
        <v>-7638</v>
      </c>
      <c r="G862" s="19"/>
      <c r="H862" s="62"/>
      <c r="I862" s="20"/>
      <c r="J862" s="21"/>
      <c r="K862" s="42"/>
      <c r="L862" s="23"/>
      <c r="M862" s="23"/>
      <c r="N862" s="23"/>
      <c r="O862" s="23"/>
      <c r="Q862" s="19"/>
      <c r="R862" s="62"/>
      <c r="S862" s="20"/>
      <c r="T862" s="21"/>
      <c r="U862" s="42"/>
      <c r="V862" s="23">
        <f t="shared" si="159"/>
        <v>1</v>
      </c>
      <c r="W862" s="23">
        <f t="shared" si="160"/>
        <v>1</v>
      </c>
      <c r="X862" s="23"/>
      <c r="Y862" s="23"/>
      <c r="AA862" s="19">
        <v>57</v>
      </c>
      <c r="AB862" s="62">
        <f t="shared" si="169"/>
        <v>57</v>
      </c>
      <c r="AC862" s="20"/>
      <c r="AD862" s="21"/>
      <c r="AE862" s="42"/>
      <c r="AF862" s="23">
        <f t="shared" si="161"/>
        <v>-1536</v>
      </c>
      <c r="AG862" s="23">
        <f t="shared" si="162"/>
        <v>0</v>
      </c>
      <c r="AH862" s="23"/>
      <c r="AI862" s="23"/>
    </row>
    <row r="863" spans="1:37">
      <c r="A863" s="96">
        <v>45959</v>
      </c>
      <c r="B863" s="17" t="s">
        <v>20</v>
      </c>
      <c r="C863" s="18">
        <f t="shared" si="170"/>
        <v>60</v>
      </c>
      <c r="D863" s="23"/>
      <c r="E863" s="23">
        <f t="shared" si="158"/>
        <v>-7698</v>
      </c>
      <c r="G863" s="19"/>
      <c r="H863" s="62"/>
      <c r="I863" s="20"/>
      <c r="J863" s="21"/>
      <c r="K863" s="42"/>
      <c r="L863" s="23"/>
      <c r="M863" s="23"/>
      <c r="N863" s="23"/>
      <c r="O863" s="23"/>
      <c r="Q863" s="19"/>
      <c r="R863" s="62"/>
      <c r="S863" s="20"/>
      <c r="T863" s="21"/>
      <c r="U863" s="42"/>
      <c r="V863" s="23">
        <f t="shared" si="159"/>
        <v>1</v>
      </c>
      <c r="W863" s="23">
        <f t="shared" si="160"/>
        <v>1</v>
      </c>
      <c r="X863" s="23"/>
      <c r="Y863" s="23"/>
      <c r="AA863" s="19">
        <v>57</v>
      </c>
      <c r="AB863" s="62">
        <f t="shared" si="169"/>
        <v>57</v>
      </c>
      <c r="AC863" s="20"/>
      <c r="AD863" s="21"/>
      <c r="AE863" s="42"/>
      <c r="AF863" s="23">
        <f t="shared" si="161"/>
        <v>-1593</v>
      </c>
      <c r="AG863" s="23">
        <f t="shared" si="162"/>
        <v>0</v>
      </c>
      <c r="AH863" s="23"/>
      <c r="AI863" s="23"/>
    </row>
    <row r="864" spans="1:37">
      <c r="A864" s="96">
        <v>45960</v>
      </c>
      <c r="B864" s="17" t="s">
        <v>14</v>
      </c>
      <c r="C864" s="18">
        <f>AA869</f>
        <v>57</v>
      </c>
      <c r="D864" s="23"/>
      <c r="E864" s="23">
        <f t="shared" si="158"/>
        <v>-7755</v>
      </c>
      <c r="G864" s="19"/>
      <c r="H864" s="62"/>
      <c r="I864" s="20"/>
      <c r="J864" s="21"/>
      <c r="K864" s="42"/>
      <c r="L864" s="23"/>
      <c r="M864" s="23"/>
      <c r="N864" s="23"/>
      <c r="O864" s="23"/>
      <c r="Q864" s="19"/>
      <c r="R864" s="62"/>
      <c r="S864" s="20"/>
      <c r="T864" s="21"/>
      <c r="U864" s="42"/>
      <c r="V864" s="23">
        <f t="shared" si="159"/>
        <v>1</v>
      </c>
      <c r="W864" s="23">
        <f t="shared" si="160"/>
        <v>1</v>
      </c>
      <c r="X864" s="23"/>
      <c r="Y864" s="23"/>
      <c r="AA864" s="19">
        <v>57</v>
      </c>
      <c r="AB864" s="62">
        <f t="shared" si="169"/>
        <v>57</v>
      </c>
      <c r="AC864" s="20"/>
      <c r="AD864" s="21"/>
      <c r="AE864" s="42"/>
      <c r="AF864" s="23">
        <f t="shared" si="161"/>
        <v>-1650</v>
      </c>
      <c r="AG864" s="23">
        <f t="shared" si="162"/>
        <v>0</v>
      </c>
      <c r="AH864" s="23"/>
      <c r="AI864" s="23"/>
    </row>
    <row r="865" spans="1:37">
      <c r="A865" s="96">
        <v>45961</v>
      </c>
      <c r="B865" s="17" t="s">
        <v>15</v>
      </c>
      <c r="C865" s="18">
        <f>AA870</f>
        <v>57</v>
      </c>
      <c r="D865" s="23"/>
      <c r="E865" s="23">
        <f t="shared" si="158"/>
        <v>-7812</v>
      </c>
      <c r="G865" s="19"/>
      <c r="H865" s="62"/>
      <c r="I865" s="20"/>
      <c r="J865" s="21"/>
      <c r="K865" s="42"/>
      <c r="L865" s="23"/>
      <c r="M865" s="23"/>
      <c r="N865" s="23"/>
      <c r="O865" s="23"/>
      <c r="Q865" s="19"/>
      <c r="R865" s="62"/>
      <c r="S865" s="20"/>
      <c r="T865" s="21"/>
      <c r="U865" s="42"/>
      <c r="V865" s="23">
        <f t="shared" si="159"/>
        <v>1</v>
      </c>
      <c r="W865" s="23">
        <f t="shared" si="160"/>
        <v>1</v>
      </c>
      <c r="X865" s="23"/>
      <c r="Y865" s="23"/>
      <c r="AA865" s="19">
        <v>60</v>
      </c>
      <c r="AB865" s="62">
        <f t="shared" si="169"/>
        <v>60</v>
      </c>
      <c r="AC865" s="20"/>
      <c r="AD865" s="21"/>
      <c r="AE865" s="42"/>
      <c r="AF865" s="23">
        <f t="shared" si="161"/>
        <v>-1710</v>
      </c>
      <c r="AG865" s="23">
        <f t="shared" si="162"/>
        <v>0</v>
      </c>
      <c r="AH865" s="23"/>
      <c r="AI865" s="23"/>
      <c r="AK865" s="1">
        <f>AVERAGE(AA861:AA865)</f>
        <v>57.6</v>
      </c>
    </row>
    <row r="866" spans="1:37" s="12" customFormat="1">
      <c r="A866" s="95">
        <v>45962</v>
      </c>
      <c r="B866" s="25" t="s">
        <v>16</v>
      </c>
      <c r="C866" s="26"/>
      <c r="D866" s="29"/>
      <c r="E866" s="29">
        <f t="shared" si="158"/>
        <v>-7812</v>
      </c>
      <c r="G866" s="64"/>
      <c r="H866" s="63"/>
      <c r="I866" s="27"/>
      <c r="J866" s="28"/>
      <c r="K866" s="43"/>
      <c r="L866" s="29"/>
      <c r="M866" s="29"/>
      <c r="N866" s="29"/>
      <c r="O866" s="29"/>
      <c r="Q866" s="64"/>
      <c r="R866" s="63"/>
      <c r="S866" s="27"/>
      <c r="T866" s="28"/>
      <c r="U866" s="43"/>
      <c r="V866" s="29">
        <f t="shared" si="159"/>
        <v>1</v>
      </c>
      <c r="W866" s="29">
        <f t="shared" si="160"/>
        <v>1</v>
      </c>
      <c r="X866" s="29"/>
      <c r="Y866" s="29"/>
      <c r="AA866" s="64"/>
      <c r="AB866" s="63"/>
      <c r="AC866" s="27"/>
      <c r="AD866" s="28"/>
      <c r="AE866" s="43"/>
      <c r="AF866" s="29">
        <f t="shared" si="161"/>
        <v>-1710</v>
      </c>
      <c r="AG866" s="29">
        <f t="shared" si="162"/>
        <v>0</v>
      </c>
      <c r="AH866" s="29"/>
      <c r="AI866" s="29"/>
      <c r="AJ866" s="11"/>
    </row>
    <row r="867" spans="1:37" s="12" customFormat="1">
      <c r="A867" s="95">
        <v>45963</v>
      </c>
      <c r="B867" s="25" t="s">
        <v>17</v>
      </c>
      <c r="C867" s="26"/>
      <c r="D867" s="29"/>
      <c r="E867" s="29">
        <f t="shared" si="158"/>
        <v>-7812</v>
      </c>
      <c r="G867" s="64"/>
      <c r="H867" s="63"/>
      <c r="I867" s="27"/>
      <c r="J867" s="28"/>
      <c r="K867" s="43"/>
      <c r="L867" s="29"/>
      <c r="M867" s="29"/>
      <c r="N867" s="29"/>
      <c r="O867" s="29"/>
      <c r="Q867" s="64"/>
      <c r="R867" s="63"/>
      <c r="S867" s="27"/>
      <c r="T867" s="28"/>
      <c r="U867" s="43"/>
      <c r="V867" s="29">
        <f t="shared" si="159"/>
        <v>1</v>
      </c>
      <c r="W867" s="29">
        <f t="shared" si="160"/>
        <v>1</v>
      </c>
      <c r="X867" s="29"/>
      <c r="Y867" s="29"/>
      <c r="AA867" s="64"/>
      <c r="AB867" s="63"/>
      <c r="AC867" s="27"/>
      <c r="AD867" s="28"/>
      <c r="AE867" s="43"/>
      <c r="AF867" s="29">
        <f t="shared" si="161"/>
        <v>-1710</v>
      </c>
      <c r="AG867" s="29">
        <f t="shared" si="162"/>
        <v>0</v>
      </c>
      <c r="AH867" s="29"/>
      <c r="AI867" s="29"/>
      <c r="AJ867" s="11"/>
    </row>
    <row r="868" spans="1:37" s="12" customFormat="1">
      <c r="A868" s="95">
        <v>45964</v>
      </c>
      <c r="B868" s="25" t="s">
        <v>18</v>
      </c>
      <c r="C868" s="26"/>
      <c r="D868" s="29"/>
      <c r="E868" s="29">
        <f t="shared" si="158"/>
        <v>-7812</v>
      </c>
      <c r="G868" s="64"/>
      <c r="H868" s="63"/>
      <c r="I868" s="27"/>
      <c r="J868" s="28"/>
      <c r="K868" s="43"/>
      <c r="L868" s="29"/>
      <c r="M868" s="29"/>
      <c r="N868" s="29"/>
      <c r="O868" s="29"/>
      <c r="Q868" s="64"/>
      <c r="R868" s="63"/>
      <c r="S868" s="27"/>
      <c r="T868" s="28"/>
      <c r="U868" s="43"/>
      <c r="V868" s="29">
        <f t="shared" si="159"/>
        <v>1</v>
      </c>
      <c r="W868" s="29">
        <f t="shared" si="160"/>
        <v>1</v>
      </c>
      <c r="X868" s="29"/>
      <c r="Y868" s="29"/>
      <c r="AA868" s="64"/>
      <c r="AB868" s="63"/>
      <c r="AC868" s="27"/>
      <c r="AD868" s="28"/>
      <c r="AE868" s="43"/>
      <c r="AF868" s="29">
        <f t="shared" si="161"/>
        <v>-1710</v>
      </c>
      <c r="AG868" s="29">
        <f t="shared" si="162"/>
        <v>0</v>
      </c>
      <c r="AH868" s="29"/>
      <c r="AI868" s="29"/>
      <c r="AJ868" s="11"/>
    </row>
    <row r="869" spans="1:37">
      <c r="A869" s="96">
        <v>45965</v>
      </c>
      <c r="B869" s="17" t="s">
        <v>19</v>
      </c>
      <c r="C869" s="18">
        <f>AA871</f>
        <v>57</v>
      </c>
      <c r="D869" s="23"/>
      <c r="E869" s="23">
        <f t="shared" si="158"/>
        <v>-7869</v>
      </c>
      <c r="G869" s="19"/>
      <c r="H869" s="62"/>
      <c r="I869" s="20"/>
      <c r="J869" s="21"/>
      <c r="K869" s="42"/>
      <c r="L869" s="23"/>
      <c r="M869" s="23"/>
      <c r="N869" s="23"/>
      <c r="O869" s="23"/>
      <c r="Q869" s="19"/>
      <c r="R869" s="62"/>
      <c r="S869" s="20"/>
      <c r="T869" s="21"/>
      <c r="U869" s="42"/>
      <c r="V869" s="23">
        <f t="shared" si="159"/>
        <v>1</v>
      </c>
      <c r="W869" s="23">
        <f t="shared" si="160"/>
        <v>1</v>
      </c>
      <c r="X869" s="23"/>
      <c r="Y869" s="23"/>
      <c r="AA869" s="19">
        <v>57</v>
      </c>
      <c r="AB869" s="62">
        <f t="shared" ref="AB869:AB872" si="171">IF(C867&lt;&gt;"",C867+AC869,IF(C865&lt;&gt;"",C865+AC869,IF(C864&lt;&gt;"",C864+AC869,IF(C863&lt;&gt;"",C863+AC869,IF(C862&lt;&gt;"",C862+AC869,IF(C861&lt;&gt;"",C861+AC869))))))</f>
        <v>57</v>
      </c>
      <c r="AC869" s="20"/>
      <c r="AD869" s="21"/>
      <c r="AE869" s="42"/>
      <c r="AF869" s="23">
        <f t="shared" si="161"/>
        <v>-1767</v>
      </c>
      <c r="AG869" s="23">
        <f t="shared" si="162"/>
        <v>0</v>
      </c>
      <c r="AH869" s="23"/>
      <c r="AI869" s="23"/>
    </row>
    <row r="870" spans="1:37">
      <c r="A870" s="96">
        <v>45966</v>
      </c>
      <c r="B870" s="17" t="s">
        <v>20</v>
      </c>
      <c r="C870" s="18">
        <f t="shared" ref="C870" si="172">AA872</f>
        <v>57</v>
      </c>
      <c r="D870" s="23"/>
      <c r="E870" s="23">
        <f t="shared" ref="E870:E901" si="173">E869-C870+D870</f>
        <v>-7926</v>
      </c>
      <c r="G870" s="19"/>
      <c r="H870" s="62"/>
      <c r="I870" s="20"/>
      <c r="J870" s="21"/>
      <c r="K870" s="42"/>
      <c r="L870" s="23"/>
      <c r="M870" s="23"/>
      <c r="N870" s="23"/>
      <c r="O870" s="23"/>
      <c r="Q870" s="19"/>
      <c r="R870" s="62"/>
      <c r="S870" s="20"/>
      <c r="T870" s="21"/>
      <c r="U870" s="42"/>
      <c r="V870" s="23">
        <f t="shared" ref="V870:V901" si="174">V869-Q870+U870</f>
        <v>1</v>
      </c>
      <c r="W870" s="23">
        <f t="shared" ref="W870:W901" si="175">W869-Q870+R870</f>
        <v>1</v>
      </c>
      <c r="X870" s="23"/>
      <c r="Y870" s="23"/>
      <c r="AA870" s="19">
        <v>57</v>
      </c>
      <c r="AB870" s="62">
        <f t="shared" si="171"/>
        <v>57</v>
      </c>
      <c r="AC870" s="20"/>
      <c r="AD870" s="21"/>
      <c r="AE870" s="42"/>
      <c r="AF870" s="23">
        <f t="shared" ref="AF870:AF901" si="176">AF869-AA870+AE870</f>
        <v>-1824</v>
      </c>
      <c r="AG870" s="23">
        <f t="shared" ref="AG870:AG901" si="177">AG869-AA870+AB870</f>
        <v>0</v>
      </c>
      <c r="AH870" s="23"/>
      <c r="AI870" s="23"/>
    </row>
    <row r="871" spans="1:37">
      <c r="A871" s="96">
        <v>45967</v>
      </c>
      <c r="B871" s="17" t="s">
        <v>14</v>
      </c>
      <c r="C871" s="18">
        <f>AA875</f>
        <v>57</v>
      </c>
      <c r="D871" s="23"/>
      <c r="E871" s="23">
        <f t="shared" si="173"/>
        <v>-7983</v>
      </c>
      <c r="G871" s="19"/>
      <c r="H871" s="62"/>
      <c r="I871" s="20"/>
      <c r="J871" s="21"/>
      <c r="K871" s="42"/>
      <c r="L871" s="23"/>
      <c r="M871" s="23"/>
      <c r="N871" s="23"/>
      <c r="O871" s="23"/>
      <c r="Q871" s="19"/>
      <c r="R871" s="62"/>
      <c r="S871" s="20"/>
      <c r="T871" s="21"/>
      <c r="U871" s="42"/>
      <c r="V871" s="23">
        <f t="shared" si="174"/>
        <v>1</v>
      </c>
      <c r="W871" s="23">
        <f t="shared" si="175"/>
        <v>1</v>
      </c>
      <c r="X871" s="23"/>
      <c r="Y871" s="23"/>
      <c r="AA871" s="19">
        <v>57</v>
      </c>
      <c r="AB871" s="62">
        <f t="shared" si="171"/>
        <v>57</v>
      </c>
      <c r="AC871" s="20"/>
      <c r="AD871" s="21"/>
      <c r="AE871" s="42"/>
      <c r="AF871" s="23">
        <f t="shared" si="176"/>
        <v>-1881</v>
      </c>
      <c r="AG871" s="23">
        <f t="shared" si="177"/>
        <v>0</v>
      </c>
      <c r="AH871" s="23"/>
      <c r="AI871" s="23"/>
    </row>
    <row r="872" spans="1:37">
      <c r="A872" s="96">
        <v>45968</v>
      </c>
      <c r="B872" s="17" t="s">
        <v>15</v>
      </c>
      <c r="C872" s="18">
        <f>AA876</f>
        <v>60</v>
      </c>
      <c r="D872" s="23"/>
      <c r="E872" s="23">
        <f t="shared" si="173"/>
        <v>-8043</v>
      </c>
      <c r="G872" s="19"/>
      <c r="H872" s="62"/>
      <c r="I872" s="20"/>
      <c r="J872" s="21"/>
      <c r="K872" s="42"/>
      <c r="L872" s="23"/>
      <c r="M872" s="23"/>
      <c r="N872" s="23"/>
      <c r="O872" s="23"/>
      <c r="Q872" s="19"/>
      <c r="R872" s="62"/>
      <c r="S872" s="20"/>
      <c r="T872" s="21"/>
      <c r="U872" s="42"/>
      <c r="V872" s="23">
        <f t="shared" si="174"/>
        <v>1</v>
      </c>
      <c r="W872" s="23">
        <f t="shared" si="175"/>
        <v>1</v>
      </c>
      <c r="X872" s="23"/>
      <c r="Y872" s="23"/>
      <c r="AA872" s="19">
        <v>57</v>
      </c>
      <c r="AB872" s="62">
        <f t="shared" si="171"/>
        <v>57</v>
      </c>
      <c r="AC872" s="20"/>
      <c r="AD872" s="21"/>
      <c r="AE872" s="42"/>
      <c r="AF872" s="23">
        <f t="shared" si="176"/>
        <v>-1938</v>
      </c>
      <c r="AG872" s="23">
        <f t="shared" si="177"/>
        <v>0</v>
      </c>
      <c r="AH872" s="23"/>
      <c r="AI872" s="23"/>
    </row>
    <row r="873" spans="1:37" s="12" customFormat="1">
      <c r="A873" s="95">
        <v>45969</v>
      </c>
      <c r="B873" s="25" t="s">
        <v>16</v>
      </c>
      <c r="C873" s="26"/>
      <c r="D873" s="29"/>
      <c r="E873" s="29">
        <f t="shared" si="173"/>
        <v>-8043</v>
      </c>
      <c r="G873" s="64"/>
      <c r="H873" s="63"/>
      <c r="I873" s="27"/>
      <c r="J873" s="28"/>
      <c r="K873" s="43"/>
      <c r="L873" s="29"/>
      <c r="M873" s="29"/>
      <c r="N873" s="29"/>
      <c r="O873" s="29"/>
      <c r="Q873" s="64"/>
      <c r="R873" s="63"/>
      <c r="S873" s="27"/>
      <c r="T873" s="28"/>
      <c r="U873" s="43"/>
      <c r="V873" s="29">
        <f t="shared" si="174"/>
        <v>1</v>
      </c>
      <c r="W873" s="29">
        <f t="shared" si="175"/>
        <v>1</v>
      </c>
      <c r="X873" s="29"/>
      <c r="Y873" s="29"/>
      <c r="AA873" s="64"/>
      <c r="AB873" s="63"/>
      <c r="AC873" s="27"/>
      <c r="AD873" s="28"/>
      <c r="AE873" s="43"/>
      <c r="AF873" s="29">
        <f t="shared" si="176"/>
        <v>-1938</v>
      </c>
      <c r="AG873" s="29">
        <f t="shared" si="177"/>
        <v>0</v>
      </c>
      <c r="AH873" s="29"/>
      <c r="AI873" s="29"/>
      <c r="AJ873" s="11"/>
    </row>
    <row r="874" spans="1:37" s="12" customFormat="1">
      <c r="A874" s="95">
        <v>45970</v>
      </c>
      <c r="B874" s="25" t="s">
        <v>17</v>
      </c>
      <c r="C874" s="26"/>
      <c r="D874" s="29"/>
      <c r="E874" s="29">
        <f t="shared" si="173"/>
        <v>-8043</v>
      </c>
      <c r="G874" s="64"/>
      <c r="H874" s="63"/>
      <c r="I874" s="27"/>
      <c r="J874" s="28"/>
      <c r="K874" s="43"/>
      <c r="L874" s="29"/>
      <c r="M874" s="29"/>
      <c r="N874" s="29"/>
      <c r="O874" s="29"/>
      <c r="Q874" s="64"/>
      <c r="R874" s="63"/>
      <c r="S874" s="27"/>
      <c r="T874" s="28"/>
      <c r="U874" s="43"/>
      <c r="V874" s="29">
        <f t="shared" si="174"/>
        <v>1</v>
      </c>
      <c r="W874" s="29">
        <f t="shared" si="175"/>
        <v>1</v>
      </c>
      <c r="X874" s="29"/>
      <c r="Y874" s="29"/>
      <c r="AA874" s="64"/>
      <c r="AB874" s="63"/>
      <c r="AC874" s="27"/>
      <c r="AD874" s="28"/>
      <c r="AE874" s="43"/>
      <c r="AF874" s="29">
        <f t="shared" si="176"/>
        <v>-1938</v>
      </c>
      <c r="AG874" s="29">
        <f t="shared" si="177"/>
        <v>0</v>
      </c>
      <c r="AH874" s="29"/>
      <c r="AI874" s="29"/>
      <c r="AJ874" s="11"/>
    </row>
    <row r="875" spans="1:37">
      <c r="A875" s="96">
        <v>45971</v>
      </c>
      <c r="B875" s="17" t="s">
        <v>18</v>
      </c>
      <c r="C875" s="18">
        <f>AA877</f>
        <v>57</v>
      </c>
      <c r="D875" s="23"/>
      <c r="E875" s="23">
        <f t="shared" si="173"/>
        <v>-8100</v>
      </c>
      <c r="G875" s="19"/>
      <c r="H875" s="62"/>
      <c r="I875" s="20"/>
      <c r="J875" s="21"/>
      <c r="K875" s="42"/>
      <c r="L875" s="23"/>
      <c r="M875" s="23"/>
      <c r="N875" s="23"/>
      <c r="O875" s="23"/>
      <c r="Q875" s="19"/>
      <c r="R875" s="62"/>
      <c r="S875" s="20"/>
      <c r="T875" s="21"/>
      <c r="U875" s="42"/>
      <c r="V875" s="23">
        <f t="shared" si="174"/>
        <v>1</v>
      </c>
      <c r="W875" s="23">
        <f t="shared" si="175"/>
        <v>1</v>
      </c>
      <c r="X875" s="23"/>
      <c r="Y875" s="23"/>
      <c r="AA875" s="19">
        <v>57</v>
      </c>
      <c r="AB875" s="62">
        <f t="shared" ref="AB875:AB879" si="178">IF(C873&lt;&gt;"",C873+AC875,IF(C871&lt;&gt;"",C871+AC875,IF(C870&lt;&gt;"",C870+AC875,IF(C869&lt;&gt;"",C869+AC875,IF(C868&lt;&gt;"",C868+AC875,IF(C867&lt;&gt;"",C867+AC875))))))</f>
        <v>57</v>
      </c>
      <c r="AC875" s="20"/>
      <c r="AD875" s="21"/>
      <c r="AE875" s="42"/>
      <c r="AF875" s="23">
        <f t="shared" si="176"/>
        <v>-1995</v>
      </c>
      <c r="AG875" s="23">
        <f t="shared" si="177"/>
        <v>0</v>
      </c>
      <c r="AH875" s="23"/>
      <c r="AI875" s="23"/>
    </row>
    <row r="876" spans="1:37">
      <c r="A876" s="96">
        <v>45972</v>
      </c>
      <c r="B876" s="17" t="s">
        <v>19</v>
      </c>
      <c r="C876" s="18">
        <f t="shared" ref="C876:C877" si="179">AA878</f>
        <v>66</v>
      </c>
      <c r="D876" s="23"/>
      <c r="E876" s="23">
        <f t="shared" si="173"/>
        <v>-8166</v>
      </c>
      <c r="G876" s="19"/>
      <c r="H876" s="62"/>
      <c r="I876" s="20"/>
      <c r="J876" s="21"/>
      <c r="K876" s="42"/>
      <c r="L876" s="23"/>
      <c r="M876" s="23"/>
      <c r="N876" s="23"/>
      <c r="O876" s="23"/>
      <c r="Q876" s="19"/>
      <c r="R876" s="62"/>
      <c r="S876" s="20"/>
      <c r="T876" s="21"/>
      <c r="U876" s="42"/>
      <c r="V876" s="23">
        <f t="shared" si="174"/>
        <v>1</v>
      </c>
      <c r="W876" s="23">
        <f t="shared" si="175"/>
        <v>1</v>
      </c>
      <c r="X876" s="23"/>
      <c r="Y876" s="23"/>
      <c r="AA876" s="19">
        <v>60</v>
      </c>
      <c r="AB876" s="62">
        <f t="shared" si="178"/>
        <v>60</v>
      </c>
      <c r="AC876" s="20"/>
      <c r="AD876" s="21"/>
      <c r="AE876" s="42"/>
      <c r="AF876" s="23">
        <f t="shared" si="176"/>
        <v>-2055</v>
      </c>
      <c r="AG876" s="23">
        <f t="shared" si="177"/>
        <v>0</v>
      </c>
      <c r="AH876" s="23"/>
      <c r="AI876" s="23"/>
    </row>
    <row r="877" spans="1:37">
      <c r="A877" s="96">
        <v>45973</v>
      </c>
      <c r="B877" s="17" t="s">
        <v>20</v>
      </c>
      <c r="C877" s="18">
        <f t="shared" si="179"/>
        <v>60</v>
      </c>
      <c r="D877" s="23"/>
      <c r="E877" s="23">
        <f t="shared" si="173"/>
        <v>-8226</v>
      </c>
      <c r="G877" s="19"/>
      <c r="H877" s="62"/>
      <c r="I877" s="20"/>
      <c r="J877" s="21"/>
      <c r="K877" s="42"/>
      <c r="L877" s="23"/>
      <c r="M877" s="23"/>
      <c r="N877" s="23"/>
      <c r="O877" s="23"/>
      <c r="Q877" s="19"/>
      <c r="R877" s="62"/>
      <c r="S877" s="20"/>
      <c r="T877" s="21"/>
      <c r="U877" s="42"/>
      <c r="V877" s="23">
        <f t="shared" si="174"/>
        <v>1</v>
      </c>
      <c r="W877" s="23">
        <f t="shared" si="175"/>
        <v>1</v>
      </c>
      <c r="X877" s="23"/>
      <c r="Y877" s="23"/>
      <c r="AA877" s="19">
        <v>57</v>
      </c>
      <c r="AB877" s="62">
        <f t="shared" si="178"/>
        <v>57</v>
      </c>
      <c r="AC877" s="20"/>
      <c r="AD877" s="21"/>
      <c r="AE877" s="42"/>
      <c r="AF877" s="23">
        <f t="shared" si="176"/>
        <v>-2112</v>
      </c>
      <c r="AG877" s="23">
        <f t="shared" si="177"/>
        <v>0</v>
      </c>
      <c r="AH877" s="23"/>
      <c r="AI877" s="23"/>
    </row>
    <row r="878" spans="1:37">
      <c r="A878" s="96">
        <v>45974</v>
      </c>
      <c r="B878" s="17" t="s">
        <v>14</v>
      </c>
      <c r="C878" s="18">
        <f>AA882</f>
        <v>66</v>
      </c>
      <c r="D878" s="23"/>
      <c r="E878" s="23">
        <f t="shared" si="173"/>
        <v>-8292</v>
      </c>
      <c r="G878" s="19"/>
      <c r="H878" s="62"/>
      <c r="I878" s="20"/>
      <c r="J878" s="21"/>
      <c r="K878" s="42"/>
      <c r="L878" s="23"/>
      <c r="M878" s="23"/>
      <c r="N878" s="23"/>
      <c r="O878" s="23"/>
      <c r="Q878" s="19"/>
      <c r="R878" s="62"/>
      <c r="S878" s="20"/>
      <c r="T878" s="21"/>
      <c r="U878" s="42"/>
      <c r="V878" s="23">
        <f t="shared" si="174"/>
        <v>1</v>
      </c>
      <c r="W878" s="23">
        <f t="shared" si="175"/>
        <v>1</v>
      </c>
      <c r="X878" s="23"/>
      <c r="Y878" s="23"/>
      <c r="AA878" s="19">
        <v>66</v>
      </c>
      <c r="AB878" s="62">
        <f t="shared" si="178"/>
        <v>66</v>
      </c>
      <c r="AC878" s="20"/>
      <c r="AD878" s="21"/>
      <c r="AE878" s="42"/>
      <c r="AF878" s="23">
        <f t="shared" si="176"/>
        <v>-2178</v>
      </c>
      <c r="AG878" s="23">
        <f t="shared" si="177"/>
        <v>0</v>
      </c>
      <c r="AH878" s="23"/>
      <c r="AI878" s="23"/>
    </row>
    <row r="879" spans="1:37">
      <c r="A879" s="96">
        <v>45975</v>
      </c>
      <c r="B879" s="17" t="s">
        <v>15</v>
      </c>
      <c r="C879" s="18">
        <f>AA883</f>
        <v>66</v>
      </c>
      <c r="D879" s="23"/>
      <c r="E879" s="23">
        <f t="shared" si="173"/>
        <v>-8358</v>
      </c>
      <c r="G879" s="19"/>
      <c r="H879" s="62"/>
      <c r="I879" s="20"/>
      <c r="J879" s="21"/>
      <c r="K879" s="42"/>
      <c r="L879" s="23"/>
      <c r="M879" s="23"/>
      <c r="N879" s="23"/>
      <c r="O879" s="23"/>
      <c r="Q879" s="19"/>
      <c r="R879" s="62"/>
      <c r="S879" s="20"/>
      <c r="T879" s="21"/>
      <c r="U879" s="42"/>
      <c r="V879" s="23">
        <f t="shared" si="174"/>
        <v>1</v>
      </c>
      <c r="W879" s="23">
        <f t="shared" si="175"/>
        <v>1</v>
      </c>
      <c r="X879" s="23"/>
      <c r="Y879" s="23"/>
      <c r="AA879" s="19">
        <v>60</v>
      </c>
      <c r="AB879" s="62">
        <f t="shared" si="178"/>
        <v>60</v>
      </c>
      <c r="AC879" s="20"/>
      <c r="AD879" s="21"/>
      <c r="AE879" s="42"/>
      <c r="AF879" s="23">
        <f t="shared" si="176"/>
        <v>-2238</v>
      </c>
      <c r="AG879" s="23">
        <f t="shared" si="177"/>
        <v>0</v>
      </c>
      <c r="AH879" s="23"/>
      <c r="AI879" s="23"/>
    </row>
    <row r="880" spans="1:37" s="12" customFormat="1">
      <c r="A880" s="95">
        <v>45976</v>
      </c>
      <c r="B880" s="25" t="s">
        <v>16</v>
      </c>
      <c r="C880" s="26"/>
      <c r="D880" s="29"/>
      <c r="E880" s="29">
        <f t="shared" si="173"/>
        <v>-8358</v>
      </c>
      <c r="G880" s="64"/>
      <c r="H880" s="63"/>
      <c r="I880" s="27"/>
      <c r="J880" s="28"/>
      <c r="K880" s="43"/>
      <c r="L880" s="29"/>
      <c r="M880" s="29"/>
      <c r="N880" s="29"/>
      <c r="O880" s="29"/>
      <c r="Q880" s="64"/>
      <c r="R880" s="63"/>
      <c r="S880" s="27"/>
      <c r="T880" s="28"/>
      <c r="U880" s="43"/>
      <c r="V880" s="29">
        <f t="shared" si="174"/>
        <v>1</v>
      </c>
      <c r="W880" s="29">
        <f t="shared" si="175"/>
        <v>1</v>
      </c>
      <c r="X880" s="29"/>
      <c r="Y880" s="29"/>
      <c r="AA880" s="64"/>
      <c r="AB880" s="63"/>
      <c r="AC880" s="27"/>
      <c r="AD880" s="28"/>
      <c r="AE880" s="43"/>
      <c r="AF880" s="29">
        <f t="shared" si="176"/>
        <v>-2238</v>
      </c>
      <c r="AG880" s="29">
        <f t="shared" si="177"/>
        <v>0</v>
      </c>
      <c r="AH880" s="29"/>
      <c r="AI880" s="29"/>
      <c r="AJ880" s="11"/>
    </row>
    <row r="881" spans="1:36" s="12" customFormat="1">
      <c r="A881" s="95">
        <v>45977</v>
      </c>
      <c r="B881" s="25" t="s">
        <v>17</v>
      </c>
      <c r="C881" s="26"/>
      <c r="D881" s="29"/>
      <c r="E881" s="29">
        <f t="shared" si="173"/>
        <v>-8358</v>
      </c>
      <c r="G881" s="64"/>
      <c r="H881" s="63"/>
      <c r="I881" s="27"/>
      <c r="J881" s="28"/>
      <c r="K881" s="43"/>
      <c r="L881" s="29"/>
      <c r="M881" s="29"/>
      <c r="N881" s="29"/>
      <c r="O881" s="29"/>
      <c r="Q881" s="64"/>
      <c r="R881" s="63"/>
      <c r="S881" s="27"/>
      <c r="T881" s="28"/>
      <c r="U881" s="43"/>
      <c r="V881" s="29">
        <f t="shared" si="174"/>
        <v>1</v>
      </c>
      <c r="W881" s="29">
        <f t="shared" si="175"/>
        <v>1</v>
      </c>
      <c r="X881" s="29"/>
      <c r="Y881" s="29"/>
      <c r="AA881" s="64"/>
      <c r="AB881" s="63"/>
      <c r="AC881" s="27"/>
      <c r="AD881" s="28"/>
      <c r="AE881" s="43"/>
      <c r="AF881" s="29">
        <f t="shared" si="176"/>
        <v>-2238</v>
      </c>
      <c r="AG881" s="29">
        <f t="shared" si="177"/>
        <v>0</v>
      </c>
      <c r="AH881" s="29"/>
      <c r="AI881" s="29"/>
      <c r="AJ881" s="11"/>
    </row>
    <row r="882" spans="1:36">
      <c r="A882" s="96">
        <v>45978</v>
      </c>
      <c r="B882" s="17" t="s">
        <v>18</v>
      </c>
      <c r="C882" s="18">
        <f>AA884</f>
        <v>78</v>
      </c>
      <c r="D882" s="23"/>
      <c r="E882" s="23">
        <f t="shared" si="173"/>
        <v>-8436</v>
      </c>
      <c r="G882" s="19"/>
      <c r="H882" s="62"/>
      <c r="I882" s="20"/>
      <c r="J882" s="21"/>
      <c r="K882" s="42"/>
      <c r="L882" s="23"/>
      <c r="M882" s="23"/>
      <c r="N882" s="23"/>
      <c r="O882" s="23"/>
      <c r="Q882" s="19"/>
      <c r="R882" s="62"/>
      <c r="S882" s="20"/>
      <c r="T882" s="21"/>
      <c r="U882" s="42"/>
      <c r="V882" s="23">
        <f t="shared" si="174"/>
        <v>1</v>
      </c>
      <c r="W882" s="23">
        <f t="shared" si="175"/>
        <v>1</v>
      </c>
      <c r="X882" s="23"/>
      <c r="Y882" s="23"/>
      <c r="AA882" s="19">
        <v>66</v>
      </c>
      <c r="AB882" s="62">
        <f t="shared" ref="AB882:AB886" si="180">IF(C880&lt;&gt;"",C880+AC882,IF(C878&lt;&gt;"",C878+AC882,IF(C877&lt;&gt;"",C877+AC882,IF(C876&lt;&gt;"",C876+AC882,IF(C875&lt;&gt;"",C875+AC882,IF(C874&lt;&gt;"",C874+AC882))))))</f>
        <v>66</v>
      </c>
      <c r="AC882" s="20"/>
      <c r="AD882" s="21"/>
      <c r="AE882" s="42"/>
      <c r="AF882" s="23">
        <f t="shared" si="176"/>
        <v>-2304</v>
      </c>
      <c r="AG882" s="23">
        <f t="shared" si="177"/>
        <v>0</v>
      </c>
      <c r="AH882" s="23"/>
      <c r="AI882" s="23"/>
    </row>
    <row r="883" spans="1:36">
      <c r="A883" s="96">
        <v>45979</v>
      </c>
      <c r="B883" s="17" t="s">
        <v>19</v>
      </c>
      <c r="C883" s="18">
        <f t="shared" ref="C883:C884" si="181">AA885</f>
        <v>0</v>
      </c>
      <c r="D883" s="23"/>
      <c r="E883" s="23">
        <f t="shared" si="173"/>
        <v>-8436</v>
      </c>
      <c r="G883" s="19"/>
      <c r="H883" s="62"/>
      <c r="I883" s="20"/>
      <c r="J883" s="21"/>
      <c r="K883" s="42"/>
      <c r="L883" s="23"/>
      <c r="M883" s="23"/>
      <c r="N883" s="23"/>
      <c r="O883" s="23"/>
      <c r="Q883" s="19"/>
      <c r="R883" s="62"/>
      <c r="S883" s="20"/>
      <c r="T883" s="21"/>
      <c r="U883" s="42"/>
      <c r="V883" s="23">
        <f t="shared" si="174"/>
        <v>1</v>
      </c>
      <c r="W883" s="23">
        <f t="shared" si="175"/>
        <v>1</v>
      </c>
      <c r="X883" s="23"/>
      <c r="Y883" s="23"/>
      <c r="AA883" s="19">
        <v>66</v>
      </c>
      <c r="AB883" s="62">
        <f t="shared" si="180"/>
        <v>66</v>
      </c>
      <c r="AC883" s="20"/>
      <c r="AD883" s="21"/>
      <c r="AE883" s="42"/>
      <c r="AF883" s="23">
        <f t="shared" si="176"/>
        <v>-2370</v>
      </c>
      <c r="AG883" s="23">
        <f t="shared" si="177"/>
        <v>0</v>
      </c>
      <c r="AH883" s="23"/>
      <c r="AI883" s="23"/>
    </row>
    <row r="884" spans="1:36">
      <c r="A884" s="96">
        <v>45980</v>
      </c>
      <c r="B884" s="17" t="s">
        <v>20</v>
      </c>
      <c r="C884" s="18">
        <f t="shared" si="181"/>
        <v>27</v>
      </c>
      <c r="D884" s="23"/>
      <c r="E884" s="23">
        <f t="shared" si="173"/>
        <v>-8463</v>
      </c>
      <c r="G884" s="19"/>
      <c r="H884" s="62"/>
      <c r="I884" s="20"/>
      <c r="J884" s="21"/>
      <c r="K884" s="42"/>
      <c r="L884" s="23"/>
      <c r="M884" s="23"/>
      <c r="N884" s="23"/>
      <c r="O884" s="23"/>
      <c r="Q884" s="19"/>
      <c r="R884" s="62"/>
      <c r="S884" s="20"/>
      <c r="T884" s="21"/>
      <c r="U884" s="42"/>
      <c r="V884" s="23">
        <f t="shared" si="174"/>
        <v>1</v>
      </c>
      <c r="W884" s="23">
        <f t="shared" si="175"/>
        <v>1</v>
      </c>
      <c r="X884" s="23"/>
      <c r="Y884" s="23"/>
      <c r="AA884" s="19">
        <v>78</v>
      </c>
      <c r="AB884" s="62">
        <f t="shared" si="180"/>
        <v>78</v>
      </c>
      <c r="AC884" s="20"/>
      <c r="AD884" s="21"/>
      <c r="AE884" s="42"/>
      <c r="AF884" s="23">
        <f t="shared" si="176"/>
        <v>-2448</v>
      </c>
      <c r="AG884" s="23">
        <f t="shared" si="177"/>
        <v>0</v>
      </c>
      <c r="AH884" s="23"/>
      <c r="AI884" s="23"/>
    </row>
    <row r="885" spans="1:36">
      <c r="A885" s="96">
        <v>45981</v>
      </c>
      <c r="B885" s="17" t="s">
        <v>14</v>
      </c>
      <c r="C885" s="18">
        <f>AA889</f>
        <v>60</v>
      </c>
      <c r="D885" s="23"/>
      <c r="E885" s="23">
        <f t="shared" si="173"/>
        <v>-8523</v>
      </c>
      <c r="G885" s="19"/>
      <c r="H885" s="62"/>
      <c r="I885" s="20"/>
      <c r="J885" s="21"/>
      <c r="K885" s="42"/>
      <c r="L885" s="23"/>
      <c r="M885" s="23"/>
      <c r="N885" s="23"/>
      <c r="O885" s="23"/>
      <c r="Q885" s="19"/>
      <c r="R885" s="62"/>
      <c r="S885" s="20"/>
      <c r="T885" s="21"/>
      <c r="U885" s="42"/>
      <c r="V885" s="23">
        <f t="shared" si="174"/>
        <v>1</v>
      </c>
      <c r="W885" s="23">
        <f t="shared" si="175"/>
        <v>1</v>
      </c>
      <c r="X885" s="23"/>
      <c r="Y885" s="23"/>
      <c r="AA885" s="19">
        <v>0</v>
      </c>
      <c r="AB885" s="62">
        <f t="shared" si="180"/>
        <v>0</v>
      </c>
      <c r="AC885" s="20"/>
      <c r="AD885" s="21"/>
      <c r="AE885" s="42"/>
      <c r="AF885" s="23">
        <f t="shared" si="176"/>
        <v>-2448</v>
      </c>
      <c r="AG885" s="23">
        <f t="shared" si="177"/>
        <v>0</v>
      </c>
      <c r="AH885" s="23"/>
      <c r="AI885" s="23"/>
    </row>
    <row r="886" spans="1:36">
      <c r="A886" s="96">
        <v>45982</v>
      </c>
      <c r="B886" s="17" t="s">
        <v>15</v>
      </c>
      <c r="C886" s="18">
        <f>AA890</f>
        <v>57</v>
      </c>
      <c r="D886" s="23"/>
      <c r="E886" s="23">
        <f t="shared" si="173"/>
        <v>-8580</v>
      </c>
      <c r="G886" s="19"/>
      <c r="H886" s="62"/>
      <c r="I886" s="20"/>
      <c r="J886" s="21"/>
      <c r="K886" s="42"/>
      <c r="L886" s="23"/>
      <c r="M886" s="23"/>
      <c r="N886" s="23"/>
      <c r="O886" s="23"/>
      <c r="Q886" s="19"/>
      <c r="R886" s="62"/>
      <c r="S886" s="20"/>
      <c r="T886" s="21"/>
      <c r="U886" s="42"/>
      <c r="V886" s="23">
        <f t="shared" si="174"/>
        <v>1</v>
      </c>
      <c r="W886" s="23">
        <f t="shared" si="175"/>
        <v>1</v>
      </c>
      <c r="X886" s="23"/>
      <c r="Y886" s="23"/>
      <c r="AA886" s="19">
        <v>27</v>
      </c>
      <c r="AB886" s="62">
        <f t="shared" si="180"/>
        <v>27</v>
      </c>
      <c r="AC886" s="20"/>
      <c r="AD886" s="21"/>
      <c r="AE886" s="42"/>
      <c r="AF886" s="23">
        <f t="shared" si="176"/>
        <v>-2475</v>
      </c>
      <c r="AG886" s="23">
        <f t="shared" si="177"/>
        <v>0</v>
      </c>
      <c r="AH886" s="23"/>
      <c r="AI886" s="23"/>
    </row>
    <row r="887" spans="1:36" s="12" customFormat="1">
      <c r="A887" s="95">
        <v>45983</v>
      </c>
      <c r="B887" s="25" t="s">
        <v>16</v>
      </c>
      <c r="C887" s="26"/>
      <c r="D887" s="29"/>
      <c r="E887" s="29">
        <f t="shared" si="173"/>
        <v>-8580</v>
      </c>
      <c r="G887" s="64"/>
      <c r="H887" s="63"/>
      <c r="I887" s="27"/>
      <c r="J887" s="28"/>
      <c r="K887" s="43"/>
      <c r="L887" s="29"/>
      <c r="M887" s="29"/>
      <c r="N887" s="29"/>
      <c r="O887" s="29"/>
      <c r="Q887" s="64"/>
      <c r="R887" s="63"/>
      <c r="S887" s="27"/>
      <c r="T887" s="28"/>
      <c r="U887" s="43"/>
      <c r="V887" s="29">
        <f t="shared" si="174"/>
        <v>1</v>
      </c>
      <c r="W887" s="29">
        <f t="shared" si="175"/>
        <v>1</v>
      </c>
      <c r="X887" s="29"/>
      <c r="Y887" s="29"/>
      <c r="AA887" s="64"/>
      <c r="AB887" s="63"/>
      <c r="AC887" s="27"/>
      <c r="AD887" s="28"/>
      <c r="AE887" s="43"/>
      <c r="AF887" s="29">
        <f t="shared" si="176"/>
        <v>-2475</v>
      </c>
      <c r="AG887" s="29">
        <f t="shared" si="177"/>
        <v>0</v>
      </c>
      <c r="AH887" s="29"/>
      <c r="AI887" s="29"/>
      <c r="AJ887" s="11"/>
    </row>
    <row r="888" spans="1:36" s="12" customFormat="1">
      <c r="A888" s="95">
        <v>45984</v>
      </c>
      <c r="B888" s="25" t="s">
        <v>17</v>
      </c>
      <c r="C888" s="26"/>
      <c r="D888" s="29"/>
      <c r="E888" s="29">
        <f t="shared" si="173"/>
        <v>-8580</v>
      </c>
      <c r="G888" s="64"/>
      <c r="H888" s="63"/>
      <c r="I888" s="27"/>
      <c r="J888" s="28"/>
      <c r="K888" s="43"/>
      <c r="L888" s="29"/>
      <c r="M888" s="29"/>
      <c r="N888" s="29"/>
      <c r="O888" s="29"/>
      <c r="Q888" s="64"/>
      <c r="R888" s="63"/>
      <c r="S888" s="27"/>
      <c r="T888" s="28"/>
      <c r="U888" s="43"/>
      <c r="V888" s="29">
        <f t="shared" si="174"/>
        <v>1</v>
      </c>
      <c r="W888" s="29">
        <f t="shared" si="175"/>
        <v>1</v>
      </c>
      <c r="X888" s="29"/>
      <c r="Y888" s="29"/>
      <c r="AA888" s="64"/>
      <c r="AB888" s="63"/>
      <c r="AC888" s="27"/>
      <c r="AD888" s="28"/>
      <c r="AE888" s="43"/>
      <c r="AF888" s="29">
        <f t="shared" si="176"/>
        <v>-2475</v>
      </c>
      <c r="AG888" s="29">
        <f t="shared" si="177"/>
        <v>0</v>
      </c>
      <c r="AH888" s="29"/>
      <c r="AI888" s="29"/>
      <c r="AJ888" s="11"/>
    </row>
    <row r="889" spans="1:36">
      <c r="A889" s="96">
        <v>45985</v>
      </c>
      <c r="B889" s="17" t="s">
        <v>18</v>
      </c>
      <c r="C889" s="18">
        <f>AA891</f>
        <v>57</v>
      </c>
      <c r="D889" s="23"/>
      <c r="E889" s="23">
        <f t="shared" si="173"/>
        <v>-8637</v>
      </c>
      <c r="G889" s="19"/>
      <c r="H889" s="62"/>
      <c r="I889" s="20"/>
      <c r="J889" s="21"/>
      <c r="K889" s="42"/>
      <c r="L889" s="23"/>
      <c r="M889" s="23"/>
      <c r="N889" s="23"/>
      <c r="O889" s="23"/>
      <c r="Q889" s="19"/>
      <c r="R889" s="62"/>
      <c r="S889" s="20"/>
      <c r="T889" s="21"/>
      <c r="U889" s="42"/>
      <c r="V889" s="23">
        <f t="shared" si="174"/>
        <v>1</v>
      </c>
      <c r="W889" s="23">
        <f t="shared" si="175"/>
        <v>1</v>
      </c>
      <c r="X889" s="23"/>
      <c r="Y889" s="23"/>
      <c r="AA889" s="19">
        <v>60</v>
      </c>
      <c r="AB889" s="62">
        <f t="shared" ref="AB889:AB893" si="182">IF(C887&lt;&gt;"",C887+AC889,IF(C885&lt;&gt;"",C885+AC889,IF(C884&lt;&gt;"",C884+AC889,IF(C883&lt;&gt;"",C883+AC889,IF(C882&lt;&gt;"",C882+AC889,IF(C881&lt;&gt;"",C881+AC889))))))</f>
        <v>60</v>
      </c>
      <c r="AC889" s="20"/>
      <c r="AD889" s="21"/>
      <c r="AE889" s="42"/>
      <c r="AF889" s="23">
        <f t="shared" si="176"/>
        <v>-2535</v>
      </c>
      <c r="AG889" s="23">
        <f t="shared" si="177"/>
        <v>0</v>
      </c>
      <c r="AH889" s="23"/>
      <c r="AI889" s="23"/>
    </row>
    <row r="890" spans="1:36">
      <c r="A890" s="96">
        <v>45986</v>
      </c>
      <c r="B890" s="17" t="s">
        <v>19</v>
      </c>
      <c r="C890" s="18">
        <f t="shared" ref="C890:C891" si="183">AA892</f>
        <v>57</v>
      </c>
      <c r="D890" s="23"/>
      <c r="E890" s="23">
        <f t="shared" si="173"/>
        <v>-8694</v>
      </c>
      <c r="G890" s="19"/>
      <c r="H890" s="62"/>
      <c r="I890" s="20"/>
      <c r="J890" s="21"/>
      <c r="K890" s="42"/>
      <c r="L890" s="23"/>
      <c r="M890" s="23"/>
      <c r="N890" s="23"/>
      <c r="O890" s="23"/>
      <c r="Q890" s="19"/>
      <c r="R890" s="62"/>
      <c r="S890" s="20"/>
      <c r="T890" s="21"/>
      <c r="U890" s="42"/>
      <c r="V890" s="23">
        <f t="shared" si="174"/>
        <v>1</v>
      </c>
      <c r="W890" s="23">
        <f t="shared" si="175"/>
        <v>1</v>
      </c>
      <c r="X890" s="23"/>
      <c r="Y890" s="23"/>
      <c r="AA890" s="19">
        <v>57</v>
      </c>
      <c r="AB890" s="62">
        <f t="shared" si="182"/>
        <v>57</v>
      </c>
      <c r="AC890" s="20"/>
      <c r="AD890" s="21"/>
      <c r="AE890" s="42"/>
      <c r="AF890" s="23">
        <f t="shared" si="176"/>
        <v>-2592</v>
      </c>
      <c r="AG890" s="23">
        <f t="shared" si="177"/>
        <v>0</v>
      </c>
      <c r="AH890" s="23"/>
      <c r="AI890" s="23"/>
    </row>
    <row r="891" spans="1:36">
      <c r="A891" s="96">
        <v>45987</v>
      </c>
      <c r="B891" s="17" t="s">
        <v>20</v>
      </c>
      <c r="C891" s="18">
        <f t="shared" si="183"/>
        <v>0</v>
      </c>
      <c r="D891" s="23"/>
      <c r="E891" s="23">
        <f t="shared" si="173"/>
        <v>-8694</v>
      </c>
      <c r="G891" s="19"/>
      <c r="H891" s="62"/>
      <c r="I891" s="20"/>
      <c r="J891" s="21"/>
      <c r="K891" s="42"/>
      <c r="L891" s="23"/>
      <c r="M891" s="23"/>
      <c r="N891" s="23"/>
      <c r="O891" s="23"/>
      <c r="Q891" s="19"/>
      <c r="R891" s="62"/>
      <c r="S891" s="20"/>
      <c r="T891" s="21"/>
      <c r="U891" s="42"/>
      <c r="V891" s="23">
        <f t="shared" si="174"/>
        <v>1</v>
      </c>
      <c r="W891" s="23">
        <f t="shared" si="175"/>
        <v>1</v>
      </c>
      <c r="X891" s="23"/>
      <c r="Y891" s="23"/>
      <c r="AA891" s="19">
        <v>57</v>
      </c>
      <c r="AB891" s="62">
        <f t="shared" si="182"/>
        <v>57</v>
      </c>
      <c r="AC891" s="20"/>
      <c r="AD891" s="21"/>
      <c r="AE891" s="42"/>
      <c r="AF891" s="23">
        <f t="shared" si="176"/>
        <v>-2649</v>
      </c>
      <c r="AG891" s="23">
        <f t="shared" si="177"/>
        <v>0</v>
      </c>
      <c r="AH891" s="23"/>
      <c r="AI891" s="23"/>
    </row>
    <row r="892" spans="1:36">
      <c r="A892" s="96">
        <v>45988</v>
      </c>
      <c r="B892" s="17" t="s">
        <v>14</v>
      </c>
      <c r="C892" s="18">
        <f>AA896</f>
        <v>0</v>
      </c>
      <c r="D892" s="23"/>
      <c r="E892" s="23">
        <f t="shared" si="173"/>
        <v>-8694</v>
      </c>
      <c r="G892" s="19"/>
      <c r="H892" s="62"/>
      <c r="I892" s="20"/>
      <c r="J892" s="21"/>
      <c r="K892" s="42"/>
      <c r="L892" s="23"/>
      <c r="M892" s="23"/>
      <c r="N892" s="23"/>
      <c r="O892" s="23"/>
      <c r="Q892" s="19"/>
      <c r="R892" s="62"/>
      <c r="S892" s="20"/>
      <c r="T892" s="21"/>
      <c r="U892" s="42"/>
      <c r="V892" s="23">
        <f t="shared" si="174"/>
        <v>1</v>
      </c>
      <c r="W892" s="23">
        <f t="shared" si="175"/>
        <v>1</v>
      </c>
      <c r="X892" s="23"/>
      <c r="Y892" s="23"/>
      <c r="AA892" s="19">
        <v>57</v>
      </c>
      <c r="AB892" s="62">
        <f t="shared" si="182"/>
        <v>57</v>
      </c>
      <c r="AC892" s="20"/>
      <c r="AD892" s="21"/>
      <c r="AE892" s="42"/>
      <c r="AF892" s="23">
        <f t="shared" si="176"/>
        <v>-2706</v>
      </c>
      <c r="AG892" s="23">
        <f t="shared" si="177"/>
        <v>0</v>
      </c>
      <c r="AH892" s="23"/>
      <c r="AI892" s="23"/>
    </row>
    <row r="893" spans="1:36">
      <c r="A893" s="96">
        <v>45989</v>
      </c>
      <c r="B893" s="17" t="s">
        <v>15</v>
      </c>
      <c r="C893" s="18">
        <f>AA897</f>
        <v>0</v>
      </c>
      <c r="D893" s="23"/>
      <c r="E893" s="23">
        <f t="shared" si="173"/>
        <v>-8694</v>
      </c>
      <c r="G893" s="19"/>
      <c r="H893" s="62"/>
      <c r="I893" s="20"/>
      <c r="J893" s="21"/>
      <c r="K893" s="42"/>
      <c r="L893" s="23"/>
      <c r="M893" s="23"/>
      <c r="N893" s="23"/>
      <c r="O893" s="23"/>
      <c r="Q893" s="19"/>
      <c r="R893" s="62"/>
      <c r="S893" s="20"/>
      <c r="T893" s="21"/>
      <c r="U893" s="42"/>
      <c r="V893" s="23">
        <f t="shared" si="174"/>
        <v>1</v>
      </c>
      <c r="W893" s="23">
        <f t="shared" si="175"/>
        <v>1</v>
      </c>
      <c r="X893" s="23"/>
      <c r="Y893" s="23"/>
      <c r="AA893" s="19">
        <v>0</v>
      </c>
      <c r="AB893" s="62">
        <f t="shared" si="182"/>
        <v>0</v>
      </c>
      <c r="AC893" s="20"/>
      <c r="AD893" s="21"/>
      <c r="AE893" s="42"/>
      <c r="AF893" s="23">
        <f t="shared" si="176"/>
        <v>-2706</v>
      </c>
      <c r="AG893" s="23">
        <f t="shared" si="177"/>
        <v>0</v>
      </c>
      <c r="AH893" s="23"/>
      <c r="AI893" s="23"/>
    </row>
    <row r="894" spans="1:36" s="12" customFormat="1">
      <c r="A894" s="95">
        <v>45990</v>
      </c>
      <c r="B894" s="25" t="s">
        <v>16</v>
      </c>
      <c r="C894" s="26"/>
      <c r="D894" s="29"/>
      <c r="E894" s="29">
        <f t="shared" si="173"/>
        <v>-8694</v>
      </c>
      <c r="G894" s="64"/>
      <c r="H894" s="63"/>
      <c r="I894" s="27"/>
      <c r="J894" s="28"/>
      <c r="K894" s="43"/>
      <c r="L894" s="29"/>
      <c r="M894" s="29"/>
      <c r="N894" s="29"/>
      <c r="O894" s="29"/>
      <c r="Q894" s="64"/>
      <c r="R894" s="63"/>
      <c r="S894" s="27"/>
      <c r="T894" s="28"/>
      <c r="U894" s="43"/>
      <c r="V894" s="29">
        <f t="shared" si="174"/>
        <v>1</v>
      </c>
      <c r="W894" s="29">
        <f t="shared" si="175"/>
        <v>1</v>
      </c>
      <c r="X894" s="29"/>
      <c r="Y894" s="29"/>
      <c r="AA894" s="64"/>
      <c r="AB894" s="63"/>
      <c r="AC894" s="27"/>
      <c r="AD894" s="28"/>
      <c r="AE894" s="43"/>
      <c r="AF894" s="29">
        <f t="shared" si="176"/>
        <v>-2706</v>
      </c>
      <c r="AG894" s="29">
        <f t="shared" si="177"/>
        <v>0</v>
      </c>
      <c r="AH894" s="29"/>
      <c r="AI894" s="29"/>
      <c r="AJ894" s="11"/>
    </row>
    <row r="895" spans="1:36" s="12" customFormat="1">
      <c r="A895" s="95">
        <v>45991</v>
      </c>
      <c r="B895" s="25" t="s">
        <v>17</v>
      </c>
      <c r="C895" s="26"/>
      <c r="D895" s="29"/>
      <c r="E895" s="29">
        <f t="shared" si="173"/>
        <v>-8694</v>
      </c>
      <c r="G895" s="64"/>
      <c r="H895" s="63"/>
      <c r="I895" s="27"/>
      <c r="J895" s="28"/>
      <c r="K895" s="43"/>
      <c r="L895" s="29"/>
      <c r="M895" s="29"/>
      <c r="N895" s="29"/>
      <c r="O895" s="29"/>
      <c r="Q895" s="64"/>
      <c r="R895" s="63"/>
      <c r="S895" s="27"/>
      <c r="T895" s="28"/>
      <c r="U895" s="43"/>
      <c r="V895" s="29">
        <f t="shared" si="174"/>
        <v>1</v>
      </c>
      <c r="W895" s="29">
        <f t="shared" si="175"/>
        <v>1</v>
      </c>
      <c r="X895" s="29"/>
      <c r="Y895" s="29"/>
      <c r="AA895" s="64"/>
      <c r="AB895" s="63"/>
      <c r="AC895" s="27"/>
      <c r="AD895" s="28"/>
      <c r="AE895" s="43"/>
      <c r="AF895" s="29">
        <f t="shared" si="176"/>
        <v>-2706</v>
      </c>
      <c r="AG895" s="29">
        <f t="shared" si="177"/>
        <v>0</v>
      </c>
      <c r="AH895" s="29"/>
      <c r="AI895" s="29"/>
      <c r="AJ895" s="11"/>
    </row>
    <row r="896" spans="1:36">
      <c r="A896" s="96">
        <v>45992</v>
      </c>
      <c r="B896" s="17" t="s">
        <v>18</v>
      </c>
      <c r="C896" s="18"/>
      <c r="D896" s="23"/>
      <c r="E896" s="23">
        <f t="shared" si="173"/>
        <v>-8694</v>
      </c>
      <c r="G896" s="19"/>
      <c r="H896" s="62"/>
      <c r="I896" s="20"/>
      <c r="J896" s="21"/>
      <c r="K896" s="42"/>
      <c r="L896" s="23"/>
      <c r="M896" s="23"/>
      <c r="N896" s="23"/>
      <c r="O896" s="23"/>
      <c r="Q896" s="19"/>
      <c r="R896" s="62"/>
      <c r="S896" s="20"/>
      <c r="T896" s="21"/>
      <c r="U896" s="42"/>
      <c r="V896" s="23">
        <f t="shared" si="174"/>
        <v>1</v>
      </c>
      <c r="W896" s="23">
        <f t="shared" si="175"/>
        <v>1</v>
      </c>
      <c r="X896" s="23"/>
      <c r="Y896" s="23"/>
      <c r="AA896" s="19"/>
      <c r="AB896" s="62"/>
      <c r="AC896" s="20"/>
      <c r="AD896" s="21"/>
      <c r="AE896" s="42"/>
      <c r="AF896" s="23">
        <f t="shared" si="176"/>
        <v>-2706</v>
      </c>
      <c r="AG896" s="23">
        <f t="shared" si="177"/>
        <v>0</v>
      </c>
      <c r="AH896" s="23"/>
      <c r="AI896" s="23"/>
    </row>
    <row r="897" spans="1:36">
      <c r="A897" s="96">
        <v>45993</v>
      </c>
      <c r="B897" s="17" t="s">
        <v>19</v>
      </c>
      <c r="C897" s="18"/>
      <c r="D897" s="23"/>
      <c r="E897" s="23">
        <f t="shared" si="173"/>
        <v>-8694</v>
      </c>
      <c r="G897" s="19"/>
      <c r="H897" s="62"/>
      <c r="I897" s="20"/>
      <c r="J897" s="21"/>
      <c r="K897" s="42"/>
      <c r="L897" s="23"/>
      <c r="M897" s="23"/>
      <c r="N897" s="23"/>
      <c r="O897" s="23"/>
      <c r="Q897" s="19"/>
      <c r="R897" s="62"/>
      <c r="S897" s="20"/>
      <c r="T897" s="21"/>
      <c r="U897" s="42"/>
      <c r="V897" s="23">
        <f t="shared" si="174"/>
        <v>1</v>
      </c>
      <c r="W897" s="23">
        <f t="shared" si="175"/>
        <v>1</v>
      </c>
      <c r="X897" s="23"/>
      <c r="Y897" s="23"/>
      <c r="AA897" s="19"/>
      <c r="AB897" s="62"/>
      <c r="AC897" s="20"/>
      <c r="AD897" s="21"/>
      <c r="AE897" s="42"/>
      <c r="AF897" s="23">
        <f t="shared" si="176"/>
        <v>-2706</v>
      </c>
      <c r="AG897" s="23">
        <f t="shared" si="177"/>
        <v>0</v>
      </c>
      <c r="AH897" s="23"/>
      <c r="AI897" s="23"/>
    </row>
    <row r="898" spans="1:36">
      <c r="A898" s="96">
        <v>45994</v>
      </c>
      <c r="B898" s="17" t="s">
        <v>20</v>
      </c>
      <c r="C898" s="18"/>
      <c r="D898" s="23"/>
      <c r="E898" s="23">
        <f t="shared" si="173"/>
        <v>-8694</v>
      </c>
      <c r="G898" s="19"/>
      <c r="H898" s="62"/>
      <c r="I898" s="20"/>
      <c r="J898" s="21"/>
      <c r="K898" s="42"/>
      <c r="L898" s="23"/>
      <c r="M898" s="23"/>
      <c r="N898" s="23"/>
      <c r="O898" s="23"/>
      <c r="Q898" s="19"/>
      <c r="R898" s="62"/>
      <c r="S898" s="20"/>
      <c r="T898" s="21"/>
      <c r="U898" s="42"/>
      <c r="V898" s="23">
        <f t="shared" si="174"/>
        <v>1</v>
      </c>
      <c r="W898" s="23">
        <f t="shared" si="175"/>
        <v>1</v>
      </c>
      <c r="X898" s="23"/>
      <c r="Y898" s="23"/>
      <c r="AA898" s="19"/>
      <c r="AB898" s="62"/>
      <c r="AC898" s="20"/>
      <c r="AD898" s="21"/>
      <c r="AE898" s="42"/>
      <c r="AF898" s="23">
        <f t="shared" si="176"/>
        <v>-2706</v>
      </c>
      <c r="AG898" s="23">
        <f t="shared" si="177"/>
        <v>0</v>
      </c>
      <c r="AH898" s="23"/>
      <c r="AI898" s="23"/>
    </row>
    <row r="899" spans="1:36">
      <c r="A899" s="96">
        <v>45995</v>
      </c>
      <c r="B899" s="17" t="s">
        <v>14</v>
      </c>
      <c r="C899" s="18"/>
      <c r="D899" s="23"/>
      <c r="E899" s="23">
        <f t="shared" si="173"/>
        <v>-8694</v>
      </c>
      <c r="G899" s="19"/>
      <c r="H899" s="62"/>
      <c r="I899" s="20"/>
      <c r="J899" s="21"/>
      <c r="K899" s="42"/>
      <c r="L899" s="23"/>
      <c r="M899" s="23"/>
      <c r="N899" s="23"/>
      <c r="O899" s="23"/>
      <c r="Q899" s="19"/>
      <c r="R899" s="62"/>
      <c r="S899" s="20"/>
      <c r="T899" s="21"/>
      <c r="U899" s="42"/>
      <c r="V899" s="23">
        <f t="shared" si="174"/>
        <v>1</v>
      </c>
      <c r="W899" s="23">
        <f t="shared" si="175"/>
        <v>1</v>
      </c>
      <c r="X899" s="23"/>
      <c r="Y899" s="23"/>
      <c r="AA899" s="19"/>
      <c r="AB899" s="62"/>
      <c r="AC899" s="20"/>
      <c r="AD899" s="21"/>
      <c r="AE899" s="42"/>
      <c r="AF899" s="23">
        <f t="shared" si="176"/>
        <v>-2706</v>
      </c>
      <c r="AG899" s="23">
        <f t="shared" si="177"/>
        <v>0</v>
      </c>
      <c r="AH899" s="23"/>
      <c r="AI899" s="23"/>
    </row>
    <row r="900" spans="1:36">
      <c r="A900" s="96">
        <v>45996</v>
      </c>
      <c r="B900" s="17" t="s">
        <v>15</v>
      </c>
      <c r="C900" s="18"/>
      <c r="D900" s="23"/>
      <c r="E900" s="23">
        <f t="shared" si="173"/>
        <v>-8694</v>
      </c>
      <c r="G900" s="19"/>
      <c r="H900" s="62"/>
      <c r="I900" s="20"/>
      <c r="J900" s="21"/>
      <c r="K900" s="42"/>
      <c r="L900" s="23"/>
      <c r="M900" s="23"/>
      <c r="N900" s="23"/>
      <c r="O900" s="23"/>
      <c r="Q900" s="19"/>
      <c r="R900" s="62"/>
      <c r="S900" s="20"/>
      <c r="T900" s="21"/>
      <c r="U900" s="42"/>
      <c r="V900" s="23">
        <f t="shared" si="174"/>
        <v>1</v>
      </c>
      <c r="W900" s="23">
        <f t="shared" si="175"/>
        <v>1</v>
      </c>
      <c r="X900" s="23"/>
      <c r="Y900" s="23"/>
      <c r="AA900" s="19"/>
      <c r="AB900" s="62"/>
      <c r="AC900" s="20"/>
      <c r="AD900" s="21"/>
      <c r="AE900" s="42"/>
      <c r="AF900" s="23">
        <f t="shared" si="176"/>
        <v>-2706</v>
      </c>
      <c r="AG900" s="23">
        <f t="shared" si="177"/>
        <v>0</v>
      </c>
      <c r="AH900" s="23"/>
      <c r="AI900" s="23"/>
    </row>
    <row r="901" spans="1:36" s="12" customFormat="1">
      <c r="A901" s="95">
        <v>45997</v>
      </c>
      <c r="B901" s="25" t="s">
        <v>16</v>
      </c>
      <c r="C901" s="26"/>
      <c r="D901" s="29"/>
      <c r="E901" s="29">
        <f t="shared" si="173"/>
        <v>-8694</v>
      </c>
      <c r="G901" s="64"/>
      <c r="H901" s="63"/>
      <c r="I901" s="27"/>
      <c r="J901" s="28"/>
      <c r="K901" s="43"/>
      <c r="L901" s="29"/>
      <c r="M901" s="29"/>
      <c r="N901" s="29"/>
      <c r="O901" s="29"/>
      <c r="Q901" s="64"/>
      <c r="R901" s="63"/>
      <c r="S901" s="27"/>
      <c r="T901" s="28"/>
      <c r="U901" s="43"/>
      <c r="V901" s="29">
        <f t="shared" si="174"/>
        <v>1</v>
      </c>
      <c r="W901" s="29">
        <f t="shared" si="175"/>
        <v>1</v>
      </c>
      <c r="X901" s="29"/>
      <c r="Y901" s="29"/>
      <c r="AA901" s="64"/>
      <c r="AB901" s="63"/>
      <c r="AC901" s="27"/>
      <c r="AD901" s="28"/>
      <c r="AE901" s="43"/>
      <c r="AF901" s="29">
        <f t="shared" si="176"/>
        <v>-2706</v>
      </c>
      <c r="AG901" s="29">
        <f t="shared" si="177"/>
        <v>0</v>
      </c>
      <c r="AH901" s="29"/>
      <c r="AI901" s="29"/>
      <c r="AJ901" s="11"/>
    </row>
    <row r="902" spans="1:36">
      <c r="A902" s="96"/>
      <c r="B902" s="17"/>
      <c r="C902" s="18"/>
      <c r="D902" s="23"/>
      <c r="E902" s="23"/>
      <c r="G902" s="19"/>
      <c r="H902" s="62"/>
      <c r="I902" s="20"/>
      <c r="J902" s="21"/>
      <c r="K902" s="42"/>
      <c r="L902" s="23"/>
      <c r="M902" s="23"/>
      <c r="N902" s="23"/>
      <c r="O902" s="23"/>
      <c r="Q902" s="19"/>
      <c r="R902" s="62"/>
      <c r="S902" s="20"/>
      <c r="T902" s="21"/>
      <c r="U902" s="42"/>
      <c r="V902" s="23"/>
      <c r="W902" s="23"/>
      <c r="X902" s="23"/>
      <c r="Y902" s="23"/>
      <c r="AA902" s="19"/>
      <c r="AB902" s="62"/>
      <c r="AC902" s="20"/>
      <c r="AD902" s="21"/>
      <c r="AE902" s="42"/>
      <c r="AF902" s="23"/>
      <c r="AG902" s="23"/>
      <c r="AH902" s="23"/>
      <c r="AI902" s="23"/>
    </row>
    <row r="904" spans="1:36">
      <c r="C904" s="208"/>
      <c r="D904" s="1" t="s">
        <v>48</v>
      </c>
    </row>
    <row r="905" spans="1:36">
      <c r="A905" s="2" t="s">
        <v>44</v>
      </c>
      <c r="B905" s="1">
        <v>22</v>
      </c>
      <c r="C905" s="208">
        <v>1284</v>
      </c>
      <c r="D905" s="210">
        <f t="shared" ref="D905:D912" si="184">C905/B905</f>
        <v>58.363636363636367</v>
      </c>
    </row>
    <row r="906" spans="1:36">
      <c r="A906" s="2" t="s">
        <v>45</v>
      </c>
      <c r="B906" s="1">
        <v>22</v>
      </c>
      <c r="C906" s="208">
        <v>1548</v>
      </c>
      <c r="D906" s="210">
        <f t="shared" si="184"/>
        <v>70.36363636363636</v>
      </c>
    </row>
    <row r="907" spans="1:36">
      <c r="A907" s="2" t="s">
        <v>46</v>
      </c>
      <c r="B907" s="1">
        <v>21</v>
      </c>
      <c r="C907" s="208">
        <v>1233</v>
      </c>
      <c r="D907" s="210">
        <f t="shared" si="184"/>
        <v>58.714285714285715</v>
      </c>
    </row>
    <row r="908" spans="1:36">
      <c r="A908" s="2" t="s">
        <v>47</v>
      </c>
      <c r="B908" s="1">
        <v>20</v>
      </c>
      <c r="C908" s="208">
        <v>1002</v>
      </c>
      <c r="D908" s="210">
        <f t="shared" si="184"/>
        <v>50.1</v>
      </c>
    </row>
    <row r="909" spans="1:36">
      <c r="A909" s="2" t="s">
        <v>71</v>
      </c>
      <c r="B909" s="1">
        <v>20</v>
      </c>
      <c r="C909">
        <v>1356</v>
      </c>
      <c r="D909" s="210">
        <f t="shared" si="184"/>
        <v>67.8</v>
      </c>
    </row>
    <row r="910" spans="1:36">
      <c r="A910" s="2" t="s">
        <v>72</v>
      </c>
      <c r="B910" s="1">
        <v>21</v>
      </c>
      <c r="C910">
        <v>1317</v>
      </c>
      <c r="D910" s="210">
        <f t="shared" si="184"/>
        <v>62.714285714285715</v>
      </c>
    </row>
    <row r="911" spans="1:36">
      <c r="A911" s="2" t="s">
        <v>73</v>
      </c>
      <c r="B911" s="1">
        <v>22</v>
      </c>
      <c r="C911">
        <v>1470</v>
      </c>
      <c r="D911" s="210">
        <f t="shared" si="184"/>
        <v>66.818181818181813</v>
      </c>
    </row>
    <row r="912" spans="1:36">
      <c r="A912" s="2" t="s">
        <v>74</v>
      </c>
      <c r="B912" s="1">
        <v>19</v>
      </c>
      <c r="C912">
        <v>1311</v>
      </c>
      <c r="D912" s="210">
        <f t="shared" si="184"/>
        <v>69</v>
      </c>
    </row>
    <row r="913" spans="1:4">
      <c r="A913" s="2" t="s">
        <v>75</v>
      </c>
      <c r="B913" s="1">
        <v>19</v>
      </c>
      <c r="C913">
        <v>1068</v>
      </c>
      <c r="D913" s="210">
        <f t="shared" ref="D913:D914" si="185">C913/B913</f>
        <v>56.210526315789473</v>
      </c>
    </row>
    <row r="914" spans="1:4">
      <c r="A914" s="2" t="s">
        <v>76</v>
      </c>
      <c r="B914" s="1">
        <v>21</v>
      </c>
      <c r="C914">
        <v>1347</v>
      </c>
      <c r="D914" s="210">
        <f t="shared" si="185"/>
        <v>64.142857142857139</v>
      </c>
    </row>
  </sheetData>
  <customSheetViews>
    <customSheetView guid="{0F97D042-C15F-481A-A24D-94F15C0648A1}" scale="85" showPageBreaks="1" fitToPage="1" printArea="1" hiddenRows="1" hiddenColumns="1">
      <pane xSplit="1" ySplit="697" topLeftCell="B718" activePane="bottomRight" state="frozenSplit"/>
      <selection pane="bottomRight" activeCell="AE731" sqref="AE731"/>
      <pageMargins left="0.7" right="0.7" top="0.75" bottom="0.75" header="0.3" footer="0.3"/>
      <pageSetup paperSize="9" orientation="landscape" r:id="rId1"/>
    </customSheetView>
    <customSheetView guid="{67AA7247-9969-44D1-A312-CE29558EF448}" scale="70" showPageBreaks="1" fitToPage="1" printArea="1" hiddenRows="1" hiddenColumns="1">
      <pane xSplit="13" ySplit="82" topLeftCell="O679" activePane="bottomRight" state="frozenSplit"/>
      <selection pane="bottomRight" activeCell="AB688" sqref="AB688"/>
      <pageMargins left="0.7" right="0.7" top="0.75" bottom="0.75" header="0.3" footer="0.3"/>
      <pageSetup paperSize="9" scale="70" orientation="landscape" r:id="rId2"/>
    </customSheetView>
    <customSheetView guid="{71D64ACB-0C5A-4845-B610-45B8D3A5CAD0}" scale="70" fitToPage="1" hiddenRows="1" hiddenColumns="1">
      <pane xSplit="13" ySplit="346" topLeftCell="Q348" activePane="bottomRight" state="frozenSplit"/>
      <selection pane="bottomRight" activeCell="W356" sqref="W356"/>
      <pageMargins left="0.7" right="0.7" top="0.75" bottom="0.75" header="0.3" footer="0.3"/>
      <pageSetup paperSize="9" scale="95" orientation="landscape" r:id="rId3"/>
    </customSheetView>
    <customSheetView guid="{48C6E8DD-1D04-4B0D-86CF-B8ECBCB979B9}" scale="85" showPageBreaks="1" fitToPage="1" printArea="1" hiddenRows="1">
      <pane xSplit="0.80198019801980203" ySplit="82" topLeftCell="G93" activePane="bottomRight" state="frozenSplit"/>
      <selection pane="bottomRight" activeCell="N106" sqref="N106"/>
      <pageMargins left="0.7" right="0.7" top="0.75" bottom="0.75" header="0.3" footer="0.3"/>
      <pageSetup paperSize="9" scale="62" orientation="landscape" r:id="rId4"/>
    </customSheetView>
    <customSheetView guid="{7E11D236-C3AC-4177-91D6-AE97935356F8}" scale="70" showPageBreaks="1" fitToPage="1" printArea="1" hiddenRows="1" hiddenColumns="1">
      <pane xSplit="13" ySplit="346" topLeftCell="Q348" activePane="bottomRight" state="frozenSplit"/>
      <selection pane="bottomRight" activeCell="AA355" sqref="AA355"/>
      <pageMargins left="0.7" right="0.7" top="0.75" bottom="0.75" header="0.3" footer="0.3"/>
      <pageSetup paperSize="9" scale="95" orientation="landscape" r:id="rId5"/>
    </customSheetView>
    <customSheetView guid="{DF7FFCE6-325C-4337-ACE2-63AB5F5E5D7C}" scale="85" showPageBreaks="1" fitToPage="1" printArea="1" hiddenRows="1" hiddenColumns="1">
      <pane xSplit="12" ySplit="82" topLeftCell="AA682" activePane="bottomRight" state="frozenSplit"/>
      <selection pane="bottomRight" activeCell="AD701" sqref="AD701"/>
      <pageMargins left="0.7" right="0.7" top="0.75" bottom="0.75" header="0.3" footer="0.3"/>
      <pageSetup paperSize="9" scale="70" orientation="landscape" r:id="rId6"/>
    </customSheetView>
    <customSheetView guid="{0F0ED987-057D-4D51-B464-C7C0C85EB14F}" scale="70" showPageBreaks="1" fitToPage="1" printArea="1" hiddenRows="1" hiddenColumns="1">
      <pane xSplit="2" ySplit="395" topLeftCell="C749" activePane="bottomRight" state="frozenSplit"/>
      <selection pane="bottomRight" activeCell="AI774" sqref="AI774"/>
      <pageMargins left="0.7" right="0.7" top="0.75" bottom="0.75" header="0.3" footer="0.3"/>
      <pageSetup paperSize="9" orientation="landscape" r:id="rId7"/>
    </customSheetView>
    <customSheetView guid="{D886DC16-62E0-4EAA-A787-2FA2A24DFCFE}" scale="85" showPageBreaks="1" fitToPage="1" printArea="1" hiddenRows="1" hiddenColumns="1">
      <pane xSplit="1" ySplit="785" topLeftCell="B811" activePane="bottomRight" state="frozenSplit"/>
      <selection pane="bottomRight" activeCell="AI821" sqref="AI821"/>
      <pageMargins left="0.7" right="0.7" top="0.75" bottom="0.75" header="0.3" footer="0.3"/>
      <pageSetup paperSize="9" orientation="landscape" r:id="rId8"/>
    </customSheetView>
    <customSheetView guid="{811078A9-B23B-425F-A62A-22C4D8EF8733}" scale="115" showPageBreaks="1" fitToPage="1" printArea="1" hiddenRows="1" hiddenColumns="1">
      <pane xSplit="1" ySplit="487" topLeftCell="U901" activePane="bottomRight" state="frozen"/>
      <selection pane="bottomRight" activeCell="AB827" sqref="AB827:AB902"/>
      <pageMargins left="0.7" right="0.7" top="0.75" bottom="0.75" header="0.3" footer="0.3"/>
      <pageSetup paperSize="9" orientation="landscape" r:id="rId9"/>
    </customSheetView>
    <customSheetView guid="{7F9E5EBC-BEB4-4E3F-8F40-CA3D4F534F5B}" scale="85" showPageBreaks="1" fitToPage="1" printArea="1" hiddenRows="1" hiddenColumns="1">
      <pane xSplit="2" ySplit="817" topLeftCell="C819" activePane="bottomRight" state="frozenSplit"/>
      <selection pane="bottomRight" activeCell="AA835" sqref="AA835"/>
      <pageMargins left="0.7" right="0.7" top="0.75" bottom="0.75" header="0.3" footer="0.3"/>
      <pageSetup paperSize="9" orientation="landscape" r:id="rId10"/>
    </customSheetView>
  </customSheetViews>
  <mergeCells count="3">
    <mergeCell ref="I2:J2"/>
    <mergeCell ref="S2:T2"/>
    <mergeCell ref="AC2:AD2"/>
  </mergeCells>
  <phoneticPr fontId="1"/>
  <conditionalFormatting sqref="AA688:AA902">
    <cfRule type="expression" dxfId="0" priority="1">
      <formula>MOD(AA688,3)&lt;&gt;0</formula>
    </cfRule>
  </conditionalFormatting>
  <pageMargins left="0.7" right="0.7" top="0.75" bottom="0.75" header="0.3" footer="0.3"/>
  <pageSetup paperSize="9" orientation="landscape" r:id="rId11"/>
  <drawing r:id="rId12"/>
  <legacy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A5534-7DCD-40B9-9645-C7A44F07A0DC}">
  <sheetPr codeName="Sheet135">
    <tabColor theme="5" tint="0.59999389629810485"/>
  </sheetPr>
  <dimension ref="A1:AM413"/>
  <sheetViews>
    <sheetView tabSelected="1" zoomScale="85" zoomScaleNormal="85" workbookViewId="0">
      <pane xSplit="2" ySplit="316" topLeftCell="C317" activePane="bottomRight" state="frozenSplit"/>
      <selection pane="topRight" activeCell="C1" sqref="C1"/>
      <selection pane="bottomLeft" activeCell="A317" sqref="A317"/>
      <selection pane="bottomRight" activeCell="V334" sqref="V334"/>
    </sheetView>
  </sheetViews>
  <sheetFormatPr defaultColWidth="9" defaultRowHeight="18.75" outlineLevelRow="1"/>
  <cols>
    <col min="1" max="1" width="11.875" style="2" customWidth="1"/>
    <col min="2" max="2" width="3.375" style="1" bestFit="1" customWidth="1"/>
    <col min="3" max="5" width="9" style="1"/>
    <col min="6" max="6" width="2.375" style="1" customWidth="1"/>
    <col min="7" max="7" width="14" style="1" customWidth="1"/>
    <col min="8" max="8" width="1.75" style="1" customWidth="1"/>
    <col min="9" max="11" width="10.375" style="1" customWidth="1"/>
    <col min="12" max="12" width="1.75" style="1" customWidth="1"/>
    <col min="13" max="14" width="10.375" style="1" customWidth="1"/>
    <col min="15" max="16" width="4.75" style="1" customWidth="1"/>
    <col min="17" max="19" width="10.375" style="1" customWidth="1"/>
    <col min="20" max="20" width="2.25" style="1" customWidth="1"/>
    <col min="21" max="23" width="10.625" style="1" customWidth="1"/>
    <col min="24" max="24" width="1.625" style="1" customWidth="1"/>
    <col min="25" max="25" width="10.25" customWidth="1"/>
    <col min="26" max="26" width="13.125" customWidth="1"/>
    <col min="27" max="28" width="4.875" customWidth="1"/>
    <col min="29" max="29" width="10.25" customWidth="1"/>
    <col min="30" max="31" width="10.5" customWidth="1"/>
    <col min="32" max="32" width="2.375" customWidth="1"/>
    <col min="33" max="33" width="7.375" style="1" customWidth="1"/>
    <col min="34" max="34" width="3" style="1" customWidth="1"/>
    <col min="35" max="35" width="9" style="1"/>
    <col min="36" max="36" width="9.625" style="1" bestFit="1" customWidth="1"/>
    <col min="37" max="37" width="10.625" style="1" bestFit="1" customWidth="1"/>
    <col min="38" max="38" width="9" style="1"/>
    <col min="39" max="39" width="9.375" style="1" bestFit="1" customWidth="1"/>
    <col min="40" max="16384" width="9" style="1"/>
  </cols>
  <sheetData>
    <row r="1" spans="1:35" ht="26.25" thickBot="1">
      <c r="A1" s="3" t="s">
        <v>4</v>
      </c>
      <c r="G1" s="176"/>
      <c r="I1" s="216" t="s">
        <v>53</v>
      </c>
      <c r="J1" s="217"/>
      <c r="K1" s="218"/>
      <c r="L1" s="218"/>
      <c r="M1" s="217" t="s">
        <v>56</v>
      </c>
      <c r="N1" s="218"/>
      <c r="O1" s="218"/>
      <c r="P1" s="218"/>
      <c r="Q1" s="218"/>
      <c r="R1" s="218"/>
      <c r="S1" s="218"/>
      <c r="U1" s="216" t="s">
        <v>54</v>
      </c>
      <c r="V1" s="219"/>
      <c r="W1" s="217"/>
      <c r="X1" s="219"/>
      <c r="Y1" s="217" t="s">
        <v>58</v>
      </c>
      <c r="Z1" s="219"/>
      <c r="AA1" s="217"/>
      <c r="AB1" s="219"/>
      <c r="AC1" s="219"/>
      <c r="AD1" s="219"/>
      <c r="AE1" s="219"/>
      <c r="AF1" s="219"/>
      <c r="AG1" s="218"/>
      <c r="AI1" s="1" t="s">
        <v>57</v>
      </c>
    </row>
    <row r="2" spans="1:35" ht="55.5" customHeight="1" thickTop="1">
      <c r="A2" s="13" t="s">
        <v>61</v>
      </c>
      <c r="B2" s="4"/>
      <c r="C2" s="67" t="s">
        <v>0</v>
      </c>
      <c r="D2" s="73" t="s">
        <v>1</v>
      </c>
      <c r="E2" s="70" t="s">
        <v>2</v>
      </c>
      <c r="F2" s="30"/>
      <c r="G2" s="35" t="s">
        <v>13</v>
      </c>
      <c r="I2" s="44" t="s">
        <v>5</v>
      </c>
      <c r="J2" s="45" t="s">
        <v>1</v>
      </c>
      <c r="K2" s="45" t="s">
        <v>2</v>
      </c>
      <c r="L2" s="46"/>
      <c r="M2" s="47" t="s">
        <v>11</v>
      </c>
      <c r="N2" s="48" t="s">
        <v>13</v>
      </c>
      <c r="O2" s="318" t="s">
        <v>10</v>
      </c>
      <c r="P2" s="319"/>
      <c r="Q2" s="214" t="s">
        <v>12</v>
      </c>
      <c r="R2" s="49" t="s">
        <v>9</v>
      </c>
      <c r="S2" s="50" t="s">
        <v>21</v>
      </c>
      <c r="T2" s="30"/>
      <c r="U2" s="44" t="s">
        <v>5</v>
      </c>
      <c r="V2" s="45" t="s">
        <v>1</v>
      </c>
      <c r="W2" s="45" t="s">
        <v>2</v>
      </c>
      <c r="X2" s="46"/>
      <c r="Y2" s="47" t="s">
        <v>11</v>
      </c>
      <c r="Z2" s="48" t="s">
        <v>13</v>
      </c>
      <c r="AA2" s="318" t="s">
        <v>10</v>
      </c>
      <c r="AB2" s="320"/>
      <c r="AC2" s="49" t="s">
        <v>12</v>
      </c>
      <c r="AD2" s="49" t="s">
        <v>9</v>
      </c>
      <c r="AE2" s="49" t="s">
        <v>21</v>
      </c>
      <c r="AF2" s="215"/>
      <c r="AG2" s="56" t="s">
        <v>8</v>
      </c>
    </row>
    <row r="3" spans="1:35" hidden="1" outlineLevel="1">
      <c r="A3" s="96">
        <v>45601</v>
      </c>
      <c r="B3" s="17" t="s">
        <v>19</v>
      </c>
      <c r="C3" s="101"/>
      <c r="D3" s="100">
        <f t="shared" ref="D3" si="0">J3+V3</f>
        <v>0</v>
      </c>
      <c r="E3" s="22">
        <v>0</v>
      </c>
      <c r="G3" s="17"/>
      <c r="I3" s="51">
        <f>M4</f>
        <v>0</v>
      </c>
      <c r="J3" s="18"/>
      <c r="K3" s="23">
        <v>0</v>
      </c>
      <c r="M3" s="78"/>
      <c r="N3" s="65">
        <f t="shared" ref="N3:N6" si="1">M3</f>
        <v>0</v>
      </c>
      <c r="O3" s="101"/>
      <c r="P3" s="21"/>
      <c r="Q3" s="191"/>
      <c r="R3" s="23">
        <v>0</v>
      </c>
      <c r="S3" s="52">
        <v>0</v>
      </c>
      <c r="U3" s="51">
        <f t="shared" ref="U3:U6" si="2">C3-I3</f>
        <v>0</v>
      </c>
      <c r="V3" s="23"/>
      <c r="W3" s="23">
        <v>0</v>
      </c>
      <c r="Y3" s="78"/>
      <c r="Z3" s="62">
        <v>0</v>
      </c>
      <c r="AA3" s="20"/>
      <c r="AB3" s="21"/>
      <c r="AC3" s="42"/>
      <c r="AD3" s="23">
        <v>0</v>
      </c>
      <c r="AE3" s="23">
        <v>0</v>
      </c>
      <c r="AF3" s="23"/>
      <c r="AG3" s="52"/>
    </row>
    <row r="4" spans="1:35" hidden="1" outlineLevel="1">
      <c r="A4" s="96">
        <v>45602</v>
      </c>
      <c r="B4" s="17" t="s">
        <v>20</v>
      </c>
      <c r="C4" s="101"/>
      <c r="D4" s="100">
        <f t="shared" ref="D4:D67" si="3">J4+V4</f>
        <v>0</v>
      </c>
      <c r="E4" s="22">
        <f t="shared" ref="E4:E45" si="4">E3-C4+D4</f>
        <v>0</v>
      </c>
      <c r="G4" s="17"/>
      <c r="I4" s="51">
        <f>M5</f>
        <v>0</v>
      </c>
      <c r="J4" s="18"/>
      <c r="K4" s="23">
        <f t="shared" ref="K4:K10" si="5">J4-I4+K3</f>
        <v>0</v>
      </c>
      <c r="M4" s="78"/>
      <c r="N4" s="65">
        <f t="shared" si="1"/>
        <v>0</v>
      </c>
      <c r="O4" s="101"/>
      <c r="P4" s="21"/>
      <c r="Q4" s="191"/>
      <c r="R4" s="23">
        <f t="shared" ref="R4:R64" si="6">R3-M4+Q4</f>
        <v>0</v>
      </c>
      <c r="S4" s="52">
        <f t="shared" ref="S4:S64" si="7">S3-M4+N4</f>
        <v>0</v>
      </c>
      <c r="U4" s="51">
        <f t="shared" si="2"/>
        <v>0</v>
      </c>
      <c r="V4" s="23"/>
      <c r="W4" s="23">
        <f t="shared" ref="W4:W59" si="8">V4-U4+W3</f>
        <v>0</v>
      </c>
      <c r="Y4" s="78"/>
      <c r="Z4" s="62">
        <f t="shared" ref="Z4:Z6" si="9">U3+AA4</f>
        <v>0</v>
      </c>
      <c r="AA4" s="20"/>
      <c r="AB4" s="21"/>
      <c r="AC4" s="42"/>
      <c r="AD4" s="23">
        <f t="shared" ref="AD4:AD45" si="10">AD3-Y4+AC4</f>
        <v>0</v>
      </c>
      <c r="AE4" s="23">
        <f t="shared" ref="AE4:AE45" si="11">AE3-Y4+Z4</f>
        <v>0</v>
      </c>
      <c r="AF4" s="23"/>
      <c r="AG4" s="52"/>
    </row>
    <row r="5" spans="1:35" hidden="1" outlineLevel="1">
      <c r="A5" s="96">
        <v>45603</v>
      </c>
      <c r="B5" s="17" t="s">
        <v>14</v>
      </c>
      <c r="C5" s="101"/>
      <c r="D5" s="100">
        <f t="shared" si="3"/>
        <v>0</v>
      </c>
      <c r="E5" s="22">
        <f t="shared" si="4"/>
        <v>0</v>
      </c>
      <c r="G5" s="17"/>
      <c r="I5" s="51">
        <f>M6</f>
        <v>0</v>
      </c>
      <c r="J5" s="18"/>
      <c r="K5" s="23">
        <f t="shared" si="5"/>
        <v>0</v>
      </c>
      <c r="M5" s="78"/>
      <c r="N5" s="65">
        <f t="shared" si="1"/>
        <v>0</v>
      </c>
      <c r="O5" s="101"/>
      <c r="P5" s="21"/>
      <c r="Q5" s="191"/>
      <c r="R5" s="23">
        <f t="shared" si="6"/>
        <v>0</v>
      </c>
      <c r="S5" s="52">
        <f t="shared" si="7"/>
        <v>0</v>
      </c>
      <c r="U5" s="51">
        <f t="shared" si="2"/>
        <v>0</v>
      </c>
      <c r="V5" s="23"/>
      <c r="W5" s="23">
        <f t="shared" si="8"/>
        <v>0</v>
      </c>
      <c r="Y5" s="78"/>
      <c r="Z5" s="62">
        <f t="shared" si="9"/>
        <v>0</v>
      </c>
      <c r="AA5" s="20"/>
      <c r="AB5" s="21"/>
      <c r="AC5" s="42"/>
      <c r="AD5" s="23">
        <f t="shared" si="10"/>
        <v>0</v>
      </c>
      <c r="AE5" s="23">
        <f t="shared" si="11"/>
        <v>0</v>
      </c>
      <c r="AF5" s="23"/>
      <c r="AG5" s="52"/>
    </row>
    <row r="6" spans="1:35" hidden="1" outlineLevel="1">
      <c r="A6" s="96">
        <v>45604</v>
      </c>
      <c r="B6" s="17" t="s">
        <v>15</v>
      </c>
      <c r="C6" s="101"/>
      <c r="D6" s="100">
        <f t="shared" si="3"/>
        <v>0</v>
      </c>
      <c r="E6" s="22">
        <f t="shared" si="4"/>
        <v>0</v>
      </c>
      <c r="G6" s="17"/>
      <c r="I6" s="51">
        <f>M9</f>
        <v>0</v>
      </c>
      <c r="J6" s="18"/>
      <c r="K6" s="23">
        <f t="shared" si="5"/>
        <v>0</v>
      </c>
      <c r="M6" s="78"/>
      <c r="N6" s="65">
        <f t="shared" si="1"/>
        <v>0</v>
      </c>
      <c r="O6" s="101"/>
      <c r="P6" s="21"/>
      <c r="Q6" s="191"/>
      <c r="R6" s="23">
        <f t="shared" si="6"/>
        <v>0</v>
      </c>
      <c r="S6" s="52">
        <f t="shared" si="7"/>
        <v>0</v>
      </c>
      <c r="U6" s="51">
        <f t="shared" si="2"/>
        <v>0</v>
      </c>
      <c r="V6" s="23"/>
      <c r="W6" s="23">
        <f t="shared" si="8"/>
        <v>0</v>
      </c>
      <c r="Y6" s="78"/>
      <c r="Z6" s="62">
        <f t="shared" si="9"/>
        <v>0</v>
      </c>
      <c r="AA6" s="20"/>
      <c r="AB6" s="21"/>
      <c r="AC6" s="42"/>
      <c r="AD6" s="23">
        <f t="shared" si="10"/>
        <v>0</v>
      </c>
      <c r="AE6" s="23">
        <f t="shared" si="11"/>
        <v>0</v>
      </c>
      <c r="AF6" s="23"/>
      <c r="AG6" s="52"/>
      <c r="AI6">
        <f>SUM(M3:M6,Y3:Y6)/4</f>
        <v>0</v>
      </c>
    </row>
    <row r="7" spans="1:35" s="12" customFormat="1" hidden="1" outlineLevel="1">
      <c r="A7" s="95">
        <v>45605</v>
      </c>
      <c r="B7" s="25" t="s">
        <v>16</v>
      </c>
      <c r="C7" s="98"/>
      <c r="D7" s="99">
        <f t="shared" si="3"/>
        <v>0</v>
      </c>
      <c r="E7" s="87">
        <f t="shared" si="4"/>
        <v>0</v>
      </c>
      <c r="G7" s="25"/>
      <c r="I7" s="53"/>
      <c r="J7" s="26"/>
      <c r="K7" s="29">
        <f t="shared" si="5"/>
        <v>0</v>
      </c>
      <c r="M7" s="79"/>
      <c r="N7" s="66"/>
      <c r="O7" s="98"/>
      <c r="P7" s="28"/>
      <c r="Q7" s="230"/>
      <c r="R7" s="29">
        <f t="shared" si="6"/>
        <v>0</v>
      </c>
      <c r="S7" s="54">
        <f t="shared" si="7"/>
        <v>0</v>
      </c>
      <c r="U7" s="53"/>
      <c r="V7" s="29"/>
      <c r="W7" s="29">
        <f t="shared" si="8"/>
        <v>0</v>
      </c>
      <c r="Y7" s="79"/>
      <c r="Z7" s="63"/>
      <c r="AA7" s="27"/>
      <c r="AB7" s="28"/>
      <c r="AC7" s="43"/>
      <c r="AD7" s="29">
        <f t="shared" si="10"/>
        <v>0</v>
      </c>
      <c r="AE7" s="29">
        <f t="shared" si="11"/>
        <v>0</v>
      </c>
      <c r="AF7" s="29"/>
      <c r="AG7" s="54"/>
    </row>
    <row r="8" spans="1:35" s="12" customFormat="1" hidden="1" outlineLevel="1" collapsed="1">
      <c r="A8" s="95">
        <v>45606</v>
      </c>
      <c r="B8" s="25" t="s">
        <v>17</v>
      </c>
      <c r="C8" s="98"/>
      <c r="D8" s="99">
        <f t="shared" si="3"/>
        <v>0</v>
      </c>
      <c r="E8" s="87">
        <f t="shared" si="4"/>
        <v>0</v>
      </c>
      <c r="G8" s="25"/>
      <c r="I8" s="53"/>
      <c r="J8" s="26"/>
      <c r="K8" s="29">
        <f t="shared" si="5"/>
        <v>0</v>
      </c>
      <c r="M8" s="79"/>
      <c r="N8" s="66"/>
      <c r="O8" s="98"/>
      <c r="P8" s="28"/>
      <c r="Q8" s="230"/>
      <c r="R8" s="29">
        <f t="shared" si="6"/>
        <v>0</v>
      </c>
      <c r="S8" s="54">
        <f t="shared" si="7"/>
        <v>0</v>
      </c>
      <c r="U8" s="53"/>
      <c r="V8" s="29"/>
      <c r="W8" s="29">
        <f t="shared" si="8"/>
        <v>0</v>
      </c>
      <c r="Y8" s="79"/>
      <c r="Z8" s="63"/>
      <c r="AA8" s="27"/>
      <c r="AB8" s="28"/>
      <c r="AC8" s="43"/>
      <c r="AD8" s="29">
        <f t="shared" si="10"/>
        <v>0</v>
      </c>
      <c r="AE8" s="29">
        <f t="shared" si="11"/>
        <v>0</v>
      </c>
      <c r="AF8" s="29"/>
      <c r="AG8" s="54"/>
    </row>
    <row r="9" spans="1:35" hidden="1" outlineLevel="1">
      <c r="A9" s="96">
        <v>45607</v>
      </c>
      <c r="B9" s="17" t="s">
        <v>18</v>
      </c>
      <c r="C9" s="101"/>
      <c r="D9" s="100">
        <f t="shared" si="3"/>
        <v>0</v>
      </c>
      <c r="E9" s="22">
        <f t="shared" si="4"/>
        <v>0</v>
      </c>
      <c r="G9" s="17"/>
      <c r="I9" s="51">
        <f>M10</f>
        <v>0</v>
      </c>
      <c r="J9" s="18"/>
      <c r="K9" s="23">
        <f t="shared" si="5"/>
        <v>0</v>
      </c>
      <c r="M9" s="78"/>
      <c r="N9" s="65">
        <f t="shared" ref="N9:N13" si="12">M9</f>
        <v>0</v>
      </c>
      <c r="O9" s="101"/>
      <c r="P9" s="21"/>
      <c r="Q9" s="191"/>
      <c r="R9" s="23">
        <f t="shared" si="6"/>
        <v>0</v>
      </c>
      <c r="S9" s="52">
        <f t="shared" si="7"/>
        <v>0</v>
      </c>
      <c r="U9" s="51">
        <f t="shared" ref="U9:U13" si="13">C9-I9</f>
        <v>0</v>
      </c>
      <c r="V9" s="23"/>
      <c r="W9" s="23">
        <f t="shared" si="8"/>
        <v>0</v>
      </c>
      <c r="Y9" s="78"/>
      <c r="Z9" s="62">
        <f>U6+AA9</f>
        <v>0</v>
      </c>
      <c r="AA9" s="20"/>
      <c r="AB9" s="21"/>
      <c r="AC9" s="42"/>
      <c r="AD9" s="23">
        <f t="shared" si="10"/>
        <v>0</v>
      </c>
      <c r="AE9" s="23">
        <f t="shared" si="11"/>
        <v>0</v>
      </c>
      <c r="AF9" s="23"/>
      <c r="AG9" s="52"/>
    </row>
    <row r="10" spans="1:35" hidden="1" outlineLevel="1">
      <c r="A10" s="96">
        <v>45608</v>
      </c>
      <c r="B10" s="17" t="s">
        <v>19</v>
      </c>
      <c r="C10" s="101"/>
      <c r="D10" s="100">
        <f t="shared" si="3"/>
        <v>0</v>
      </c>
      <c r="E10" s="22">
        <f t="shared" si="4"/>
        <v>0</v>
      </c>
      <c r="G10" s="17"/>
      <c r="I10" s="51">
        <f>M11</f>
        <v>0</v>
      </c>
      <c r="J10" s="18"/>
      <c r="K10" s="23">
        <f t="shared" si="5"/>
        <v>0</v>
      </c>
      <c r="M10" s="78"/>
      <c r="N10" s="65">
        <f t="shared" si="12"/>
        <v>0</v>
      </c>
      <c r="O10" s="101"/>
      <c r="P10" s="21"/>
      <c r="Q10" s="191"/>
      <c r="R10" s="23">
        <f t="shared" si="6"/>
        <v>0</v>
      </c>
      <c r="S10" s="52">
        <f t="shared" si="7"/>
        <v>0</v>
      </c>
      <c r="U10" s="51">
        <f t="shared" si="13"/>
        <v>0</v>
      </c>
      <c r="V10" s="23"/>
      <c r="W10" s="23">
        <f t="shared" si="8"/>
        <v>0</v>
      </c>
      <c r="Y10" s="78"/>
      <c r="Z10" s="62">
        <f t="shared" ref="Z10:Z13" si="14">U9+AA10</f>
        <v>0</v>
      </c>
      <c r="AA10" s="20"/>
      <c r="AB10" s="21"/>
      <c r="AC10" s="42"/>
      <c r="AD10" s="23">
        <f t="shared" si="10"/>
        <v>0</v>
      </c>
      <c r="AE10" s="23">
        <f t="shared" si="11"/>
        <v>0</v>
      </c>
      <c r="AF10" s="23"/>
      <c r="AG10" s="52"/>
    </row>
    <row r="11" spans="1:35" hidden="1" outlineLevel="1">
      <c r="A11" s="96">
        <v>45609</v>
      </c>
      <c r="B11" s="17" t="s">
        <v>20</v>
      </c>
      <c r="C11" s="101"/>
      <c r="D11" s="100">
        <f t="shared" si="3"/>
        <v>0</v>
      </c>
      <c r="E11" s="22">
        <f t="shared" si="4"/>
        <v>0</v>
      </c>
      <c r="G11" s="17"/>
      <c r="I11" s="51">
        <f>M12</f>
        <v>0</v>
      </c>
      <c r="J11" s="18"/>
      <c r="K11" s="23">
        <f t="shared" ref="K11:K74" si="15">J11-I11+K10</f>
        <v>0</v>
      </c>
      <c r="M11" s="78"/>
      <c r="N11" s="65">
        <f t="shared" si="12"/>
        <v>0</v>
      </c>
      <c r="O11" s="101"/>
      <c r="P11" s="21"/>
      <c r="Q11" s="191"/>
      <c r="R11" s="23">
        <f t="shared" si="6"/>
        <v>0</v>
      </c>
      <c r="S11" s="52">
        <f t="shared" si="7"/>
        <v>0</v>
      </c>
      <c r="U11" s="51">
        <f t="shared" si="13"/>
        <v>0</v>
      </c>
      <c r="V11" s="23"/>
      <c r="W11" s="23">
        <f t="shared" si="8"/>
        <v>0</v>
      </c>
      <c r="Y11" s="78"/>
      <c r="Z11" s="62">
        <f t="shared" si="14"/>
        <v>0</v>
      </c>
      <c r="AA11" s="20"/>
      <c r="AB11" s="21"/>
      <c r="AC11" s="42"/>
      <c r="AD11" s="23">
        <f t="shared" si="10"/>
        <v>0</v>
      </c>
      <c r="AE11" s="23">
        <f t="shared" si="11"/>
        <v>0</v>
      </c>
      <c r="AF11" s="23"/>
      <c r="AG11" s="52"/>
    </row>
    <row r="12" spans="1:35" hidden="1" outlineLevel="1">
      <c r="A12" s="96">
        <v>45610</v>
      </c>
      <c r="B12" s="17" t="s">
        <v>14</v>
      </c>
      <c r="C12" s="101"/>
      <c r="D12" s="100">
        <f t="shared" si="3"/>
        <v>0</v>
      </c>
      <c r="E12" s="22">
        <f t="shared" si="4"/>
        <v>0</v>
      </c>
      <c r="G12" s="17"/>
      <c r="I12" s="51">
        <f t="shared" ref="I12" si="16">M13</f>
        <v>0</v>
      </c>
      <c r="J12" s="18"/>
      <c r="K12" s="23">
        <f t="shared" si="15"/>
        <v>0</v>
      </c>
      <c r="M12" s="78"/>
      <c r="N12" s="65">
        <f t="shared" si="12"/>
        <v>0</v>
      </c>
      <c r="O12" s="101"/>
      <c r="P12" s="21"/>
      <c r="Q12" s="191"/>
      <c r="R12" s="23">
        <f t="shared" si="6"/>
        <v>0</v>
      </c>
      <c r="S12" s="52">
        <f t="shared" si="7"/>
        <v>0</v>
      </c>
      <c r="U12" s="51">
        <f t="shared" si="13"/>
        <v>0</v>
      </c>
      <c r="V12" s="23"/>
      <c r="W12" s="23">
        <f t="shared" si="8"/>
        <v>0</v>
      </c>
      <c r="Y12" s="78"/>
      <c r="Z12" s="62">
        <f t="shared" si="14"/>
        <v>0</v>
      </c>
      <c r="AA12" s="20"/>
      <c r="AB12" s="21"/>
      <c r="AC12" s="42"/>
      <c r="AD12" s="23">
        <f t="shared" si="10"/>
        <v>0</v>
      </c>
      <c r="AE12" s="23">
        <f t="shared" si="11"/>
        <v>0</v>
      </c>
      <c r="AF12" s="23"/>
      <c r="AG12" s="52"/>
    </row>
    <row r="13" spans="1:35" hidden="1" outlineLevel="1">
      <c r="A13" s="96">
        <v>45611</v>
      </c>
      <c r="B13" s="17" t="s">
        <v>15</v>
      </c>
      <c r="C13" s="101"/>
      <c r="D13" s="100">
        <f t="shared" si="3"/>
        <v>0</v>
      </c>
      <c r="E13" s="22">
        <f t="shared" si="4"/>
        <v>0</v>
      </c>
      <c r="G13" s="17"/>
      <c r="I13" s="51">
        <f>M16</f>
        <v>0</v>
      </c>
      <c r="J13" s="18"/>
      <c r="K13" s="23">
        <f t="shared" si="15"/>
        <v>0</v>
      </c>
      <c r="M13" s="78"/>
      <c r="N13" s="65">
        <f t="shared" si="12"/>
        <v>0</v>
      </c>
      <c r="O13" s="101"/>
      <c r="P13" s="21"/>
      <c r="Q13" s="191"/>
      <c r="R13" s="23">
        <f t="shared" si="6"/>
        <v>0</v>
      </c>
      <c r="S13" s="52">
        <f t="shared" si="7"/>
        <v>0</v>
      </c>
      <c r="U13" s="51">
        <f t="shared" si="13"/>
        <v>0</v>
      </c>
      <c r="V13" s="23"/>
      <c r="W13" s="23">
        <f t="shared" si="8"/>
        <v>0</v>
      </c>
      <c r="Y13" s="78"/>
      <c r="Z13" s="62">
        <f t="shared" si="14"/>
        <v>0</v>
      </c>
      <c r="AA13" s="20"/>
      <c r="AB13" s="21"/>
      <c r="AC13" s="42"/>
      <c r="AD13" s="23">
        <f t="shared" si="10"/>
        <v>0</v>
      </c>
      <c r="AE13" s="23">
        <f t="shared" si="11"/>
        <v>0</v>
      </c>
      <c r="AF13" s="23"/>
      <c r="AG13" s="52"/>
      <c r="AI13">
        <f>SUM(M9:M13,Y9:Y13)/5</f>
        <v>0</v>
      </c>
    </row>
    <row r="14" spans="1:35" s="12" customFormat="1" hidden="1" outlineLevel="1">
      <c r="A14" s="95">
        <v>45612</v>
      </c>
      <c r="B14" s="25" t="s">
        <v>16</v>
      </c>
      <c r="C14" s="98"/>
      <c r="D14" s="99">
        <f t="shared" si="3"/>
        <v>0</v>
      </c>
      <c r="E14" s="87">
        <f t="shared" si="4"/>
        <v>0</v>
      </c>
      <c r="G14" s="25"/>
      <c r="I14" s="53"/>
      <c r="J14" s="26"/>
      <c r="K14" s="29">
        <f t="shared" si="15"/>
        <v>0</v>
      </c>
      <c r="M14" s="79"/>
      <c r="N14" s="66"/>
      <c r="O14" s="98"/>
      <c r="P14" s="28"/>
      <c r="Q14" s="230"/>
      <c r="R14" s="29">
        <f t="shared" si="6"/>
        <v>0</v>
      </c>
      <c r="S14" s="54">
        <f t="shared" si="7"/>
        <v>0</v>
      </c>
      <c r="U14" s="53"/>
      <c r="V14" s="29"/>
      <c r="W14" s="29">
        <f t="shared" si="8"/>
        <v>0</v>
      </c>
      <c r="Y14" s="79"/>
      <c r="Z14" s="63"/>
      <c r="AA14" s="27"/>
      <c r="AB14" s="28"/>
      <c r="AC14" s="43"/>
      <c r="AD14" s="29">
        <f t="shared" si="10"/>
        <v>0</v>
      </c>
      <c r="AE14" s="29">
        <f t="shared" si="11"/>
        <v>0</v>
      </c>
      <c r="AF14" s="29"/>
      <c r="AG14" s="54"/>
    </row>
    <row r="15" spans="1:35" s="12" customFormat="1" hidden="1" outlineLevel="1" collapsed="1">
      <c r="A15" s="95">
        <v>45613</v>
      </c>
      <c r="B15" s="25" t="s">
        <v>17</v>
      </c>
      <c r="C15" s="98"/>
      <c r="D15" s="99">
        <f t="shared" si="3"/>
        <v>0</v>
      </c>
      <c r="E15" s="87">
        <f t="shared" si="4"/>
        <v>0</v>
      </c>
      <c r="G15" s="25"/>
      <c r="I15" s="53"/>
      <c r="J15" s="26"/>
      <c r="K15" s="29">
        <f t="shared" si="15"/>
        <v>0</v>
      </c>
      <c r="M15" s="79"/>
      <c r="N15" s="66"/>
      <c r="O15" s="98"/>
      <c r="P15" s="28"/>
      <c r="Q15" s="230"/>
      <c r="R15" s="29">
        <f t="shared" si="6"/>
        <v>0</v>
      </c>
      <c r="S15" s="54">
        <f t="shared" si="7"/>
        <v>0</v>
      </c>
      <c r="U15" s="53"/>
      <c r="V15" s="29"/>
      <c r="W15" s="29">
        <f t="shared" si="8"/>
        <v>0</v>
      </c>
      <c r="Y15" s="79"/>
      <c r="Z15" s="63"/>
      <c r="AA15" s="27"/>
      <c r="AB15" s="28"/>
      <c r="AC15" s="43"/>
      <c r="AD15" s="29">
        <f t="shared" si="10"/>
        <v>0</v>
      </c>
      <c r="AE15" s="29">
        <f t="shared" si="11"/>
        <v>0</v>
      </c>
      <c r="AF15" s="29"/>
      <c r="AG15" s="54"/>
    </row>
    <row r="16" spans="1:35" hidden="1" outlineLevel="1">
      <c r="A16" s="96">
        <v>45614</v>
      </c>
      <c r="B16" s="17" t="s">
        <v>18</v>
      </c>
      <c r="C16" s="101"/>
      <c r="D16" s="100">
        <f t="shared" si="3"/>
        <v>0</v>
      </c>
      <c r="E16" s="22">
        <f t="shared" si="4"/>
        <v>0</v>
      </c>
      <c r="G16" s="17"/>
      <c r="I16" s="51">
        <f>M17</f>
        <v>0</v>
      </c>
      <c r="J16" s="18"/>
      <c r="K16" s="23">
        <f t="shared" si="15"/>
        <v>0</v>
      </c>
      <c r="M16" s="78"/>
      <c r="N16" s="65">
        <f t="shared" ref="N16:N20" si="17">M16</f>
        <v>0</v>
      </c>
      <c r="O16" s="101"/>
      <c r="P16" s="21"/>
      <c r="Q16" s="191"/>
      <c r="R16" s="23">
        <f t="shared" si="6"/>
        <v>0</v>
      </c>
      <c r="S16" s="52">
        <f t="shared" si="7"/>
        <v>0</v>
      </c>
      <c r="U16" s="51">
        <f t="shared" ref="U16:U20" si="18">C16-I16</f>
        <v>0</v>
      </c>
      <c r="V16" s="23"/>
      <c r="W16" s="23">
        <f t="shared" si="8"/>
        <v>0</v>
      </c>
      <c r="Y16" s="78"/>
      <c r="Z16" s="62">
        <f>U13+AA16</f>
        <v>0</v>
      </c>
      <c r="AA16" s="20"/>
      <c r="AB16" s="21"/>
      <c r="AC16" s="42"/>
      <c r="AD16" s="23">
        <f t="shared" si="10"/>
        <v>0</v>
      </c>
      <c r="AE16" s="23">
        <f t="shared" si="11"/>
        <v>0</v>
      </c>
      <c r="AF16" s="23"/>
      <c r="AG16" s="52"/>
    </row>
    <row r="17" spans="1:35" hidden="1" outlineLevel="1">
      <c r="A17" s="96">
        <v>45615</v>
      </c>
      <c r="B17" s="17" t="s">
        <v>19</v>
      </c>
      <c r="C17" s="101"/>
      <c r="D17" s="100">
        <f t="shared" si="3"/>
        <v>0</v>
      </c>
      <c r="E17" s="22">
        <f t="shared" si="4"/>
        <v>0</v>
      </c>
      <c r="G17" s="17"/>
      <c r="I17" s="51">
        <f>M18</f>
        <v>0</v>
      </c>
      <c r="J17" s="18"/>
      <c r="K17" s="23">
        <f t="shared" si="15"/>
        <v>0</v>
      </c>
      <c r="M17" s="78"/>
      <c r="N17" s="65">
        <f t="shared" si="17"/>
        <v>0</v>
      </c>
      <c r="O17" s="101"/>
      <c r="P17" s="21"/>
      <c r="Q17" s="191"/>
      <c r="R17" s="23">
        <f t="shared" si="6"/>
        <v>0</v>
      </c>
      <c r="S17" s="52">
        <f t="shared" si="7"/>
        <v>0</v>
      </c>
      <c r="U17" s="51">
        <f t="shared" si="18"/>
        <v>0</v>
      </c>
      <c r="V17" s="23"/>
      <c r="W17" s="23">
        <f t="shared" si="8"/>
        <v>0</v>
      </c>
      <c r="Y17" s="78"/>
      <c r="Z17" s="62">
        <f t="shared" ref="Z17:Z20" si="19">U16+AA17</f>
        <v>0</v>
      </c>
      <c r="AA17" s="20"/>
      <c r="AB17" s="21"/>
      <c r="AC17" s="42"/>
      <c r="AD17" s="23">
        <f t="shared" si="10"/>
        <v>0</v>
      </c>
      <c r="AE17" s="23">
        <f t="shared" si="11"/>
        <v>0</v>
      </c>
      <c r="AF17" s="23"/>
      <c r="AG17" s="52"/>
    </row>
    <row r="18" spans="1:35" hidden="1" outlineLevel="1">
      <c r="A18" s="96">
        <v>45616</v>
      </c>
      <c r="B18" s="17" t="s">
        <v>20</v>
      </c>
      <c r="C18" s="101"/>
      <c r="D18" s="100">
        <f t="shared" si="3"/>
        <v>0</v>
      </c>
      <c r="E18" s="22">
        <f t="shared" si="4"/>
        <v>0</v>
      </c>
      <c r="G18" s="17"/>
      <c r="I18" s="51">
        <f>M19</f>
        <v>0</v>
      </c>
      <c r="J18" s="18"/>
      <c r="K18" s="23">
        <f t="shared" si="15"/>
        <v>0</v>
      </c>
      <c r="M18" s="19"/>
      <c r="N18" s="65">
        <f t="shared" si="17"/>
        <v>0</v>
      </c>
      <c r="O18" s="101"/>
      <c r="P18" s="21"/>
      <c r="Q18" s="191"/>
      <c r="R18" s="23">
        <f t="shared" si="6"/>
        <v>0</v>
      </c>
      <c r="S18" s="52">
        <f t="shared" si="7"/>
        <v>0</v>
      </c>
      <c r="U18" s="51">
        <f t="shared" si="18"/>
        <v>0</v>
      </c>
      <c r="V18" s="23"/>
      <c r="W18" s="23">
        <f t="shared" si="8"/>
        <v>0</v>
      </c>
      <c r="Y18" s="19"/>
      <c r="Z18" s="62">
        <f t="shared" si="19"/>
        <v>0</v>
      </c>
      <c r="AA18" s="20"/>
      <c r="AB18" s="21"/>
      <c r="AC18" s="42"/>
      <c r="AD18" s="23">
        <f t="shared" si="10"/>
        <v>0</v>
      </c>
      <c r="AE18" s="23">
        <f t="shared" si="11"/>
        <v>0</v>
      </c>
      <c r="AF18" s="23"/>
      <c r="AG18" s="52"/>
    </row>
    <row r="19" spans="1:35" hidden="1" outlineLevel="1">
      <c r="A19" s="96">
        <v>45617</v>
      </c>
      <c r="B19" s="17" t="s">
        <v>14</v>
      </c>
      <c r="C19" s="101"/>
      <c r="D19" s="100">
        <f t="shared" si="3"/>
        <v>0</v>
      </c>
      <c r="E19" s="22">
        <f t="shared" si="4"/>
        <v>0</v>
      </c>
      <c r="G19" s="17"/>
      <c r="I19" s="51">
        <f t="shared" ref="I19" si="20">M20</f>
        <v>0</v>
      </c>
      <c r="J19" s="18"/>
      <c r="K19" s="23">
        <f t="shared" si="15"/>
        <v>0</v>
      </c>
      <c r="M19" s="19"/>
      <c r="N19" s="65">
        <f t="shared" si="17"/>
        <v>0</v>
      </c>
      <c r="O19" s="101"/>
      <c r="P19" s="21"/>
      <c r="Q19" s="191"/>
      <c r="R19" s="23">
        <f t="shared" si="6"/>
        <v>0</v>
      </c>
      <c r="S19" s="52">
        <f t="shared" si="7"/>
        <v>0</v>
      </c>
      <c r="U19" s="51">
        <f t="shared" si="18"/>
        <v>0</v>
      </c>
      <c r="V19" s="23"/>
      <c r="W19" s="23">
        <f t="shared" si="8"/>
        <v>0</v>
      </c>
      <c r="Y19" s="19"/>
      <c r="Z19" s="62">
        <f t="shared" si="19"/>
        <v>0</v>
      </c>
      <c r="AA19" s="20"/>
      <c r="AB19" s="21"/>
      <c r="AC19" s="42"/>
      <c r="AD19" s="23">
        <f t="shared" si="10"/>
        <v>0</v>
      </c>
      <c r="AE19" s="23">
        <f t="shared" si="11"/>
        <v>0</v>
      </c>
      <c r="AF19" s="23"/>
      <c r="AG19" s="52"/>
    </row>
    <row r="20" spans="1:35" hidden="1" outlineLevel="1">
      <c r="A20" s="96">
        <v>45618</v>
      </c>
      <c r="B20" s="17" t="s">
        <v>15</v>
      </c>
      <c r="C20" s="101"/>
      <c r="D20" s="100">
        <f t="shared" si="3"/>
        <v>0</v>
      </c>
      <c r="E20" s="22">
        <f t="shared" si="4"/>
        <v>0</v>
      </c>
      <c r="G20" s="17"/>
      <c r="I20" s="51">
        <f>M23</f>
        <v>0</v>
      </c>
      <c r="J20" s="18"/>
      <c r="K20" s="23">
        <f t="shared" si="15"/>
        <v>0</v>
      </c>
      <c r="M20" s="19"/>
      <c r="N20" s="65">
        <f t="shared" si="17"/>
        <v>0</v>
      </c>
      <c r="O20" s="101"/>
      <c r="P20" s="21"/>
      <c r="Q20" s="191"/>
      <c r="R20" s="23">
        <f t="shared" si="6"/>
        <v>0</v>
      </c>
      <c r="S20" s="52">
        <f t="shared" si="7"/>
        <v>0</v>
      </c>
      <c r="U20" s="51">
        <f t="shared" si="18"/>
        <v>0</v>
      </c>
      <c r="V20" s="23"/>
      <c r="W20" s="23">
        <f t="shared" si="8"/>
        <v>0</v>
      </c>
      <c r="Y20" s="19"/>
      <c r="Z20" s="62">
        <f t="shared" si="19"/>
        <v>0</v>
      </c>
      <c r="AA20" s="20"/>
      <c r="AB20" s="21"/>
      <c r="AC20" s="42"/>
      <c r="AD20" s="23">
        <f t="shared" si="10"/>
        <v>0</v>
      </c>
      <c r="AE20" s="23">
        <f t="shared" si="11"/>
        <v>0</v>
      </c>
      <c r="AF20" s="23"/>
      <c r="AG20" s="52"/>
      <c r="AI20">
        <f>SUM(M16:M20,Y16:Y20)/5</f>
        <v>0</v>
      </c>
    </row>
    <row r="21" spans="1:35" s="12" customFormat="1" hidden="1" outlineLevel="1">
      <c r="A21" s="95">
        <v>45619</v>
      </c>
      <c r="B21" s="25" t="s">
        <v>16</v>
      </c>
      <c r="C21" s="98"/>
      <c r="D21" s="99">
        <f t="shared" si="3"/>
        <v>0</v>
      </c>
      <c r="E21" s="87">
        <f t="shared" si="4"/>
        <v>0</v>
      </c>
      <c r="G21" s="25"/>
      <c r="I21" s="53"/>
      <c r="J21" s="26"/>
      <c r="K21" s="29">
        <f t="shared" si="15"/>
        <v>0</v>
      </c>
      <c r="M21" s="64"/>
      <c r="N21" s="66"/>
      <c r="O21" s="98"/>
      <c r="P21" s="28"/>
      <c r="Q21" s="230"/>
      <c r="R21" s="29">
        <f t="shared" si="6"/>
        <v>0</v>
      </c>
      <c r="S21" s="54">
        <f t="shared" si="7"/>
        <v>0</v>
      </c>
      <c r="U21" s="53"/>
      <c r="V21" s="29"/>
      <c r="W21" s="29">
        <f t="shared" si="8"/>
        <v>0</v>
      </c>
      <c r="Y21" s="64"/>
      <c r="Z21" s="63"/>
      <c r="AA21" s="27"/>
      <c r="AB21" s="28"/>
      <c r="AC21" s="43"/>
      <c r="AD21" s="29">
        <f t="shared" si="10"/>
        <v>0</v>
      </c>
      <c r="AE21" s="29">
        <f t="shared" si="11"/>
        <v>0</v>
      </c>
      <c r="AF21" s="29"/>
      <c r="AG21" s="54"/>
    </row>
    <row r="22" spans="1:35" s="12" customFormat="1" hidden="1" outlineLevel="1" collapsed="1">
      <c r="A22" s="95">
        <v>45620</v>
      </c>
      <c r="B22" s="25" t="s">
        <v>17</v>
      </c>
      <c r="C22" s="98"/>
      <c r="D22" s="99">
        <f t="shared" si="3"/>
        <v>0</v>
      </c>
      <c r="E22" s="87">
        <f t="shared" si="4"/>
        <v>0</v>
      </c>
      <c r="G22" s="25"/>
      <c r="I22" s="53"/>
      <c r="J22" s="26"/>
      <c r="K22" s="29">
        <f t="shared" si="15"/>
        <v>0</v>
      </c>
      <c r="M22" s="64"/>
      <c r="N22" s="66"/>
      <c r="O22" s="98"/>
      <c r="P22" s="28"/>
      <c r="Q22" s="230"/>
      <c r="R22" s="29">
        <f t="shared" si="6"/>
        <v>0</v>
      </c>
      <c r="S22" s="54">
        <f t="shared" si="7"/>
        <v>0</v>
      </c>
      <c r="U22" s="53"/>
      <c r="V22" s="29"/>
      <c r="W22" s="29">
        <f t="shared" si="8"/>
        <v>0</v>
      </c>
      <c r="Y22" s="64"/>
      <c r="Z22" s="63"/>
      <c r="AA22" s="27"/>
      <c r="AB22" s="28"/>
      <c r="AC22" s="43"/>
      <c r="AD22" s="29">
        <f t="shared" si="10"/>
        <v>0</v>
      </c>
      <c r="AE22" s="29">
        <f t="shared" si="11"/>
        <v>0</v>
      </c>
      <c r="AF22" s="29"/>
      <c r="AG22" s="54"/>
    </row>
    <row r="23" spans="1:35" hidden="1" outlineLevel="1">
      <c r="A23" s="96">
        <v>45621</v>
      </c>
      <c r="B23" s="17" t="s">
        <v>18</v>
      </c>
      <c r="C23" s="101"/>
      <c r="D23" s="100">
        <f t="shared" si="3"/>
        <v>0</v>
      </c>
      <c r="E23" s="22">
        <f t="shared" si="4"/>
        <v>0</v>
      </c>
      <c r="G23" s="17"/>
      <c r="I23" s="51">
        <f>M24</f>
        <v>0</v>
      </c>
      <c r="J23" s="18"/>
      <c r="K23" s="23">
        <f t="shared" si="15"/>
        <v>0</v>
      </c>
      <c r="M23" s="19"/>
      <c r="N23" s="65">
        <f t="shared" ref="N23:N27" si="21">M23</f>
        <v>0</v>
      </c>
      <c r="O23" s="101"/>
      <c r="P23" s="21"/>
      <c r="Q23" s="191"/>
      <c r="R23" s="23">
        <f t="shared" si="6"/>
        <v>0</v>
      </c>
      <c r="S23" s="52">
        <f t="shared" si="7"/>
        <v>0</v>
      </c>
      <c r="U23" s="51">
        <f t="shared" ref="U23:U27" si="22">C23-I23</f>
        <v>0</v>
      </c>
      <c r="V23" s="23"/>
      <c r="W23" s="23">
        <f t="shared" si="8"/>
        <v>0</v>
      </c>
      <c r="Y23" s="19"/>
      <c r="Z23" s="62">
        <f>U20+AA23</f>
        <v>0</v>
      </c>
      <c r="AA23" s="20"/>
      <c r="AB23" s="21"/>
      <c r="AC23" s="42"/>
      <c r="AD23" s="23">
        <f t="shared" si="10"/>
        <v>0</v>
      </c>
      <c r="AE23" s="23">
        <f t="shared" si="11"/>
        <v>0</v>
      </c>
      <c r="AF23" s="23"/>
      <c r="AG23" s="52"/>
    </row>
    <row r="24" spans="1:35" hidden="1" outlineLevel="1">
      <c r="A24" s="96">
        <v>45622</v>
      </c>
      <c r="B24" s="17" t="s">
        <v>19</v>
      </c>
      <c r="C24" s="206"/>
      <c r="D24" s="100">
        <f t="shared" si="3"/>
        <v>0</v>
      </c>
      <c r="E24" s="22">
        <f t="shared" si="4"/>
        <v>0</v>
      </c>
      <c r="G24" s="17"/>
      <c r="I24" s="51">
        <f>M25</f>
        <v>0</v>
      </c>
      <c r="J24" s="18"/>
      <c r="K24" s="23">
        <f t="shared" si="15"/>
        <v>0</v>
      </c>
      <c r="M24" s="19"/>
      <c r="N24" s="65">
        <f t="shared" si="21"/>
        <v>0</v>
      </c>
      <c r="O24" s="101"/>
      <c r="P24" s="21"/>
      <c r="Q24" s="191"/>
      <c r="R24" s="23">
        <f t="shared" si="6"/>
        <v>0</v>
      </c>
      <c r="S24" s="52">
        <f t="shared" si="7"/>
        <v>0</v>
      </c>
      <c r="U24" s="51">
        <f t="shared" si="22"/>
        <v>0</v>
      </c>
      <c r="V24" s="23"/>
      <c r="W24" s="23">
        <f t="shared" si="8"/>
        <v>0</v>
      </c>
      <c r="Y24" s="19"/>
      <c r="Z24" s="62">
        <f t="shared" ref="Z24:Z27" si="23">U23+AA24</f>
        <v>0</v>
      </c>
      <c r="AA24" s="20"/>
      <c r="AB24" s="21"/>
      <c r="AC24" s="42"/>
      <c r="AD24" s="23">
        <f t="shared" si="10"/>
        <v>0</v>
      </c>
      <c r="AE24" s="23">
        <f t="shared" si="11"/>
        <v>0</v>
      </c>
      <c r="AF24" s="23"/>
      <c r="AG24" s="52"/>
    </row>
    <row r="25" spans="1:35" hidden="1" outlineLevel="1">
      <c r="A25" s="232">
        <v>45623</v>
      </c>
      <c r="B25" s="233" t="s">
        <v>20</v>
      </c>
      <c r="C25" s="234"/>
      <c r="D25" s="235">
        <f t="shared" si="3"/>
        <v>0</v>
      </c>
      <c r="E25" s="236">
        <f t="shared" si="4"/>
        <v>0</v>
      </c>
      <c r="F25" s="237"/>
      <c r="G25" s="233"/>
      <c r="H25" s="237"/>
      <c r="I25" s="238">
        <f>M26</f>
        <v>0</v>
      </c>
      <c r="J25" s="239"/>
      <c r="K25" s="240">
        <f t="shared" si="15"/>
        <v>0</v>
      </c>
      <c r="L25" s="237"/>
      <c r="M25" s="19"/>
      <c r="N25" s="65">
        <f t="shared" si="21"/>
        <v>0</v>
      </c>
      <c r="O25" s="101"/>
      <c r="P25" s="21"/>
      <c r="Q25" s="191"/>
      <c r="R25" s="23">
        <f t="shared" si="6"/>
        <v>0</v>
      </c>
      <c r="S25" s="52">
        <f t="shared" si="7"/>
        <v>0</v>
      </c>
      <c r="U25" s="238">
        <f t="shared" si="22"/>
        <v>0</v>
      </c>
      <c r="V25" s="240"/>
      <c r="W25" s="240">
        <f t="shared" si="8"/>
        <v>0</v>
      </c>
      <c r="Y25" s="19"/>
      <c r="Z25" s="62">
        <f t="shared" si="23"/>
        <v>0</v>
      </c>
      <c r="AA25" s="20"/>
      <c r="AB25" s="21"/>
      <c r="AC25" s="42"/>
      <c r="AD25" s="23">
        <f t="shared" si="10"/>
        <v>0</v>
      </c>
      <c r="AE25" s="23">
        <f t="shared" si="11"/>
        <v>0</v>
      </c>
      <c r="AF25" s="23"/>
      <c r="AG25" s="52"/>
    </row>
    <row r="26" spans="1:35" s="237" customFormat="1" hidden="1" outlineLevel="1">
      <c r="A26" s="232">
        <v>45624</v>
      </c>
      <c r="B26" s="233" t="s">
        <v>14</v>
      </c>
      <c r="C26" s="234"/>
      <c r="D26" s="235">
        <f t="shared" si="3"/>
        <v>5</v>
      </c>
      <c r="E26" s="236">
        <f t="shared" si="4"/>
        <v>5</v>
      </c>
      <c r="G26" s="233"/>
      <c r="I26" s="238">
        <f t="shared" ref="I26" si="24">M27</f>
        <v>0</v>
      </c>
      <c r="J26" s="239"/>
      <c r="K26" s="240">
        <f t="shared" si="15"/>
        <v>0</v>
      </c>
      <c r="M26" s="241"/>
      <c r="N26" s="242">
        <f t="shared" si="21"/>
        <v>0</v>
      </c>
      <c r="O26" s="234"/>
      <c r="P26" s="243"/>
      <c r="Q26" s="244"/>
      <c r="R26" s="240">
        <f t="shared" si="6"/>
        <v>0</v>
      </c>
      <c r="S26" s="245">
        <f t="shared" si="7"/>
        <v>0</v>
      </c>
      <c r="U26" s="238">
        <f t="shared" si="22"/>
        <v>0</v>
      </c>
      <c r="V26" s="240">
        <v>5</v>
      </c>
      <c r="W26" s="240">
        <f t="shared" si="8"/>
        <v>5</v>
      </c>
      <c r="X26" s="1"/>
      <c r="Y26" s="241"/>
      <c r="Z26" s="246">
        <f t="shared" si="23"/>
        <v>0</v>
      </c>
      <c r="AA26" s="247"/>
      <c r="AB26" s="243"/>
      <c r="AC26" s="248"/>
      <c r="AD26" s="240">
        <f t="shared" si="10"/>
        <v>0</v>
      </c>
      <c r="AE26" s="240">
        <f t="shared" si="11"/>
        <v>0</v>
      </c>
      <c r="AF26" s="240"/>
      <c r="AG26" s="245"/>
    </row>
    <row r="27" spans="1:35" s="237" customFormat="1" hidden="1" outlineLevel="1">
      <c r="A27" s="96">
        <v>45625</v>
      </c>
      <c r="B27" s="17" t="s">
        <v>15</v>
      </c>
      <c r="C27" s="101"/>
      <c r="D27" s="100">
        <f t="shared" si="3"/>
        <v>0</v>
      </c>
      <c r="E27" s="22">
        <f t="shared" si="4"/>
        <v>5</v>
      </c>
      <c r="F27" s="1"/>
      <c r="G27" s="17"/>
      <c r="H27" s="1"/>
      <c r="I27" s="51">
        <f>M30</f>
        <v>0</v>
      </c>
      <c r="J27" s="18"/>
      <c r="K27" s="23">
        <f t="shared" si="15"/>
        <v>0</v>
      </c>
      <c r="L27" s="1"/>
      <c r="M27" s="241"/>
      <c r="N27" s="242">
        <f t="shared" si="21"/>
        <v>0</v>
      </c>
      <c r="O27" s="234"/>
      <c r="P27" s="243"/>
      <c r="Q27" s="244"/>
      <c r="R27" s="240">
        <f t="shared" si="6"/>
        <v>0</v>
      </c>
      <c r="S27" s="245">
        <f t="shared" si="7"/>
        <v>0</v>
      </c>
      <c r="U27" s="51">
        <f t="shared" si="22"/>
        <v>0</v>
      </c>
      <c r="V27" s="23"/>
      <c r="W27" s="23">
        <f t="shared" si="8"/>
        <v>5</v>
      </c>
      <c r="X27" s="1"/>
      <c r="Y27" s="241"/>
      <c r="Z27" s="246">
        <f t="shared" si="23"/>
        <v>0</v>
      </c>
      <c r="AA27" s="247"/>
      <c r="AB27" s="243"/>
      <c r="AC27" s="248"/>
      <c r="AD27" s="240">
        <f t="shared" si="10"/>
        <v>0</v>
      </c>
      <c r="AE27" s="240">
        <f t="shared" si="11"/>
        <v>0</v>
      </c>
      <c r="AF27" s="240"/>
      <c r="AG27" s="245"/>
      <c r="AI27" s="249">
        <f>SUM(M23:M27,Y23:Y27)/5</f>
        <v>0</v>
      </c>
    </row>
    <row r="28" spans="1:35" s="12" customFormat="1" hidden="1" outlineLevel="1">
      <c r="A28" s="95">
        <v>45626</v>
      </c>
      <c r="B28" s="25" t="s">
        <v>16</v>
      </c>
      <c r="C28" s="98"/>
      <c r="D28" s="99">
        <f t="shared" si="3"/>
        <v>0</v>
      </c>
      <c r="E28" s="87">
        <f t="shared" si="4"/>
        <v>5</v>
      </c>
      <c r="G28" s="25"/>
      <c r="I28" s="53"/>
      <c r="J28" s="26"/>
      <c r="K28" s="29">
        <f t="shared" si="15"/>
        <v>0</v>
      </c>
      <c r="M28" s="64"/>
      <c r="N28" s="66"/>
      <c r="O28" s="98"/>
      <c r="P28" s="28"/>
      <c r="Q28" s="230"/>
      <c r="R28" s="29">
        <f t="shared" si="6"/>
        <v>0</v>
      </c>
      <c r="S28" s="54">
        <f t="shared" si="7"/>
        <v>0</v>
      </c>
      <c r="U28" s="53"/>
      <c r="V28" s="29"/>
      <c r="W28" s="29">
        <f t="shared" si="8"/>
        <v>5</v>
      </c>
      <c r="Y28" s="64"/>
      <c r="Z28" s="63"/>
      <c r="AA28" s="27"/>
      <c r="AB28" s="28"/>
      <c r="AC28" s="43"/>
      <c r="AD28" s="29">
        <f t="shared" si="10"/>
        <v>0</v>
      </c>
      <c r="AE28" s="29">
        <f t="shared" si="11"/>
        <v>0</v>
      </c>
      <c r="AF28" s="29"/>
      <c r="AG28" s="54"/>
    </row>
    <row r="29" spans="1:35" s="12" customFormat="1" hidden="1" outlineLevel="1" collapsed="1">
      <c r="A29" s="95">
        <v>45627</v>
      </c>
      <c r="B29" s="25" t="s">
        <v>17</v>
      </c>
      <c r="C29" s="98"/>
      <c r="D29" s="99">
        <f t="shared" si="3"/>
        <v>0</v>
      </c>
      <c r="E29" s="87">
        <f t="shared" si="4"/>
        <v>5</v>
      </c>
      <c r="G29" s="25"/>
      <c r="I29" s="53"/>
      <c r="J29" s="26"/>
      <c r="K29" s="29">
        <f t="shared" si="15"/>
        <v>0</v>
      </c>
      <c r="M29" s="64"/>
      <c r="N29" s="66"/>
      <c r="O29" s="98"/>
      <c r="P29" s="28"/>
      <c r="Q29" s="230"/>
      <c r="R29" s="29">
        <f t="shared" si="6"/>
        <v>0</v>
      </c>
      <c r="S29" s="54">
        <f t="shared" si="7"/>
        <v>0</v>
      </c>
      <c r="U29" s="53"/>
      <c r="V29" s="29"/>
      <c r="W29" s="29">
        <f t="shared" si="8"/>
        <v>5</v>
      </c>
      <c r="Y29" s="64"/>
      <c r="Z29" s="63"/>
      <c r="AA29" s="27"/>
      <c r="AB29" s="28"/>
      <c r="AC29" s="43"/>
      <c r="AD29" s="29">
        <f t="shared" si="10"/>
        <v>0</v>
      </c>
      <c r="AE29" s="29">
        <f t="shared" si="11"/>
        <v>0</v>
      </c>
      <c r="AF29" s="29"/>
      <c r="AG29" s="54"/>
    </row>
    <row r="30" spans="1:35" hidden="1" outlineLevel="1">
      <c r="A30" s="96">
        <v>45628</v>
      </c>
      <c r="B30" s="17" t="s">
        <v>18</v>
      </c>
      <c r="C30" s="206"/>
      <c r="D30" s="100">
        <f t="shared" si="3"/>
        <v>0</v>
      </c>
      <c r="E30" s="22">
        <f t="shared" si="4"/>
        <v>5</v>
      </c>
      <c r="G30" s="17"/>
      <c r="I30" s="51">
        <f>M31</f>
        <v>0</v>
      </c>
      <c r="J30" s="18"/>
      <c r="K30" s="23">
        <f t="shared" si="15"/>
        <v>0</v>
      </c>
      <c r="M30" s="19"/>
      <c r="N30" s="65">
        <f t="shared" ref="N30:N34" si="25">M30</f>
        <v>0</v>
      </c>
      <c r="O30" s="101"/>
      <c r="P30" s="21"/>
      <c r="Q30" s="191"/>
      <c r="R30" s="23">
        <f t="shared" si="6"/>
        <v>0</v>
      </c>
      <c r="S30" s="52">
        <f t="shared" si="7"/>
        <v>0</v>
      </c>
      <c r="U30" s="51">
        <f t="shared" ref="U30:U34" si="26">C30-I30</f>
        <v>0</v>
      </c>
      <c r="V30" s="23"/>
      <c r="W30" s="23">
        <f t="shared" si="8"/>
        <v>5</v>
      </c>
      <c r="Y30" s="19"/>
      <c r="Z30" s="62">
        <f>U27+AA30</f>
        <v>0</v>
      </c>
      <c r="AA30" s="20"/>
      <c r="AB30" s="21"/>
      <c r="AC30" s="42"/>
      <c r="AD30" s="23">
        <f t="shared" si="10"/>
        <v>0</v>
      </c>
      <c r="AE30" s="23">
        <f t="shared" si="11"/>
        <v>0</v>
      </c>
      <c r="AF30" s="23"/>
      <c r="AG30" s="52"/>
    </row>
    <row r="31" spans="1:35" hidden="1" outlineLevel="1">
      <c r="A31" s="96">
        <v>45629</v>
      </c>
      <c r="B31" s="17" t="s">
        <v>19</v>
      </c>
      <c r="C31" s="206"/>
      <c r="D31" s="100">
        <f t="shared" si="3"/>
        <v>0</v>
      </c>
      <c r="E31" s="22">
        <f t="shared" si="4"/>
        <v>5</v>
      </c>
      <c r="G31" s="17"/>
      <c r="I31" s="51">
        <f>M32</f>
        <v>0</v>
      </c>
      <c r="J31" s="18"/>
      <c r="K31" s="23">
        <f t="shared" si="15"/>
        <v>0</v>
      </c>
      <c r="M31" s="19"/>
      <c r="N31" s="65">
        <f t="shared" si="25"/>
        <v>0</v>
      </c>
      <c r="O31" s="101"/>
      <c r="P31" s="21"/>
      <c r="Q31" s="191"/>
      <c r="R31" s="23">
        <f t="shared" si="6"/>
        <v>0</v>
      </c>
      <c r="S31" s="52">
        <f t="shared" si="7"/>
        <v>0</v>
      </c>
      <c r="U31" s="51">
        <f t="shared" si="26"/>
        <v>0</v>
      </c>
      <c r="V31" s="23"/>
      <c r="W31" s="23">
        <f t="shared" si="8"/>
        <v>5</v>
      </c>
      <c r="Y31" s="19"/>
      <c r="Z31" s="62">
        <f t="shared" ref="Z31:Z34" si="27">U30+AA31</f>
        <v>0</v>
      </c>
      <c r="AA31" s="20"/>
      <c r="AB31" s="21"/>
      <c r="AC31" s="42"/>
      <c r="AD31" s="23">
        <f t="shared" si="10"/>
        <v>0</v>
      </c>
      <c r="AE31" s="23">
        <f t="shared" si="11"/>
        <v>0</v>
      </c>
      <c r="AF31" s="23"/>
      <c r="AG31" s="52"/>
    </row>
    <row r="32" spans="1:35" hidden="1" outlineLevel="1">
      <c r="A32" s="96">
        <v>45630</v>
      </c>
      <c r="B32" s="17" t="s">
        <v>20</v>
      </c>
      <c r="C32" s="206">
        <v>5</v>
      </c>
      <c r="D32" s="100">
        <f t="shared" si="3"/>
        <v>0</v>
      </c>
      <c r="E32" s="22">
        <f t="shared" si="4"/>
        <v>0</v>
      </c>
      <c r="G32" s="17"/>
      <c r="I32" s="51">
        <f>M33</f>
        <v>0</v>
      </c>
      <c r="J32" s="18"/>
      <c r="K32" s="23">
        <f t="shared" si="15"/>
        <v>0</v>
      </c>
      <c r="M32" s="19"/>
      <c r="N32" s="65">
        <f t="shared" si="25"/>
        <v>0</v>
      </c>
      <c r="O32" s="101"/>
      <c r="P32" s="21"/>
      <c r="Q32" s="191"/>
      <c r="R32" s="23">
        <f t="shared" si="6"/>
        <v>0</v>
      </c>
      <c r="S32" s="52">
        <f t="shared" si="7"/>
        <v>0</v>
      </c>
      <c r="U32" s="51">
        <f t="shared" si="26"/>
        <v>5</v>
      </c>
      <c r="V32" s="23"/>
      <c r="W32" s="23">
        <f t="shared" si="8"/>
        <v>0</v>
      </c>
      <c r="Y32" s="19"/>
      <c r="Z32" s="62">
        <f t="shared" si="27"/>
        <v>0</v>
      </c>
      <c r="AA32" s="20"/>
      <c r="AB32" s="21"/>
      <c r="AC32" s="42"/>
      <c r="AD32" s="23">
        <f t="shared" si="10"/>
        <v>0</v>
      </c>
      <c r="AE32" s="23">
        <f t="shared" si="11"/>
        <v>0</v>
      </c>
      <c r="AF32" s="23"/>
      <c r="AG32" s="52"/>
    </row>
    <row r="33" spans="1:35" hidden="1" outlineLevel="1">
      <c r="A33" s="96">
        <v>45631</v>
      </c>
      <c r="B33" s="17" t="s">
        <v>14</v>
      </c>
      <c r="C33" s="206"/>
      <c r="D33" s="100">
        <f t="shared" si="3"/>
        <v>0</v>
      </c>
      <c r="E33" s="22">
        <f t="shared" si="4"/>
        <v>0</v>
      </c>
      <c r="G33" s="17"/>
      <c r="I33" s="51">
        <f t="shared" ref="I33" si="28">M34</f>
        <v>0</v>
      </c>
      <c r="J33" s="18"/>
      <c r="K33" s="23">
        <f t="shared" si="15"/>
        <v>0</v>
      </c>
      <c r="M33" s="19"/>
      <c r="N33" s="65">
        <f t="shared" si="25"/>
        <v>0</v>
      </c>
      <c r="O33" s="101"/>
      <c r="P33" s="21"/>
      <c r="Q33" s="191"/>
      <c r="R33" s="23">
        <f t="shared" si="6"/>
        <v>0</v>
      </c>
      <c r="S33" s="52">
        <f t="shared" si="7"/>
        <v>0</v>
      </c>
      <c r="U33" s="51">
        <f t="shared" si="26"/>
        <v>0</v>
      </c>
      <c r="V33" s="23"/>
      <c r="W33" s="23">
        <f t="shared" si="8"/>
        <v>0</v>
      </c>
      <c r="Y33" s="19">
        <v>5</v>
      </c>
      <c r="Z33" s="62">
        <f t="shared" si="27"/>
        <v>5</v>
      </c>
      <c r="AA33" s="20"/>
      <c r="AB33" s="21"/>
      <c r="AC33" s="57">
        <v>5</v>
      </c>
      <c r="AD33" s="23">
        <f t="shared" si="10"/>
        <v>0</v>
      </c>
      <c r="AE33" s="23">
        <f t="shared" si="11"/>
        <v>0</v>
      </c>
      <c r="AF33" s="23"/>
      <c r="AG33" s="52"/>
    </row>
    <row r="34" spans="1:35" hidden="1" outlineLevel="1">
      <c r="A34" s="96">
        <v>45632</v>
      </c>
      <c r="B34" s="17" t="s">
        <v>15</v>
      </c>
      <c r="C34" s="206"/>
      <c r="D34" s="100">
        <f t="shared" si="3"/>
        <v>0</v>
      </c>
      <c r="E34" s="22">
        <f t="shared" si="4"/>
        <v>0</v>
      </c>
      <c r="G34" s="17"/>
      <c r="I34" s="51">
        <f>M37</f>
        <v>0</v>
      </c>
      <c r="J34" s="18"/>
      <c r="K34" s="23">
        <f t="shared" si="15"/>
        <v>0</v>
      </c>
      <c r="M34" s="19"/>
      <c r="N34" s="65">
        <f t="shared" si="25"/>
        <v>0</v>
      </c>
      <c r="O34" s="101"/>
      <c r="P34" s="21"/>
      <c r="Q34" s="191"/>
      <c r="R34" s="23">
        <f t="shared" si="6"/>
        <v>0</v>
      </c>
      <c r="S34" s="52">
        <f t="shared" si="7"/>
        <v>0</v>
      </c>
      <c r="U34" s="51">
        <f t="shared" si="26"/>
        <v>0</v>
      </c>
      <c r="V34" s="23"/>
      <c r="W34" s="23">
        <f t="shared" si="8"/>
        <v>0</v>
      </c>
      <c r="Y34" s="19"/>
      <c r="Z34" s="62">
        <f t="shared" si="27"/>
        <v>0</v>
      </c>
      <c r="AA34" s="20"/>
      <c r="AB34" s="21"/>
      <c r="AC34" s="42"/>
      <c r="AD34" s="23">
        <f t="shared" si="10"/>
        <v>0</v>
      </c>
      <c r="AE34" s="23">
        <f t="shared" si="11"/>
        <v>0</v>
      </c>
      <c r="AF34" s="23"/>
      <c r="AG34" s="52"/>
      <c r="AI34">
        <f>SUM(M30:M34,Y30:Y34)/5</f>
        <v>1</v>
      </c>
    </row>
    <row r="35" spans="1:35" s="12" customFormat="1" hidden="1" outlineLevel="1">
      <c r="A35" s="95">
        <v>45633</v>
      </c>
      <c r="B35" s="25" t="s">
        <v>16</v>
      </c>
      <c r="C35" s="98"/>
      <c r="D35" s="99">
        <f t="shared" si="3"/>
        <v>0</v>
      </c>
      <c r="E35" s="87">
        <f t="shared" si="4"/>
        <v>0</v>
      </c>
      <c r="G35" s="25"/>
      <c r="I35" s="53"/>
      <c r="J35" s="26"/>
      <c r="K35" s="29">
        <f t="shared" si="15"/>
        <v>0</v>
      </c>
      <c r="M35" s="64"/>
      <c r="N35" s="66"/>
      <c r="O35" s="98"/>
      <c r="P35" s="28"/>
      <c r="Q35" s="230"/>
      <c r="R35" s="29">
        <f t="shared" si="6"/>
        <v>0</v>
      </c>
      <c r="S35" s="54">
        <f t="shared" si="7"/>
        <v>0</v>
      </c>
      <c r="U35" s="53"/>
      <c r="V35" s="29"/>
      <c r="W35" s="29">
        <f t="shared" si="8"/>
        <v>0</v>
      </c>
      <c r="Y35" s="64"/>
      <c r="Z35" s="63"/>
      <c r="AA35" s="27"/>
      <c r="AB35" s="28"/>
      <c r="AC35" s="43"/>
      <c r="AD35" s="29">
        <f t="shared" si="10"/>
        <v>0</v>
      </c>
      <c r="AE35" s="29">
        <f t="shared" si="11"/>
        <v>0</v>
      </c>
      <c r="AF35" s="29"/>
      <c r="AG35" s="54"/>
    </row>
    <row r="36" spans="1:35" s="12" customFormat="1" hidden="1" outlineLevel="1">
      <c r="A36" s="95">
        <v>45634</v>
      </c>
      <c r="B36" s="25" t="s">
        <v>17</v>
      </c>
      <c r="C36" s="98"/>
      <c r="D36" s="99">
        <f t="shared" si="3"/>
        <v>0</v>
      </c>
      <c r="E36" s="87">
        <f t="shared" si="4"/>
        <v>0</v>
      </c>
      <c r="G36" s="25"/>
      <c r="I36" s="53"/>
      <c r="J36" s="26"/>
      <c r="K36" s="29">
        <f t="shared" si="15"/>
        <v>0</v>
      </c>
      <c r="M36" s="64"/>
      <c r="N36" s="66"/>
      <c r="O36" s="98"/>
      <c r="P36" s="28"/>
      <c r="Q36" s="230"/>
      <c r="R36" s="29">
        <f t="shared" si="6"/>
        <v>0</v>
      </c>
      <c r="S36" s="54">
        <f t="shared" si="7"/>
        <v>0</v>
      </c>
      <c r="U36" s="53"/>
      <c r="V36" s="29"/>
      <c r="W36" s="29">
        <f t="shared" si="8"/>
        <v>0</v>
      </c>
      <c r="Y36" s="64"/>
      <c r="Z36" s="63"/>
      <c r="AA36" s="27"/>
      <c r="AB36" s="28"/>
      <c r="AC36" s="43"/>
      <c r="AD36" s="29">
        <f t="shared" si="10"/>
        <v>0</v>
      </c>
      <c r="AE36" s="29">
        <f t="shared" si="11"/>
        <v>0</v>
      </c>
      <c r="AF36" s="29"/>
      <c r="AG36" s="54"/>
    </row>
    <row r="37" spans="1:35" hidden="1" outlineLevel="1">
      <c r="A37" s="96">
        <v>45635</v>
      </c>
      <c r="B37" s="17" t="s">
        <v>18</v>
      </c>
      <c r="C37" s="101"/>
      <c r="D37" s="100">
        <f t="shared" si="3"/>
        <v>0</v>
      </c>
      <c r="E37" s="22">
        <f t="shared" si="4"/>
        <v>0</v>
      </c>
      <c r="G37" s="17"/>
      <c r="I37" s="51">
        <f>M38</f>
        <v>0</v>
      </c>
      <c r="J37" s="18"/>
      <c r="K37" s="23">
        <f t="shared" si="15"/>
        <v>0</v>
      </c>
      <c r="M37" s="19"/>
      <c r="N37" s="65">
        <f t="shared" ref="N37:N41" si="29">M37</f>
        <v>0</v>
      </c>
      <c r="O37" s="101"/>
      <c r="P37" s="21"/>
      <c r="Q37" s="191"/>
      <c r="R37" s="23">
        <f t="shared" si="6"/>
        <v>0</v>
      </c>
      <c r="S37" s="52">
        <f t="shared" si="7"/>
        <v>0</v>
      </c>
      <c r="U37" s="51">
        <f t="shared" ref="U37:U41" si="30">C37-I37</f>
        <v>0</v>
      </c>
      <c r="V37" s="23"/>
      <c r="W37" s="23">
        <f t="shared" si="8"/>
        <v>0</v>
      </c>
      <c r="Y37" s="19"/>
      <c r="Z37" s="62">
        <f>U34+AA37</f>
        <v>0</v>
      </c>
      <c r="AA37" s="20"/>
      <c r="AB37" s="21"/>
      <c r="AC37" s="42"/>
      <c r="AD37" s="23">
        <f t="shared" si="10"/>
        <v>0</v>
      </c>
      <c r="AE37" s="23">
        <f t="shared" si="11"/>
        <v>0</v>
      </c>
      <c r="AF37" s="23"/>
      <c r="AG37" s="52"/>
    </row>
    <row r="38" spans="1:35" hidden="1" outlineLevel="1">
      <c r="A38" s="96">
        <v>45636</v>
      </c>
      <c r="B38" s="17" t="s">
        <v>19</v>
      </c>
      <c r="C38" s="101"/>
      <c r="D38" s="100">
        <f t="shared" si="3"/>
        <v>0</v>
      </c>
      <c r="E38" s="22">
        <f t="shared" si="4"/>
        <v>0</v>
      </c>
      <c r="G38" s="17"/>
      <c r="I38" s="51">
        <f>M39</f>
        <v>0</v>
      </c>
      <c r="J38" s="18"/>
      <c r="K38" s="23">
        <f t="shared" si="15"/>
        <v>0</v>
      </c>
      <c r="M38" s="19"/>
      <c r="N38" s="65">
        <f t="shared" si="29"/>
        <v>0</v>
      </c>
      <c r="O38" s="101"/>
      <c r="P38" s="21"/>
      <c r="Q38" s="191"/>
      <c r="R38" s="23">
        <f t="shared" si="6"/>
        <v>0</v>
      </c>
      <c r="S38" s="52">
        <f t="shared" si="7"/>
        <v>0</v>
      </c>
      <c r="U38" s="51">
        <f t="shared" si="30"/>
        <v>0</v>
      </c>
      <c r="V38" s="23"/>
      <c r="W38" s="23">
        <f t="shared" si="8"/>
        <v>0</v>
      </c>
      <c r="Y38" s="19"/>
      <c r="Z38" s="62">
        <f t="shared" ref="Z38:Z41" si="31">U37+AA38</f>
        <v>0</v>
      </c>
      <c r="AA38" s="20"/>
      <c r="AB38" s="21"/>
      <c r="AC38" s="42"/>
      <c r="AD38" s="23">
        <f t="shared" si="10"/>
        <v>0</v>
      </c>
      <c r="AE38" s="23">
        <f t="shared" si="11"/>
        <v>0</v>
      </c>
      <c r="AF38" s="23"/>
      <c r="AG38" s="52"/>
    </row>
    <row r="39" spans="1:35" hidden="1" outlineLevel="1">
      <c r="A39" s="96">
        <v>45637</v>
      </c>
      <c r="B39" s="17" t="s">
        <v>20</v>
      </c>
      <c r="C39" s="101"/>
      <c r="D39" s="100">
        <f t="shared" si="3"/>
        <v>1</v>
      </c>
      <c r="E39" s="22">
        <f t="shared" si="4"/>
        <v>1</v>
      </c>
      <c r="G39" s="17"/>
      <c r="I39" s="51">
        <f>M40</f>
        <v>0</v>
      </c>
      <c r="J39" s="18"/>
      <c r="K39" s="23">
        <f t="shared" si="15"/>
        <v>0</v>
      </c>
      <c r="M39" s="19"/>
      <c r="N39" s="65">
        <f t="shared" si="29"/>
        <v>0</v>
      </c>
      <c r="O39" s="101"/>
      <c r="P39" s="21"/>
      <c r="Q39" s="191"/>
      <c r="R39" s="23">
        <f t="shared" si="6"/>
        <v>0</v>
      </c>
      <c r="S39" s="52">
        <f t="shared" si="7"/>
        <v>0</v>
      </c>
      <c r="U39" s="51">
        <f t="shared" si="30"/>
        <v>0</v>
      </c>
      <c r="V39" s="23">
        <v>1</v>
      </c>
      <c r="W39" s="23">
        <f t="shared" si="8"/>
        <v>1</v>
      </c>
      <c r="Y39" s="19"/>
      <c r="Z39" s="62">
        <f t="shared" si="31"/>
        <v>0</v>
      </c>
      <c r="AA39" s="20"/>
      <c r="AB39" s="21"/>
      <c r="AC39" s="42"/>
      <c r="AD39" s="23">
        <f t="shared" si="10"/>
        <v>0</v>
      </c>
      <c r="AE39" s="23">
        <f t="shared" si="11"/>
        <v>0</v>
      </c>
      <c r="AF39" s="23"/>
      <c r="AG39" s="52"/>
    </row>
    <row r="40" spans="1:35" hidden="1" outlineLevel="1">
      <c r="A40" s="96">
        <v>45638</v>
      </c>
      <c r="B40" s="17" t="s">
        <v>14</v>
      </c>
      <c r="C40" s="101"/>
      <c r="D40" s="100">
        <f t="shared" si="3"/>
        <v>0</v>
      </c>
      <c r="E40" s="22">
        <f t="shared" si="4"/>
        <v>1</v>
      </c>
      <c r="G40" s="17"/>
      <c r="I40" s="51">
        <f t="shared" ref="I40" si="32">M41</f>
        <v>0</v>
      </c>
      <c r="J40" s="18"/>
      <c r="K40" s="23">
        <f t="shared" si="15"/>
        <v>0</v>
      </c>
      <c r="M40" s="19"/>
      <c r="N40" s="65">
        <f t="shared" si="29"/>
        <v>0</v>
      </c>
      <c r="O40" s="101"/>
      <c r="P40" s="21"/>
      <c r="Q40" s="191"/>
      <c r="R40" s="23">
        <f t="shared" si="6"/>
        <v>0</v>
      </c>
      <c r="S40" s="52">
        <f t="shared" si="7"/>
        <v>0</v>
      </c>
      <c r="U40" s="51">
        <f t="shared" si="30"/>
        <v>0</v>
      </c>
      <c r="V40" s="23"/>
      <c r="W40" s="23">
        <f t="shared" si="8"/>
        <v>1</v>
      </c>
      <c r="Y40" s="19"/>
      <c r="Z40" s="62">
        <f t="shared" si="31"/>
        <v>0</v>
      </c>
      <c r="AA40" s="20"/>
      <c r="AB40" s="21"/>
      <c r="AC40" s="42"/>
      <c r="AD40" s="23">
        <f t="shared" si="10"/>
        <v>0</v>
      </c>
      <c r="AE40" s="23">
        <f t="shared" si="11"/>
        <v>0</v>
      </c>
      <c r="AF40" s="23"/>
      <c r="AG40" s="52"/>
    </row>
    <row r="41" spans="1:35" hidden="1" outlineLevel="1">
      <c r="A41" s="96">
        <v>45639</v>
      </c>
      <c r="B41" s="17" t="s">
        <v>15</v>
      </c>
      <c r="C41" s="101"/>
      <c r="D41" s="100">
        <f t="shared" si="3"/>
        <v>0</v>
      </c>
      <c r="E41" s="22">
        <f t="shared" si="4"/>
        <v>1</v>
      </c>
      <c r="G41" s="17"/>
      <c r="I41" s="51">
        <f>M44</f>
        <v>0</v>
      </c>
      <c r="J41" s="18"/>
      <c r="K41" s="23">
        <f t="shared" si="15"/>
        <v>0</v>
      </c>
      <c r="M41" s="19"/>
      <c r="N41" s="65">
        <f t="shared" si="29"/>
        <v>0</v>
      </c>
      <c r="O41" s="101"/>
      <c r="P41" s="21"/>
      <c r="Q41" s="191"/>
      <c r="R41" s="23">
        <f t="shared" si="6"/>
        <v>0</v>
      </c>
      <c r="S41" s="52">
        <f t="shared" si="7"/>
        <v>0</v>
      </c>
      <c r="U41" s="51">
        <f t="shared" si="30"/>
        <v>0</v>
      </c>
      <c r="V41" s="23"/>
      <c r="W41" s="23">
        <f t="shared" si="8"/>
        <v>1</v>
      </c>
      <c r="Y41" s="19"/>
      <c r="Z41" s="62">
        <f t="shared" si="31"/>
        <v>0</v>
      </c>
      <c r="AA41" s="20"/>
      <c r="AB41" s="21"/>
      <c r="AC41" s="42"/>
      <c r="AD41" s="23">
        <f t="shared" si="10"/>
        <v>0</v>
      </c>
      <c r="AE41" s="23">
        <f t="shared" si="11"/>
        <v>0</v>
      </c>
      <c r="AF41" s="23"/>
      <c r="AG41" s="52"/>
      <c r="AI41">
        <f>SUM(M37:M41,Y37:Y41)/5</f>
        <v>0</v>
      </c>
    </row>
    <row r="42" spans="1:35" s="12" customFormat="1" hidden="1" outlineLevel="1">
      <c r="A42" s="95">
        <v>45640</v>
      </c>
      <c r="B42" s="25" t="s">
        <v>16</v>
      </c>
      <c r="C42" s="98"/>
      <c r="D42" s="99">
        <f t="shared" si="3"/>
        <v>0</v>
      </c>
      <c r="E42" s="87">
        <f t="shared" si="4"/>
        <v>1</v>
      </c>
      <c r="G42" s="25"/>
      <c r="I42" s="53"/>
      <c r="J42" s="26"/>
      <c r="K42" s="29">
        <f t="shared" si="15"/>
        <v>0</v>
      </c>
      <c r="M42" s="64"/>
      <c r="N42" s="66"/>
      <c r="O42" s="98"/>
      <c r="P42" s="28"/>
      <c r="Q42" s="230"/>
      <c r="R42" s="29">
        <f t="shared" si="6"/>
        <v>0</v>
      </c>
      <c r="S42" s="54">
        <f t="shared" si="7"/>
        <v>0</v>
      </c>
      <c r="U42" s="53"/>
      <c r="V42" s="29"/>
      <c r="W42" s="29">
        <f t="shared" si="8"/>
        <v>1</v>
      </c>
      <c r="Y42" s="64"/>
      <c r="Z42" s="63"/>
      <c r="AA42" s="27"/>
      <c r="AB42" s="28"/>
      <c r="AC42" s="43"/>
      <c r="AD42" s="29">
        <f t="shared" si="10"/>
        <v>0</v>
      </c>
      <c r="AE42" s="29">
        <f t="shared" si="11"/>
        <v>0</v>
      </c>
      <c r="AF42" s="29"/>
      <c r="AG42" s="54"/>
    </row>
    <row r="43" spans="1:35" s="12" customFormat="1" hidden="1" outlineLevel="1" collapsed="1">
      <c r="A43" s="95">
        <v>45641</v>
      </c>
      <c r="B43" s="25" t="s">
        <v>17</v>
      </c>
      <c r="C43" s="98"/>
      <c r="D43" s="99">
        <f t="shared" si="3"/>
        <v>0</v>
      </c>
      <c r="E43" s="87">
        <f t="shared" si="4"/>
        <v>1</v>
      </c>
      <c r="G43" s="25"/>
      <c r="I43" s="53"/>
      <c r="J43" s="26"/>
      <c r="K43" s="29">
        <f t="shared" si="15"/>
        <v>0</v>
      </c>
      <c r="M43" s="64"/>
      <c r="N43" s="66"/>
      <c r="O43" s="98"/>
      <c r="P43" s="28"/>
      <c r="Q43" s="230"/>
      <c r="R43" s="29">
        <f t="shared" si="6"/>
        <v>0</v>
      </c>
      <c r="S43" s="54">
        <f t="shared" si="7"/>
        <v>0</v>
      </c>
      <c r="U43" s="53"/>
      <c r="V43" s="29"/>
      <c r="W43" s="29">
        <f t="shared" si="8"/>
        <v>1</v>
      </c>
      <c r="Y43" s="64"/>
      <c r="Z43" s="63"/>
      <c r="AA43" s="27"/>
      <c r="AB43" s="28"/>
      <c r="AC43" s="43"/>
      <c r="AD43" s="29">
        <f t="shared" si="10"/>
        <v>0</v>
      </c>
      <c r="AE43" s="29">
        <f t="shared" si="11"/>
        <v>0</v>
      </c>
      <c r="AF43" s="29"/>
      <c r="AG43" s="54"/>
    </row>
    <row r="44" spans="1:35" hidden="1" outlineLevel="1">
      <c r="A44" s="96">
        <v>45642</v>
      </c>
      <c r="B44" s="17" t="s">
        <v>18</v>
      </c>
      <c r="C44" s="101"/>
      <c r="D44" s="100">
        <f t="shared" si="3"/>
        <v>0</v>
      </c>
      <c r="E44" s="22">
        <f t="shared" si="4"/>
        <v>1</v>
      </c>
      <c r="G44" s="17"/>
      <c r="I44" s="51">
        <f>M45</f>
        <v>0</v>
      </c>
      <c r="J44" s="18"/>
      <c r="K44" s="23">
        <f t="shared" si="15"/>
        <v>0</v>
      </c>
      <c r="M44" s="19"/>
      <c r="N44" s="65">
        <f t="shared" ref="N44:N48" si="33">M44</f>
        <v>0</v>
      </c>
      <c r="O44" s="101"/>
      <c r="P44" s="21"/>
      <c r="Q44" s="191"/>
      <c r="R44" s="23">
        <f t="shared" si="6"/>
        <v>0</v>
      </c>
      <c r="S44" s="52">
        <f t="shared" si="7"/>
        <v>0</v>
      </c>
      <c r="U44" s="51">
        <f t="shared" ref="U44:U48" si="34">C44-I44</f>
        <v>0</v>
      </c>
      <c r="V44" s="23"/>
      <c r="W44" s="23">
        <f t="shared" si="8"/>
        <v>1</v>
      </c>
      <c r="Y44" s="19"/>
      <c r="Z44" s="62">
        <f>U41+AA44</f>
        <v>0</v>
      </c>
      <c r="AA44" s="20"/>
      <c r="AB44" s="21"/>
      <c r="AC44" s="42"/>
      <c r="AD44" s="23">
        <f t="shared" si="10"/>
        <v>0</v>
      </c>
      <c r="AE44" s="23">
        <f t="shared" si="11"/>
        <v>0</v>
      </c>
      <c r="AF44" s="23"/>
      <c r="AG44" s="52"/>
    </row>
    <row r="45" spans="1:35" hidden="1" outlineLevel="1">
      <c r="A45" s="96">
        <v>45643</v>
      </c>
      <c r="B45" s="17" t="s">
        <v>19</v>
      </c>
      <c r="C45" s="101"/>
      <c r="D45" s="100">
        <f t="shared" si="3"/>
        <v>0</v>
      </c>
      <c r="E45" s="22">
        <f t="shared" si="4"/>
        <v>1</v>
      </c>
      <c r="G45" s="17"/>
      <c r="I45" s="51">
        <f>M46</f>
        <v>0</v>
      </c>
      <c r="J45" s="18"/>
      <c r="K45" s="23">
        <f t="shared" si="15"/>
        <v>0</v>
      </c>
      <c r="M45" s="19"/>
      <c r="N45" s="65">
        <f t="shared" si="33"/>
        <v>0</v>
      </c>
      <c r="O45" s="101"/>
      <c r="P45" s="21"/>
      <c r="Q45" s="191"/>
      <c r="R45" s="23">
        <f t="shared" si="6"/>
        <v>0</v>
      </c>
      <c r="S45" s="52">
        <f t="shared" si="7"/>
        <v>0</v>
      </c>
      <c r="U45" s="51">
        <f t="shared" si="34"/>
        <v>0</v>
      </c>
      <c r="V45" s="23"/>
      <c r="W45" s="23">
        <f t="shared" si="8"/>
        <v>1</v>
      </c>
      <c r="Y45" s="19"/>
      <c r="Z45" s="62">
        <f t="shared" ref="Z45:Z48" si="35">U44+AA45</f>
        <v>0</v>
      </c>
      <c r="AA45" s="20"/>
      <c r="AB45" s="21"/>
      <c r="AC45" s="42"/>
      <c r="AD45" s="23">
        <f t="shared" si="10"/>
        <v>0</v>
      </c>
      <c r="AE45" s="23">
        <f t="shared" si="11"/>
        <v>0</v>
      </c>
      <c r="AF45" s="23"/>
      <c r="AG45" s="52"/>
    </row>
    <row r="46" spans="1:35" hidden="1" outlineLevel="1">
      <c r="A46" s="96">
        <v>45644</v>
      </c>
      <c r="B46" s="17" t="s">
        <v>20</v>
      </c>
      <c r="C46" s="101"/>
      <c r="D46" s="100">
        <f t="shared" si="3"/>
        <v>0</v>
      </c>
      <c r="E46" s="22">
        <f t="shared" ref="E46:E90" si="36">E45-C46+D46</f>
        <v>1</v>
      </c>
      <c r="G46" s="17"/>
      <c r="I46" s="51">
        <f>M47</f>
        <v>0</v>
      </c>
      <c r="J46" s="18"/>
      <c r="K46" s="23">
        <f t="shared" si="15"/>
        <v>0</v>
      </c>
      <c r="M46" s="19"/>
      <c r="N46" s="65">
        <f t="shared" si="33"/>
        <v>0</v>
      </c>
      <c r="O46" s="101"/>
      <c r="P46" s="21"/>
      <c r="Q46" s="191"/>
      <c r="R46" s="23">
        <f t="shared" si="6"/>
        <v>0</v>
      </c>
      <c r="S46" s="52">
        <f t="shared" si="7"/>
        <v>0</v>
      </c>
      <c r="U46" s="51">
        <f t="shared" si="34"/>
        <v>0</v>
      </c>
      <c r="V46" s="23"/>
      <c r="W46" s="23">
        <f t="shared" si="8"/>
        <v>1</v>
      </c>
      <c r="Y46" s="19"/>
      <c r="Z46" s="62">
        <f t="shared" si="35"/>
        <v>0</v>
      </c>
      <c r="AA46" s="20"/>
      <c r="AB46" s="21"/>
      <c r="AC46" s="42"/>
      <c r="AD46" s="23">
        <f t="shared" ref="AD46:AD90" si="37">AD45-Y46+AC46</f>
        <v>0</v>
      </c>
      <c r="AE46" s="23">
        <f t="shared" ref="AE46:AE90" si="38">AE45-Y46+Z46</f>
        <v>0</v>
      </c>
      <c r="AF46" s="23"/>
      <c r="AG46" s="52"/>
    </row>
    <row r="47" spans="1:35" hidden="1" outlineLevel="1">
      <c r="A47" s="96">
        <v>45645</v>
      </c>
      <c r="B47" s="17" t="s">
        <v>14</v>
      </c>
      <c r="C47" s="101"/>
      <c r="D47" s="100">
        <f t="shared" si="3"/>
        <v>0</v>
      </c>
      <c r="E47" s="22">
        <f t="shared" si="36"/>
        <v>1</v>
      </c>
      <c r="G47" s="17"/>
      <c r="I47" s="51">
        <f t="shared" ref="I47" si="39">M48</f>
        <v>0</v>
      </c>
      <c r="J47" s="18"/>
      <c r="K47" s="23">
        <f t="shared" si="15"/>
        <v>0</v>
      </c>
      <c r="M47" s="19"/>
      <c r="N47" s="65">
        <f t="shared" si="33"/>
        <v>0</v>
      </c>
      <c r="O47" s="101"/>
      <c r="P47" s="21"/>
      <c r="Q47" s="191"/>
      <c r="R47" s="23">
        <f t="shared" si="6"/>
        <v>0</v>
      </c>
      <c r="S47" s="52">
        <f t="shared" si="7"/>
        <v>0</v>
      </c>
      <c r="U47" s="51">
        <f t="shared" si="34"/>
        <v>0</v>
      </c>
      <c r="V47" s="23"/>
      <c r="W47" s="23">
        <f t="shared" si="8"/>
        <v>1</v>
      </c>
      <c r="Y47" s="19"/>
      <c r="Z47" s="62">
        <f t="shared" si="35"/>
        <v>0</v>
      </c>
      <c r="AA47" s="20"/>
      <c r="AB47" s="21"/>
      <c r="AC47" s="42"/>
      <c r="AD47" s="23">
        <f t="shared" si="37"/>
        <v>0</v>
      </c>
      <c r="AE47" s="23">
        <f t="shared" si="38"/>
        <v>0</v>
      </c>
      <c r="AF47" s="23"/>
      <c r="AG47" s="52"/>
    </row>
    <row r="48" spans="1:35" hidden="1" outlineLevel="1">
      <c r="A48" s="96">
        <v>45646</v>
      </c>
      <c r="B48" s="17" t="s">
        <v>15</v>
      </c>
      <c r="C48" s="101"/>
      <c r="D48" s="100">
        <f t="shared" si="3"/>
        <v>0</v>
      </c>
      <c r="E48" s="22">
        <f t="shared" si="36"/>
        <v>1</v>
      </c>
      <c r="G48" s="17"/>
      <c r="I48" s="51">
        <f>M51</f>
        <v>0</v>
      </c>
      <c r="J48" s="18"/>
      <c r="K48" s="23">
        <f t="shared" si="15"/>
        <v>0</v>
      </c>
      <c r="M48" s="19"/>
      <c r="N48" s="65">
        <f t="shared" si="33"/>
        <v>0</v>
      </c>
      <c r="O48" s="101"/>
      <c r="P48" s="21"/>
      <c r="Q48" s="191"/>
      <c r="R48" s="23">
        <f t="shared" si="6"/>
        <v>0</v>
      </c>
      <c r="S48" s="52">
        <f t="shared" si="7"/>
        <v>0</v>
      </c>
      <c r="U48" s="51">
        <f t="shared" si="34"/>
        <v>0</v>
      </c>
      <c r="V48" s="23"/>
      <c r="W48" s="23">
        <f t="shared" si="8"/>
        <v>1</v>
      </c>
      <c r="Y48" s="19"/>
      <c r="Z48" s="62">
        <f t="shared" si="35"/>
        <v>0</v>
      </c>
      <c r="AA48" s="20"/>
      <c r="AB48" s="21"/>
      <c r="AC48" s="42"/>
      <c r="AD48" s="23">
        <f t="shared" si="37"/>
        <v>0</v>
      </c>
      <c r="AE48" s="23">
        <f t="shared" si="38"/>
        <v>0</v>
      </c>
      <c r="AF48" s="23"/>
      <c r="AG48" s="52"/>
      <c r="AI48">
        <f>SUM(M44:M48,Y44:Y48)/5</f>
        <v>0</v>
      </c>
    </row>
    <row r="49" spans="1:35" s="12" customFormat="1" hidden="1" outlineLevel="1">
      <c r="A49" s="95">
        <v>45647</v>
      </c>
      <c r="B49" s="25" t="s">
        <v>16</v>
      </c>
      <c r="C49" s="98"/>
      <c r="D49" s="99">
        <f t="shared" si="3"/>
        <v>0</v>
      </c>
      <c r="E49" s="87">
        <f t="shared" si="36"/>
        <v>1</v>
      </c>
      <c r="G49" s="25"/>
      <c r="I49" s="53"/>
      <c r="J49" s="26"/>
      <c r="K49" s="29">
        <f t="shared" si="15"/>
        <v>0</v>
      </c>
      <c r="M49" s="64"/>
      <c r="N49" s="66"/>
      <c r="O49" s="98"/>
      <c r="P49" s="28"/>
      <c r="Q49" s="230"/>
      <c r="R49" s="29">
        <f t="shared" si="6"/>
        <v>0</v>
      </c>
      <c r="S49" s="54">
        <f t="shared" si="7"/>
        <v>0</v>
      </c>
      <c r="U49" s="53"/>
      <c r="V49" s="29"/>
      <c r="W49" s="29">
        <f t="shared" si="8"/>
        <v>1</v>
      </c>
      <c r="Y49" s="64"/>
      <c r="Z49" s="63"/>
      <c r="AA49" s="27"/>
      <c r="AB49" s="28"/>
      <c r="AC49" s="43"/>
      <c r="AD49" s="29">
        <f t="shared" si="37"/>
        <v>0</v>
      </c>
      <c r="AE49" s="29">
        <f t="shared" si="38"/>
        <v>0</v>
      </c>
      <c r="AF49" s="29"/>
      <c r="AG49" s="54"/>
    </row>
    <row r="50" spans="1:35" s="12" customFormat="1" hidden="1" outlineLevel="1">
      <c r="A50" s="95">
        <v>45648</v>
      </c>
      <c r="B50" s="25" t="s">
        <v>17</v>
      </c>
      <c r="C50" s="98"/>
      <c r="D50" s="99">
        <f t="shared" si="3"/>
        <v>0</v>
      </c>
      <c r="E50" s="87">
        <f t="shared" si="36"/>
        <v>1</v>
      </c>
      <c r="G50" s="25"/>
      <c r="I50" s="53"/>
      <c r="J50" s="26"/>
      <c r="K50" s="29">
        <f t="shared" si="15"/>
        <v>0</v>
      </c>
      <c r="M50" s="64"/>
      <c r="N50" s="66"/>
      <c r="O50" s="98"/>
      <c r="P50" s="28"/>
      <c r="Q50" s="230"/>
      <c r="R50" s="29">
        <f t="shared" si="6"/>
        <v>0</v>
      </c>
      <c r="S50" s="54">
        <f t="shared" si="7"/>
        <v>0</v>
      </c>
      <c r="U50" s="53"/>
      <c r="V50" s="29"/>
      <c r="W50" s="29">
        <f t="shared" si="8"/>
        <v>1</v>
      </c>
      <c r="Y50" s="64"/>
      <c r="Z50" s="63"/>
      <c r="AA50" s="27"/>
      <c r="AB50" s="28"/>
      <c r="AC50" s="43"/>
      <c r="AD50" s="29">
        <f t="shared" si="37"/>
        <v>0</v>
      </c>
      <c r="AE50" s="29">
        <f t="shared" si="38"/>
        <v>0</v>
      </c>
      <c r="AF50" s="29"/>
      <c r="AG50" s="54"/>
    </row>
    <row r="51" spans="1:35" hidden="1" outlineLevel="1">
      <c r="A51" s="96">
        <v>45649</v>
      </c>
      <c r="B51" s="17" t="s">
        <v>18</v>
      </c>
      <c r="C51" s="137">
        <v>1</v>
      </c>
      <c r="D51" s="100">
        <f t="shared" si="3"/>
        <v>0</v>
      </c>
      <c r="E51" s="22">
        <f t="shared" si="36"/>
        <v>0</v>
      </c>
      <c r="G51" s="17"/>
      <c r="I51" s="51">
        <f>M52</f>
        <v>0</v>
      </c>
      <c r="J51" s="18"/>
      <c r="K51" s="23">
        <f t="shared" si="15"/>
        <v>0</v>
      </c>
      <c r="M51" s="19"/>
      <c r="N51" s="65">
        <f t="shared" ref="N51:N55" si="40">M51</f>
        <v>0</v>
      </c>
      <c r="O51" s="101"/>
      <c r="P51" s="21"/>
      <c r="Q51" s="191"/>
      <c r="R51" s="23">
        <f t="shared" si="6"/>
        <v>0</v>
      </c>
      <c r="S51" s="52">
        <f t="shared" si="7"/>
        <v>0</v>
      </c>
      <c r="U51" s="51">
        <f t="shared" ref="U51:U55" si="41">C51-I51</f>
        <v>1</v>
      </c>
      <c r="V51" s="23"/>
      <c r="W51" s="23">
        <f t="shared" si="8"/>
        <v>0</v>
      </c>
      <c r="Y51" s="19"/>
      <c r="Z51" s="62">
        <f>U48+AA51</f>
        <v>0</v>
      </c>
      <c r="AA51" s="20"/>
      <c r="AB51" s="21"/>
      <c r="AC51" s="42"/>
      <c r="AD51" s="23">
        <f t="shared" si="37"/>
        <v>0</v>
      </c>
      <c r="AE51" s="23">
        <f t="shared" si="38"/>
        <v>0</v>
      </c>
      <c r="AF51" s="23"/>
      <c r="AG51" s="52"/>
    </row>
    <row r="52" spans="1:35" hidden="1" outlineLevel="1">
      <c r="A52" s="96">
        <v>45650</v>
      </c>
      <c r="B52" s="17" t="s">
        <v>19</v>
      </c>
      <c r="C52" s="137"/>
      <c r="D52" s="100">
        <f t="shared" si="3"/>
        <v>0</v>
      </c>
      <c r="E52" s="22">
        <f t="shared" si="36"/>
        <v>0</v>
      </c>
      <c r="G52" s="17"/>
      <c r="I52" s="51">
        <f>M53</f>
        <v>0</v>
      </c>
      <c r="J52" s="18"/>
      <c r="K52" s="23">
        <f t="shared" si="15"/>
        <v>0</v>
      </c>
      <c r="M52" s="19"/>
      <c r="N52" s="65">
        <f t="shared" si="40"/>
        <v>0</v>
      </c>
      <c r="O52" s="101"/>
      <c r="P52" s="21"/>
      <c r="Q52" s="191"/>
      <c r="R52" s="23">
        <f t="shared" si="6"/>
        <v>0</v>
      </c>
      <c r="S52" s="52">
        <f t="shared" si="7"/>
        <v>0</v>
      </c>
      <c r="U52" s="51">
        <f t="shared" si="41"/>
        <v>0</v>
      </c>
      <c r="V52" s="23"/>
      <c r="W52" s="23">
        <f t="shared" si="8"/>
        <v>0</v>
      </c>
      <c r="Y52" s="78">
        <v>1</v>
      </c>
      <c r="Z52" s="62">
        <f t="shared" ref="Z52:Z55" si="42">U51+AA52</f>
        <v>1</v>
      </c>
      <c r="AA52" s="20"/>
      <c r="AB52" s="21"/>
      <c r="AC52" s="57">
        <v>1</v>
      </c>
      <c r="AD52" s="23">
        <f t="shared" si="37"/>
        <v>0</v>
      </c>
      <c r="AE52" s="23">
        <f t="shared" si="38"/>
        <v>0</v>
      </c>
      <c r="AF52" s="23"/>
      <c r="AG52" s="52"/>
    </row>
    <row r="53" spans="1:35" hidden="1" outlineLevel="1">
      <c r="A53" s="96">
        <v>45651</v>
      </c>
      <c r="B53" s="17" t="s">
        <v>20</v>
      </c>
      <c r="C53" s="137"/>
      <c r="D53" s="100">
        <f t="shared" si="3"/>
        <v>62</v>
      </c>
      <c r="E53" s="22">
        <f t="shared" si="36"/>
        <v>62</v>
      </c>
      <c r="G53" s="17"/>
      <c r="I53" s="51">
        <f>M54</f>
        <v>0</v>
      </c>
      <c r="J53" s="18"/>
      <c r="K53" s="23">
        <f t="shared" si="15"/>
        <v>0</v>
      </c>
      <c r="M53" s="19"/>
      <c r="N53" s="65">
        <f t="shared" si="40"/>
        <v>0</v>
      </c>
      <c r="O53" s="101"/>
      <c r="P53" s="21"/>
      <c r="Q53" s="191"/>
      <c r="R53" s="23">
        <f t="shared" si="6"/>
        <v>0</v>
      </c>
      <c r="S53" s="52">
        <f t="shared" si="7"/>
        <v>0</v>
      </c>
      <c r="U53" s="51">
        <f t="shared" si="41"/>
        <v>0</v>
      </c>
      <c r="V53" s="23">
        <v>62</v>
      </c>
      <c r="W53" s="23">
        <f t="shared" si="8"/>
        <v>62</v>
      </c>
      <c r="Y53" s="19"/>
      <c r="Z53" s="62">
        <f t="shared" si="42"/>
        <v>0</v>
      </c>
      <c r="AA53" s="20"/>
      <c r="AB53" s="21"/>
      <c r="AC53" s="42"/>
      <c r="AD53" s="23">
        <f t="shared" si="37"/>
        <v>0</v>
      </c>
      <c r="AE53" s="23">
        <f t="shared" si="38"/>
        <v>0</v>
      </c>
      <c r="AF53" s="23"/>
      <c r="AG53" s="52"/>
    </row>
    <row r="54" spans="1:35" hidden="1" outlineLevel="1">
      <c r="A54" s="96">
        <v>45652</v>
      </c>
      <c r="B54" s="17" t="s">
        <v>14</v>
      </c>
      <c r="C54" s="137">
        <v>78</v>
      </c>
      <c r="D54" s="100">
        <f t="shared" si="3"/>
        <v>65</v>
      </c>
      <c r="E54" s="22">
        <f t="shared" si="36"/>
        <v>49</v>
      </c>
      <c r="G54" s="17"/>
      <c r="I54" s="51">
        <f t="shared" ref="I54" si="43">M55</f>
        <v>0</v>
      </c>
      <c r="J54" s="18">
        <v>3</v>
      </c>
      <c r="K54" s="23">
        <f t="shared" si="15"/>
        <v>3</v>
      </c>
      <c r="M54" s="19"/>
      <c r="N54" s="65">
        <f t="shared" si="40"/>
        <v>0</v>
      </c>
      <c r="O54" s="101"/>
      <c r="P54" s="21"/>
      <c r="Q54" s="191"/>
      <c r="R54" s="23">
        <f t="shared" si="6"/>
        <v>0</v>
      </c>
      <c r="S54" s="52">
        <f t="shared" si="7"/>
        <v>0</v>
      </c>
      <c r="U54" s="51">
        <f t="shared" si="41"/>
        <v>78</v>
      </c>
      <c r="V54" s="23">
        <v>62</v>
      </c>
      <c r="W54" s="23">
        <f t="shared" si="8"/>
        <v>46</v>
      </c>
      <c r="Y54" s="78">
        <v>81</v>
      </c>
      <c r="Z54" s="62">
        <f t="shared" si="42"/>
        <v>0</v>
      </c>
      <c r="AA54" s="20"/>
      <c r="AB54" s="21"/>
      <c r="AC54" s="42"/>
      <c r="AD54" s="23">
        <f t="shared" si="37"/>
        <v>-81</v>
      </c>
      <c r="AE54" s="23">
        <f t="shared" si="38"/>
        <v>-81</v>
      </c>
      <c r="AF54" s="23"/>
      <c r="AG54" s="52"/>
    </row>
    <row r="55" spans="1:35" hidden="1" outlineLevel="1">
      <c r="A55" s="96">
        <v>45653</v>
      </c>
      <c r="B55" s="17" t="s">
        <v>15</v>
      </c>
      <c r="C55" s="137">
        <v>78</v>
      </c>
      <c r="D55" s="100">
        <f t="shared" si="3"/>
        <v>62</v>
      </c>
      <c r="E55" s="22">
        <f t="shared" si="36"/>
        <v>33</v>
      </c>
      <c r="G55" s="17"/>
      <c r="I55" s="51">
        <f>M65</f>
        <v>0</v>
      </c>
      <c r="J55" s="18"/>
      <c r="K55" s="23">
        <f t="shared" si="15"/>
        <v>3</v>
      </c>
      <c r="M55" s="19"/>
      <c r="N55" s="65">
        <f t="shared" si="40"/>
        <v>0</v>
      </c>
      <c r="O55" s="101"/>
      <c r="P55" s="21"/>
      <c r="Q55" s="191"/>
      <c r="R55" s="23">
        <f t="shared" si="6"/>
        <v>0</v>
      </c>
      <c r="S55" s="52">
        <f t="shared" si="7"/>
        <v>0</v>
      </c>
      <c r="U55" s="51">
        <f t="shared" si="41"/>
        <v>78</v>
      </c>
      <c r="V55" s="23">
        <v>62</v>
      </c>
      <c r="W55" s="23">
        <f t="shared" si="8"/>
        <v>30</v>
      </c>
      <c r="Y55" s="78">
        <v>84</v>
      </c>
      <c r="Z55" s="175">
        <f t="shared" si="42"/>
        <v>0</v>
      </c>
      <c r="AA55" s="20">
        <v>-78</v>
      </c>
      <c r="AB55" s="21"/>
      <c r="AC55" s="57">
        <v>0</v>
      </c>
      <c r="AD55" s="23">
        <f t="shared" si="37"/>
        <v>-165</v>
      </c>
      <c r="AE55" s="23">
        <f t="shared" si="38"/>
        <v>-165</v>
      </c>
      <c r="AF55" s="23"/>
      <c r="AG55" s="52"/>
      <c r="AI55">
        <f>SUM(M51:M55,Y51:Y55)/5</f>
        <v>33.200000000000003</v>
      </c>
    </row>
    <row r="56" spans="1:35" s="12" customFormat="1" hidden="1" outlineLevel="1" collapsed="1">
      <c r="A56" s="95">
        <v>45654</v>
      </c>
      <c r="B56" s="25" t="s">
        <v>16</v>
      </c>
      <c r="C56" s="98"/>
      <c r="D56" s="99">
        <f t="shared" si="3"/>
        <v>0</v>
      </c>
      <c r="E56" s="87">
        <f t="shared" si="36"/>
        <v>33</v>
      </c>
      <c r="G56" s="25"/>
      <c r="I56" s="53"/>
      <c r="J56" s="26"/>
      <c r="K56" s="29">
        <f t="shared" si="15"/>
        <v>3</v>
      </c>
      <c r="M56" s="64"/>
      <c r="N56" s="66"/>
      <c r="O56" s="98"/>
      <c r="P56" s="28"/>
      <c r="Q56" s="230"/>
      <c r="R56" s="29">
        <f t="shared" si="6"/>
        <v>0</v>
      </c>
      <c r="S56" s="54">
        <f t="shared" si="7"/>
        <v>0</v>
      </c>
      <c r="U56" s="53"/>
      <c r="V56" s="29"/>
      <c r="W56" s="29">
        <f t="shared" si="8"/>
        <v>30</v>
      </c>
      <c r="Y56" s="64"/>
      <c r="Z56" s="63"/>
      <c r="AA56" s="27"/>
      <c r="AB56" s="28"/>
      <c r="AC56" s="43"/>
      <c r="AD56" s="29">
        <f t="shared" si="37"/>
        <v>-165</v>
      </c>
      <c r="AE56" s="29">
        <f t="shared" si="38"/>
        <v>-165</v>
      </c>
      <c r="AF56" s="29"/>
      <c r="AG56" s="54"/>
    </row>
    <row r="57" spans="1:35" s="12" customFormat="1" hidden="1" outlineLevel="1">
      <c r="A57" s="95">
        <v>45655</v>
      </c>
      <c r="B57" s="25" t="s">
        <v>17</v>
      </c>
      <c r="C57" s="98"/>
      <c r="D57" s="99">
        <f t="shared" si="3"/>
        <v>0</v>
      </c>
      <c r="E57" s="87">
        <f t="shared" si="36"/>
        <v>33</v>
      </c>
      <c r="G57" s="25"/>
      <c r="I57" s="53"/>
      <c r="J57" s="26"/>
      <c r="K57" s="29">
        <f t="shared" si="15"/>
        <v>3</v>
      </c>
      <c r="M57" s="64"/>
      <c r="N57" s="66"/>
      <c r="O57" s="98"/>
      <c r="P57" s="28"/>
      <c r="Q57" s="230"/>
      <c r="R57" s="29">
        <f t="shared" si="6"/>
        <v>0</v>
      </c>
      <c r="S57" s="54">
        <f t="shared" si="7"/>
        <v>0</v>
      </c>
      <c r="U57" s="53"/>
      <c r="V57" s="29"/>
      <c r="W57" s="29">
        <f t="shared" si="8"/>
        <v>30</v>
      </c>
      <c r="Y57" s="64"/>
      <c r="Z57" s="63"/>
      <c r="AA57" s="27"/>
      <c r="AB57" s="28"/>
      <c r="AC57" s="43"/>
      <c r="AD57" s="29">
        <f t="shared" si="37"/>
        <v>-165</v>
      </c>
      <c r="AE57" s="29">
        <f t="shared" si="38"/>
        <v>-165</v>
      </c>
      <c r="AF57" s="29"/>
      <c r="AG57" s="54"/>
    </row>
    <row r="58" spans="1:35" s="12" customFormat="1" hidden="1" outlineLevel="1">
      <c r="A58" s="95">
        <v>45656</v>
      </c>
      <c r="B58" s="25" t="s">
        <v>18</v>
      </c>
      <c r="C58" s="98"/>
      <c r="D58" s="99">
        <f t="shared" si="3"/>
        <v>0</v>
      </c>
      <c r="E58" s="87">
        <f t="shared" si="36"/>
        <v>33</v>
      </c>
      <c r="G58" s="25"/>
      <c r="I58" s="53"/>
      <c r="J58" s="26"/>
      <c r="K58" s="29">
        <f t="shared" si="15"/>
        <v>3</v>
      </c>
      <c r="M58" s="64"/>
      <c r="N58" s="66"/>
      <c r="O58" s="98"/>
      <c r="P58" s="28"/>
      <c r="Q58" s="230"/>
      <c r="R58" s="29">
        <f t="shared" si="6"/>
        <v>0</v>
      </c>
      <c r="S58" s="54">
        <f t="shared" si="7"/>
        <v>0</v>
      </c>
      <c r="U58" s="53"/>
      <c r="V58" s="29"/>
      <c r="W58" s="29">
        <f t="shared" si="8"/>
        <v>30</v>
      </c>
      <c r="Y58" s="64"/>
      <c r="Z58" s="63"/>
      <c r="AA58" s="27"/>
      <c r="AB58" s="28"/>
      <c r="AC58" s="43"/>
      <c r="AD58" s="29">
        <f t="shared" si="37"/>
        <v>-165</v>
      </c>
      <c r="AE58" s="29">
        <f t="shared" si="38"/>
        <v>-165</v>
      </c>
      <c r="AF58" s="29"/>
      <c r="AG58" s="54"/>
    </row>
    <row r="59" spans="1:35" s="12" customFormat="1" hidden="1" outlineLevel="1">
      <c r="A59" s="95">
        <v>45657</v>
      </c>
      <c r="B59" s="25" t="s">
        <v>19</v>
      </c>
      <c r="C59" s="98"/>
      <c r="D59" s="99">
        <f t="shared" si="3"/>
        <v>0</v>
      </c>
      <c r="E59" s="87">
        <f t="shared" si="36"/>
        <v>33</v>
      </c>
      <c r="G59" s="25"/>
      <c r="I59" s="53"/>
      <c r="J59" s="26"/>
      <c r="K59" s="29">
        <f t="shared" si="15"/>
        <v>3</v>
      </c>
      <c r="M59" s="64"/>
      <c r="N59" s="66"/>
      <c r="O59" s="98"/>
      <c r="P59" s="28"/>
      <c r="Q59" s="230"/>
      <c r="R59" s="29">
        <f t="shared" si="6"/>
        <v>0</v>
      </c>
      <c r="S59" s="54">
        <f t="shared" si="7"/>
        <v>0</v>
      </c>
      <c r="U59" s="53"/>
      <c r="V59" s="29"/>
      <c r="W59" s="29">
        <f t="shared" si="8"/>
        <v>30</v>
      </c>
      <c r="Y59" s="64"/>
      <c r="Z59" s="63"/>
      <c r="AA59" s="27"/>
      <c r="AB59" s="28"/>
      <c r="AC59" s="43"/>
      <c r="AD59" s="29">
        <f t="shared" si="37"/>
        <v>-165</v>
      </c>
      <c r="AE59" s="29">
        <f t="shared" si="38"/>
        <v>-165</v>
      </c>
      <c r="AF59" s="29"/>
      <c r="AG59" s="54"/>
    </row>
    <row r="60" spans="1:35" s="12" customFormat="1" hidden="1" outlineLevel="1">
      <c r="A60" s="95">
        <v>45658</v>
      </c>
      <c r="B60" s="25" t="s">
        <v>20</v>
      </c>
      <c r="C60" s="98"/>
      <c r="D60" s="99">
        <f t="shared" si="3"/>
        <v>0</v>
      </c>
      <c r="E60" s="87">
        <f t="shared" si="36"/>
        <v>33</v>
      </c>
      <c r="G60" s="25"/>
      <c r="I60" s="53"/>
      <c r="J60" s="26"/>
      <c r="K60" s="29">
        <f t="shared" si="15"/>
        <v>3</v>
      </c>
      <c r="M60" s="64"/>
      <c r="N60" s="66"/>
      <c r="O60" s="98"/>
      <c r="P60" s="28"/>
      <c r="Q60" s="230"/>
      <c r="R60" s="29">
        <f t="shared" si="6"/>
        <v>0</v>
      </c>
      <c r="S60" s="54">
        <f t="shared" si="7"/>
        <v>0</v>
      </c>
      <c r="U60" s="53"/>
      <c r="V60" s="29"/>
      <c r="W60" s="29">
        <f t="shared" ref="W60:W90" si="44">V60-U60+W59</f>
        <v>30</v>
      </c>
      <c r="Y60" s="64"/>
      <c r="Z60" s="63"/>
      <c r="AA60" s="27"/>
      <c r="AB60" s="28"/>
      <c r="AC60" s="43"/>
      <c r="AD60" s="29">
        <f t="shared" si="37"/>
        <v>-165</v>
      </c>
      <c r="AE60" s="29">
        <f t="shared" si="38"/>
        <v>-165</v>
      </c>
      <c r="AF60" s="29"/>
      <c r="AG60" s="54"/>
    </row>
    <row r="61" spans="1:35" s="12" customFormat="1" hidden="1" outlineLevel="1">
      <c r="A61" s="95">
        <v>45659</v>
      </c>
      <c r="B61" s="25" t="s">
        <v>14</v>
      </c>
      <c r="C61" s="98"/>
      <c r="D61" s="99">
        <f t="shared" si="3"/>
        <v>0</v>
      </c>
      <c r="E61" s="87">
        <f t="shared" si="36"/>
        <v>33</v>
      </c>
      <c r="G61" s="25"/>
      <c r="I61" s="53"/>
      <c r="J61" s="26"/>
      <c r="K61" s="29">
        <f t="shared" si="15"/>
        <v>3</v>
      </c>
      <c r="M61" s="64"/>
      <c r="N61" s="66"/>
      <c r="O61" s="98"/>
      <c r="P61" s="28"/>
      <c r="Q61" s="230"/>
      <c r="R61" s="29">
        <f t="shared" si="6"/>
        <v>0</v>
      </c>
      <c r="S61" s="54">
        <f t="shared" si="7"/>
        <v>0</v>
      </c>
      <c r="U61" s="53"/>
      <c r="V61" s="29"/>
      <c r="W61" s="29">
        <f t="shared" si="44"/>
        <v>30</v>
      </c>
      <c r="Y61" s="64"/>
      <c r="Z61" s="63"/>
      <c r="AA61" s="27"/>
      <c r="AB61" s="28"/>
      <c r="AC61" s="43"/>
      <c r="AD61" s="29">
        <f t="shared" si="37"/>
        <v>-165</v>
      </c>
      <c r="AE61" s="29">
        <f t="shared" si="38"/>
        <v>-165</v>
      </c>
      <c r="AF61" s="29"/>
      <c r="AG61" s="54"/>
    </row>
    <row r="62" spans="1:35" s="12" customFormat="1" hidden="1" outlineLevel="1">
      <c r="A62" s="95">
        <v>45660</v>
      </c>
      <c r="B62" s="25" t="s">
        <v>15</v>
      </c>
      <c r="C62" s="98"/>
      <c r="D62" s="99">
        <f t="shared" si="3"/>
        <v>0</v>
      </c>
      <c r="E62" s="87">
        <f t="shared" si="36"/>
        <v>33</v>
      </c>
      <c r="G62" s="25"/>
      <c r="I62" s="53"/>
      <c r="J62" s="26"/>
      <c r="K62" s="29">
        <f t="shared" si="15"/>
        <v>3</v>
      </c>
      <c r="M62" s="64"/>
      <c r="N62" s="66"/>
      <c r="O62" s="98"/>
      <c r="P62" s="28"/>
      <c r="Q62" s="230"/>
      <c r="R62" s="29">
        <f t="shared" si="6"/>
        <v>0</v>
      </c>
      <c r="S62" s="54">
        <f t="shared" si="7"/>
        <v>0</v>
      </c>
      <c r="U62" s="53"/>
      <c r="V62" s="29"/>
      <c r="W62" s="29">
        <f t="shared" si="44"/>
        <v>30</v>
      </c>
      <c r="Y62" s="64"/>
      <c r="Z62" s="63"/>
      <c r="AA62" s="27"/>
      <c r="AB62" s="28"/>
      <c r="AC62" s="43"/>
      <c r="AD62" s="29">
        <f t="shared" si="37"/>
        <v>-165</v>
      </c>
      <c r="AE62" s="29">
        <f t="shared" si="38"/>
        <v>-165</v>
      </c>
      <c r="AF62" s="29"/>
      <c r="AG62" s="54"/>
    </row>
    <row r="63" spans="1:35" s="12" customFormat="1" hidden="1" outlineLevel="1">
      <c r="A63" s="95">
        <v>45661</v>
      </c>
      <c r="B63" s="25" t="s">
        <v>16</v>
      </c>
      <c r="C63" s="98"/>
      <c r="D63" s="99">
        <f t="shared" si="3"/>
        <v>0</v>
      </c>
      <c r="E63" s="87">
        <f t="shared" si="36"/>
        <v>33</v>
      </c>
      <c r="G63" s="25"/>
      <c r="I63" s="53"/>
      <c r="J63" s="26"/>
      <c r="K63" s="29">
        <f t="shared" si="15"/>
        <v>3</v>
      </c>
      <c r="M63" s="64"/>
      <c r="N63" s="66"/>
      <c r="O63" s="98"/>
      <c r="P63" s="28"/>
      <c r="Q63" s="230"/>
      <c r="R63" s="29">
        <f t="shared" si="6"/>
        <v>0</v>
      </c>
      <c r="S63" s="54">
        <f t="shared" si="7"/>
        <v>0</v>
      </c>
      <c r="U63" s="53"/>
      <c r="V63" s="29"/>
      <c r="W63" s="29">
        <f t="shared" si="44"/>
        <v>30</v>
      </c>
      <c r="Y63" s="64"/>
      <c r="Z63" s="63"/>
      <c r="AA63" s="27"/>
      <c r="AB63" s="28"/>
      <c r="AC63" s="43"/>
      <c r="AD63" s="29">
        <f t="shared" si="37"/>
        <v>-165</v>
      </c>
      <c r="AE63" s="29">
        <f t="shared" si="38"/>
        <v>-165</v>
      </c>
      <c r="AF63" s="29"/>
      <c r="AG63" s="54"/>
    </row>
    <row r="64" spans="1:35" s="12" customFormat="1" hidden="1" outlineLevel="1" collapsed="1">
      <c r="A64" s="95">
        <v>45662</v>
      </c>
      <c r="B64" s="25" t="s">
        <v>17</v>
      </c>
      <c r="C64" s="98"/>
      <c r="D64" s="99">
        <f t="shared" si="3"/>
        <v>0</v>
      </c>
      <c r="E64" s="87">
        <f t="shared" si="36"/>
        <v>33</v>
      </c>
      <c r="G64" s="25"/>
      <c r="I64" s="53"/>
      <c r="J64" s="26"/>
      <c r="K64" s="29">
        <f t="shared" si="15"/>
        <v>3</v>
      </c>
      <c r="M64" s="64"/>
      <c r="N64" s="66"/>
      <c r="O64" s="98"/>
      <c r="P64" s="28"/>
      <c r="Q64" s="230"/>
      <c r="R64" s="29">
        <f t="shared" si="6"/>
        <v>0</v>
      </c>
      <c r="S64" s="54">
        <f t="shared" si="7"/>
        <v>0</v>
      </c>
      <c r="U64" s="53"/>
      <c r="V64" s="29"/>
      <c r="W64" s="29">
        <f t="shared" si="44"/>
        <v>30</v>
      </c>
      <c r="Y64" s="64"/>
      <c r="Z64" s="63"/>
      <c r="AA64" s="27"/>
      <c r="AB64" s="28"/>
      <c r="AC64" s="43"/>
      <c r="AD64" s="29">
        <f t="shared" si="37"/>
        <v>-165</v>
      </c>
      <c r="AE64" s="29">
        <f t="shared" si="38"/>
        <v>-165</v>
      </c>
      <c r="AF64" s="29"/>
      <c r="AG64" s="54"/>
    </row>
    <row r="65" spans="1:35" hidden="1" outlineLevel="1">
      <c r="A65" s="96">
        <v>45663</v>
      </c>
      <c r="B65" s="17" t="s">
        <v>18</v>
      </c>
      <c r="C65" s="101">
        <v>78</v>
      </c>
      <c r="D65" s="100">
        <f t="shared" si="3"/>
        <v>75</v>
      </c>
      <c r="E65" s="22">
        <f t="shared" si="36"/>
        <v>30</v>
      </c>
      <c r="G65" s="17"/>
      <c r="I65" s="51">
        <f>M66</f>
        <v>3</v>
      </c>
      <c r="J65" s="18"/>
      <c r="K65" s="23">
        <f t="shared" si="15"/>
        <v>0</v>
      </c>
      <c r="M65" s="78"/>
      <c r="N65" s="65">
        <f t="shared" ref="N65:N69" si="45">M65</f>
        <v>0</v>
      </c>
      <c r="O65" s="101"/>
      <c r="P65" s="21"/>
      <c r="Q65" s="191"/>
      <c r="R65" s="23">
        <f t="shared" ref="R65:R90" si="46">R64-M65+Q65</f>
        <v>0</v>
      </c>
      <c r="S65" s="52">
        <f t="shared" ref="S65:S90" si="47">S64-M65+N65</f>
        <v>0</v>
      </c>
      <c r="U65" s="51">
        <f t="shared" ref="U65:U69" si="48">C65-I65</f>
        <v>75</v>
      </c>
      <c r="V65" s="23">
        <v>75</v>
      </c>
      <c r="W65" s="23">
        <f t="shared" si="44"/>
        <v>30</v>
      </c>
      <c r="Y65" s="78">
        <v>108</v>
      </c>
      <c r="Z65" s="62">
        <f>U55+AA65</f>
        <v>78</v>
      </c>
      <c r="AA65" s="20"/>
      <c r="AB65" s="21"/>
      <c r="AC65" s="57">
        <v>78</v>
      </c>
      <c r="AD65" s="23">
        <f t="shared" si="37"/>
        <v>-195</v>
      </c>
      <c r="AE65" s="23">
        <f t="shared" si="38"/>
        <v>-195</v>
      </c>
      <c r="AF65" s="23"/>
      <c r="AG65" s="52">
        <v>35</v>
      </c>
    </row>
    <row r="66" spans="1:35" hidden="1" outlineLevel="1">
      <c r="A66" s="96">
        <v>45664</v>
      </c>
      <c r="B66" s="17" t="s">
        <v>19</v>
      </c>
      <c r="C66" s="101">
        <v>78</v>
      </c>
      <c r="D66" s="100">
        <f t="shared" si="3"/>
        <v>78</v>
      </c>
      <c r="E66" s="22">
        <f t="shared" si="36"/>
        <v>30</v>
      </c>
      <c r="G66" s="17"/>
      <c r="I66" s="51">
        <f>M67</f>
        <v>0</v>
      </c>
      <c r="J66" s="18"/>
      <c r="K66" s="23">
        <f t="shared" si="15"/>
        <v>0</v>
      </c>
      <c r="M66" s="78">
        <v>3</v>
      </c>
      <c r="N66" s="65">
        <f t="shared" si="45"/>
        <v>3</v>
      </c>
      <c r="O66" s="101"/>
      <c r="P66" s="21"/>
      <c r="Q66" s="192">
        <v>3</v>
      </c>
      <c r="R66" s="23">
        <f t="shared" si="46"/>
        <v>0</v>
      </c>
      <c r="S66" s="52">
        <f t="shared" si="47"/>
        <v>0</v>
      </c>
      <c r="U66" s="51">
        <f t="shared" si="48"/>
        <v>78</v>
      </c>
      <c r="V66" s="23">
        <v>78</v>
      </c>
      <c r="W66" s="23">
        <f t="shared" si="44"/>
        <v>30</v>
      </c>
      <c r="Y66" s="78">
        <v>81</v>
      </c>
      <c r="Z66" s="62">
        <f>U65+AA66</f>
        <v>75</v>
      </c>
      <c r="AA66" s="20"/>
      <c r="AB66" s="21"/>
      <c r="AC66" s="57">
        <v>75</v>
      </c>
      <c r="AD66" s="23">
        <f t="shared" si="37"/>
        <v>-201</v>
      </c>
      <c r="AE66" s="23">
        <f t="shared" si="38"/>
        <v>-201</v>
      </c>
      <c r="AF66" s="23"/>
      <c r="AG66" s="52">
        <v>35</v>
      </c>
    </row>
    <row r="67" spans="1:35" hidden="1" outlineLevel="1">
      <c r="A67" s="96">
        <v>45665</v>
      </c>
      <c r="B67" s="17" t="s">
        <v>20</v>
      </c>
      <c r="C67" s="101">
        <v>78</v>
      </c>
      <c r="D67" s="100">
        <f t="shared" si="3"/>
        <v>78</v>
      </c>
      <c r="E67" s="22">
        <f t="shared" si="36"/>
        <v>30</v>
      </c>
      <c r="G67" s="17"/>
      <c r="I67" s="51">
        <f>M68</f>
        <v>0</v>
      </c>
      <c r="J67" s="18"/>
      <c r="K67" s="23">
        <f t="shared" si="15"/>
        <v>0</v>
      </c>
      <c r="M67" s="78">
        <v>0</v>
      </c>
      <c r="N67" s="65">
        <f t="shared" si="45"/>
        <v>0</v>
      </c>
      <c r="O67" s="101"/>
      <c r="P67" s="21"/>
      <c r="Q67" s="191"/>
      <c r="R67" s="23">
        <f t="shared" si="46"/>
        <v>0</v>
      </c>
      <c r="S67" s="52">
        <f t="shared" si="47"/>
        <v>0</v>
      </c>
      <c r="U67" s="51">
        <f t="shared" si="48"/>
        <v>78</v>
      </c>
      <c r="V67" s="23">
        <v>78</v>
      </c>
      <c r="W67" s="23">
        <f t="shared" si="44"/>
        <v>30</v>
      </c>
      <c r="Y67" s="78">
        <v>81</v>
      </c>
      <c r="Z67" s="62">
        <f>U66+AA67</f>
        <v>78</v>
      </c>
      <c r="AA67" s="20"/>
      <c r="AB67" s="21"/>
      <c r="AC67" s="57">
        <v>78</v>
      </c>
      <c r="AD67" s="23">
        <f t="shared" si="37"/>
        <v>-204</v>
      </c>
      <c r="AE67" s="23">
        <f t="shared" si="38"/>
        <v>-204</v>
      </c>
      <c r="AF67" s="23"/>
      <c r="AG67" s="52">
        <v>30</v>
      </c>
    </row>
    <row r="68" spans="1:35" hidden="1" outlineLevel="1">
      <c r="A68" s="96">
        <v>45666</v>
      </c>
      <c r="B68" s="17" t="s">
        <v>14</v>
      </c>
      <c r="C68" s="101">
        <v>78</v>
      </c>
      <c r="D68" s="100">
        <f t="shared" ref="D68:D85" si="49">J68+V68</f>
        <v>78</v>
      </c>
      <c r="E68" s="22">
        <f t="shared" si="36"/>
        <v>30</v>
      </c>
      <c r="G68" s="17"/>
      <c r="I68" s="51">
        <f>M69</f>
        <v>0</v>
      </c>
      <c r="J68" s="18"/>
      <c r="K68" s="23">
        <f t="shared" si="15"/>
        <v>0</v>
      </c>
      <c r="M68" s="78">
        <v>0</v>
      </c>
      <c r="N68" s="65">
        <f t="shared" si="45"/>
        <v>0</v>
      </c>
      <c r="O68" s="101"/>
      <c r="P68" s="21"/>
      <c r="Q68" s="191"/>
      <c r="R68" s="23">
        <f t="shared" si="46"/>
        <v>0</v>
      </c>
      <c r="S68" s="52">
        <f t="shared" si="47"/>
        <v>0</v>
      </c>
      <c r="U68" s="51">
        <f t="shared" si="48"/>
        <v>78</v>
      </c>
      <c r="V68" s="23">
        <v>78</v>
      </c>
      <c r="W68" s="23">
        <f t="shared" si="44"/>
        <v>30</v>
      </c>
      <c r="Y68" s="78">
        <v>81</v>
      </c>
      <c r="Z68" s="62">
        <f>U67+AA68</f>
        <v>78</v>
      </c>
      <c r="AA68" s="20"/>
      <c r="AB68" s="21"/>
      <c r="AC68" s="57">
        <v>78</v>
      </c>
      <c r="AD68" s="23">
        <f t="shared" si="37"/>
        <v>-207</v>
      </c>
      <c r="AE68" s="23">
        <f t="shared" si="38"/>
        <v>-207</v>
      </c>
      <c r="AF68" s="23"/>
      <c r="AG68" s="52">
        <v>25</v>
      </c>
    </row>
    <row r="69" spans="1:35" hidden="1" outlineLevel="1">
      <c r="A69" s="96">
        <v>45667</v>
      </c>
      <c r="B69" s="17" t="s">
        <v>15</v>
      </c>
      <c r="C69" s="101">
        <v>78</v>
      </c>
      <c r="D69" s="100">
        <f t="shared" si="49"/>
        <v>69</v>
      </c>
      <c r="E69" s="22">
        <f t="shared" si="36"/>
        <v>21</v>
      </c>
      <c r="G69" s="17"/>
      <c r="I69" s="51">
        <f>M73</f>
        <v>0</v>
      </c>
      <c r="J69" s="18"/>
      <c r="K69" s="23">
        <f t="shared" si="15"/>
        <v>0</v>
      </c>
      <c r="M69" s="78">
        <v>0</v>
      </c>
      <c r="N69" s="65">
        <f t="shared" si="45"/>
        <v>0</v>
      </c>
      <c r="O69" s="101"/>
      <c r="P69" s="21"/>
      <c r="Q69" s="191"/>
      <c r="R69" s="23">
        <f t="shared" si="46"/>
        <v>0</v>
      </c>
      <c r="S69" s="52">
        <f t="shared" si="47"/>
        <v>0</v>
      </c>
      <c r="U69" s="51">
        <f t="shared" si="48"/>
        <v>78</v>
      </c>
      <c r="V69" s="23">
        <v>69</v>
      </c>
      <c r="W69" s="23">
        <f t="shared" si="44"/>
        <v>21</v>
      </c>
      <c r="Y69" s="78">
        <v>78</v>
      </c>
      <c r="Z69" s="62">
        <f>U68+AA69</f>
        <v>78</v>
      </c>
      <c r="AA69" s="20"/>
      <c r="AB69" s="21"/>
      <c r="AC69" s="57">
        <v>78</v>
      </c>
      <c r="AD69" s="23">
        <f t="shared" si="37"/>
        <v>-207</v>
      </c>
      <c r="AE69" s="23">
        <f t="shared" si="38"/>
        <v>-207</v>
      </c>
      <c r="AF69" s="23"/>
      <c r="AG69" s="52"/>
      <c r="AI69">
        <f>SUM(M65:M69,Y65:Y69)/5</f>
        <v>86.4</v>
      </c>
    </row>
    <row r="70" spans="1:35" s="12" customFormat="1" hidden="1" outlineLevel="1">
      <c r="A70" s="95">
        <v>45668</v>
      </c>
      <c r="B70" s="25" t="s">
        <v>16</v>
      </c>
      <c r="C70" s="98"/>
      <c r="D70" s="99">
        <f t="shared" si="49"/>
        <v>0</v>
      </c>
      <c r="E70" s="87">
        <f t="shared" si="36"/>
        <v>21</v>
      </c>
      <c r="G70" s="25"/>
      <c r="I70" s="53"/>
      <c r="J70" s="26"/>
      <c r="K70" s="29">
        <f t="shared" si="15"/>
        <v>0</v>
      </c>
      <c r="M70" s="79"/>
      <c r="N70" s="66"/>
      <c r="O70" s="98"/>
      <c r="P70" s="28"/>
      <c r="Q70" s="230"/>
      <c r="R70" s="29">
        <f t="shared" si="46"/>
        <v>0</v>
      </c>
      <c r="S70" s="54">
        <f t="shared" si="47"/>
        <v>0</v>
      </c>
      <c r="U70" s="53"/>
      <c r="V70" s="29"/>
      <c r="W70" s="29">
        <f t="shared" si="44"/>
        <v>21</v>
      </c>
      <c r="Y70" s="79"/>
      <c r="Z70" s="63"/>
      <c r="AA70" s="27"/>
      <c r="AB70" s="28"/>
      <c r="AC70" s="43"/>
      <c r="AD70" s="29">
        <f t="shared" si="37"/>
        <v>-207</v>
      </c>
      <c r="AE70" s="29">
        <f t="shared" si="38"/>
        <v>-207</v>
      </c>
      <c r="AF70" s="29"/>
      <c r="AG70" s="54"/>
    </row>
    <row r="71" spans="1:35" s="12" customFormat="1" hidden="1" outlineLevel="1">
      <c r="A71" s="95">
        <v>45669</v>
      </c>
      <c r="B71" s="25" t="s">
        <v>17</v>
      </c>
      <c r="C71" s="98"/>
      <c r="D71" s="99">
        <f t="shared" si="49"/>
        <v>0</v>
      </c>
      <c r="E71" s="87">
        <f t="shared" si="36"/>
        <v>21</v>
      </c>
      <c r="G71" s="25"/>
      <c r="I71" s="53"/>
      <c r="J71" s="26"/>
      <c r="K71" s="29">
        <f t="shared" si="15"/>
        <v>0</v>
      </c>
      <c r="M71" s="79"/>
      <c r="N71" s="66"/>
      <c r="O71" s="98"/>
      <c r="P71" s="28"/>
      <c r="Q71" s="230"/>
      <c r="R71" s="29">
        <f t="shared" si="46"/>
        <v>0</v>
      </c>
      <c r="S71" s="54">
        <f t="shared" si="47"/>
        <v>0</v>
      </c>
      <c r="U71" s="53"/>
      <c r="V71" s="29"/>
      <c r="W71" s="29">
        <f t="shared" si="44"/>
        <v>21</v>
      </c>
      <c r="Y71" s="79"/>
      <c r="Z71" s="63"/>
      <c r="AA71" s="27"/>
      <c r="AB71" s="28"/>
      <c r="AC71" s="43"/>
      <c r="AD71" s="29">
        <f t="shared" si="37"/>
        <v>-207</v>
      </c>
      <c r="AE71" s="29">
        <f t="shared" si="38"/>
        <v>-207</v>
      </c>
      <c r="AF71" s="29"/>
      <c r="AG71" s="54"/>
    </row>
    <row r="72" spans="1:35" s="12" customFormat="1" hidden="1" outlineLevel="1" collapsed="1">
      <c r="A72" s="95">
        <v>45670</v>
      </c>
      <c r="B72" s="25" t="s">
        <v>18</v>
      </c>
      <c r="C72" s="98"/>
      <c r="D72" s="99">
        <f t="shared" si="49"/>
        <v>32</v>
      </c>
      <c r="E72" s="87">
        <f t="shared" si="36"/>
        <v>53</v>
      </c>
      <c r="G72" s="25"/>
      <c r="I72" s="53"/>
      <c r="J72" s="26"/>
      <c r="K72" s="29">
        <f t="shared" si="15"/>
        <v>0</v>
      </c>
      <c r="M72" s="79"/>
      <c r="N72" s="66"/>
      <c r="O72" s="98"/>
      <c r="P72" s="28"/>
      <c r="Q72" s="230"/>
      <c r="R72" s="29">
        <f t="shared" si="46"/>
        <v>0</v>
      </c>
      <c r="S72" s="54">
        <f t="shared" si="47"/>
        <v>0</v>
      </c>
      <c r="U72" s="53"/>
      <c r="V72" s="29">
        <v>32</v>
      </c>
      <c r="W72" s="29">
        <f t="shared" si="44"/>
        <v>53</v>
      </c>
      <c r="Y72" s="79"/>
      <c r="Z72" s="63"/>
      <c r="AA72" s="27"/>
      <c r="AB72" s="28"/>
      <c r="AC72" s="43"/>
      <c r="AD72" s="29">
        <f t="shared" si="37"/>
        <v>-207</v>
      </c>
      <c r="AE72" s="29">
        <f t="shared" si="38"/>
        <v>-207</v>
      </c>
      <c r="AF72" s="29"/>
      <c r="AG72" s="54"/>
    </row>
    <row r="73" spans="1:35" hidden="1" outlineLevel="1">
      <c r="A73" s="96">
        <v>45671</v>
      </c>
      <c r="B73" s="17" t="s">
        <v>19</v>
      </c>
      <c r="C73" s="101">
        <v>78</v>
      </c>
      <c r="D73" s="100">
        <f t="shared" si="49"/>
        <v>68</v>
      </c>
      <c r="E73" s="22">
        <f t="shared" si="36"/>
        <v>43</v>
      </c>
      <c r="G73" s="17"/>
      <c r="I73" s="51">
        <f>M74</f>
        <v>0</v>
      </c>
      <c r="J73" s="18"/>
      <c r="K73" s="23">
        <f t="shared" si="15"/>
        <v>0</v>
      </c>
      <c r="M73" s="78">
        <v>0</v>
      </c>
      <c r="N73" s="65">
        <f t="shared" ref="N73:N76" si="50">M73</f>
        <v>0</v>
      </c>
      <c r="O73" s="101"/>
      <c r="P73" s="21"/>
      <c r="Q73" s="191"/>
      <c r="R73" s="23">
        <f t="shared" si="46"/>
        <v>0</v>
      </c>
      <c r="S73" s="52">
        <f t="shared" si="47"/>
        <v>0</v>
      </c>
      <c r="U73" s="51">
        <f t="shared" ref="U73:U76" si="51">C73-I73</f>
        <v>78</v>
      </c>
      <c r="V73" s="23">
        <v>68</v>
      </c>
      <c r="W73" s="23">
        <f t="shared" si="44"/>
        <v>43</v>
      </c>
      <c r="Y73" s="78">
        <v>96</v>
      </c>
      <c r="Z73" s="62">
        <f>U69+AA73</f>
        <v>78</v>
      </c>
      <c r="AA73" s="20"/>
      <c r="AB73" s="21"/>
      <c r="AC73" s="57">
        <v>78</v>
      </c>
      <c r="AD73" s="23">
        <f t="shared" si="37"/>
        <v>-225</v>
      </c>
      <c r="AE73" s="23">
        <f t="shared" si="38"/>
        <v>-225</v>
      </c>
      <c r="AF73" s="23"/>
      <c r="AG73" s="52">
        <f>50+10</f>
        <v>60</v>
      </c>
    </row>
    <row r="74" spans="1:35" hidden="1" outlineLevel="1">
      <c r="A74" s="96">
        <v>45672</v>
      </c>
      <c r="B74" s="17" t="s">
        <v>20</v>
      </c>
      <c r="C74" s="101">
        <v>78</v>
      </c>
      <c r="D74" s="100">
        <f t="shared" si="49"/>
        <v>64</v>
      </c>
      <c r="E74" s="22">
        <f t="shared" si="36"/>
        <v>29</v>
      </c>
      <c r="G74" s="17"/>
      <c r="I74" s="51">
        <f>M75</f>
        <v>0</v>
      </c>
      <c r="J74" s="18"/>
      <c r="K74" s="23">
        <f t="shared" si="15"/>
        <v>0</v>
      </c>
      <c r="M74" s="78">
        <v>0</v>
      </c>
      <c r="N74" s="65">
        <f t="shared" si="50"/>
        <v>0</v>
      </c>
      <c r="O74" s="101"/>
      <c r="P74" s="21"/>
      <c r="Q74" s="191"/>
      <c r="R74" s="23">
        <f t="shared" si="46"/>
        <v>0</v>
      </c>
      <c r="S74" s="52">
        <f t="shared" si="47"/>
        <v>0</v>
      </c>
      <c r="U74" s="51">
        <f t="shared" si="51"/>
        <v>78</v>
      </c>
      <c r="V74" s="23">
        <v>64</v>
      </c>
      <c r="W74" s="23">
        <f t="shared" si="44"/>
        <v>29</v>
      </c>
      <c r="Y74" s="78">
        <v>78</v>
      </c>
      <c r="Z74" s="62">
        <f>U73+AA74</f>
        <v>78</v>
      </c>
      <c r="AA74" s="20"/>
      <c r="AB74" s="21"/>
      <c r="AC74" s="57">
        <v>78</v>
      </c>
      <c r="AD74" s="23">
        <f t="shared" si="37"/>
        <v>-225</v>
      </c>
      <c r="AE74" s="23">
        <f t="shared" si="38"/>
        <v>-225</v>
      </c>
      <c r="AF74" s="23"/>
      <c r="AG74" s="52">
        <v>25</v>
      </c>
    </row>
    <row r="75" spans="1:35" hidden="1" outlineLevel="1">
      <c r="A75" s="96">
        <v>45673</v>
      </c>
      <c r="B75" s="17" t="s">
        <v>14</v>
      </c>
      <c r="C75" s="101">
        <v>78</v>
      </c>
      <c r="D75" s="100">
        <f t="shared" si="49"/>
        <v>68</v>
      </c>
      <c r="E75" s="22">
        <f t="shared" si="36"/>
        <v>19</v>
      </c>
      <c r="G75" s="17"/>
      <c r="I75" s="51">
        <f>M76</f>
        <v>0</v>
      </c>
      <c r="J75" s="18"/>
      <c r="K75" s="23">
        <f t="shared" ref="K75:K90" si="52">J75-I75+K74</f>
        <v>0</v>
      </c>
      <c r="M75" s="78">
        <v>0</v>
      </c>
      <c r="N75" s="65">
        <f t="shared" si="50"/>
        <v>0</v>
      </c>
      <c r="O75" s="101"/>
      <c r="P75" s="21"/>
      <c r="Q75" s="191"/>
      <c r="R75" s="23">
        <f t="shared" si="46"/>
        <v>0</v>
      </c>
      <c r="S75" s="52">
        <f t="shared" si="47"/>
        <v>0</v>
      </c>
      <c r="U75" s="51">
        <f t="shared" si="51"/>
        <v>78</v>
      </c>
      <c r="V75" s="23">
        <v>68</v>
      </c>
      <c r="W75" s="23">
        <f t="shared" si="44"/>
        <v>19</v>
      </c>
      <c r="Y75" s="78">
        <v>84</v>
      </c>
      <c r="Z75" s="62">
        <f>U74+AA75</f>
        <v>78</v>
      </c>
      <c r="AA75" s="20"/>
      <c r="AB75" s="21"/>
      <c r="AC75" s="57">
        <v>78</v>
      </c>
      <c r="AD75" s="23">
        <f t="shared" si="37"/>
        <v>-231</v>
      </c>
      <c r="AE75" s="23">
        <f t="shared" si="38"/>
        <v>-231</v>
      </c>
      <c r="AF75" s="23"/>
      <c r="AG75" s="52">
        <v>30</v>
      </c>
    </row>
    <row r="76" spans="1:35" hidden="1" outlineLevel="1">
      <c r="A76" s="96">
        <v>45674</v>
      </c>
      <c r="B76" s="17" t="s">
        <v>15</v>
      </c>
      <c r="C76" s="101">
        <v>78</v>
      </c>
      <c r="D76" s="100">
        <f t="shared" si="49"/>
        <v>70</v>
      </c>
      <c r="E76" s="22">
        <f t="shared" si="36"/>
        <v>11</v>
      </c>
      <c r="G76" s="17"/>
      <c r="I76" s="51">
        <f>M79</f>
        <v>0</v>
      </c>
      <c r="J76" s="18"/>
      <c r="K76" s="23">
        <f t="shared" si="52"/>
        <v>0</v>
      </c>
      <c r="M76" s="78">
        <v>0</v>
      </c>
      <c r="N76" s="65">
        <f t="shared" si="50"/>
        <v>0</v>
      </c>
      <c r="O76" s="101"/>
      <c r="P76" s="21"/>
      <c r="Q76" s="191"/>
      <c r="R76" s="23">
        <f t="shared" si="46"/>
        <v>0</v>
      </c>
      <c r="S76" s="52">
        <f t="shared" si="47"/>
        <v>0</v>
      </c>
      <c r="U76" s="51">
        <f t="shared" si="51"/>
        <v>78</v>
      </c>
      <c r="V76" s="23">
        <v>70</v>
      </c>
      <c r="W76" s="23">
        <f t="shared" si="44"/>
        <v>11</v>
      </c>
      <c r="Y76" s="78">
        <v>249</v>
      </c>
      <c r="Z76" s="62">
        <f t="shared" ref="Z76" si="53">U75+AA76</f>
        <v>78</v>
      </c>
      <c r="AA76" s="20"/>
      <c r="AB76" s="21"/>
      <c r="AC76" s="57">
        <v>78</v>
      </c>
      <c r="AD76" s="23">
        <f t="shared" si="37"/>
        <v>-402</v>
      </c>
      <c r="AE76" s="23">
        <f t="shared" si="38"/>
        <v>-402</v>
      </c>
      <c r="AF76" s="23"/>
      <c r="AG76" s="52">
        <v>20</v>
      </c>
      <c r="AI76">
        <f>SUM(M73:M76,Y73:Y76)/4</f>
        <v>126.75</v>
      </c>
    </row>
    <row r="77" spans="1:35" s="12" customFormat="1" hidden="1" outlineLevel="1">
      <c r="A77" s="95">
        <v>45675</v>
      </c>
      <c r="B77" s="25" t="s">
        <v>16</v>
      </c>
      <c r="C77" s="98"/>
      <c r="D77" s="99">
        <f t="shared" si="49"/>
        <v>0</v>
      </c>
      <c r="E77" s="87">
        <f t="shared" si="36"/>
        <v>11</v>
      </c>
      <c r="G77" s="25"/>
      <c r="I77" s="53"/>
      <c r="J77" s="26"/>
      <c r="K77" s="29">
        <f t="shared" si="52"/>
        <v>0</v>
      </c>
      <c r="M77" s="79"/>
      <c r="N77" s="66"/>
      <c r="O77" s="98"/>
      <c r="P77" s="28"/>
      <c r="Q77" s="230"/>
      <c r="R77" s="29">
        <f t="shared" si="46"/>
        <v>0</v>
      </c>
      <c r="S77" s="54">
        <f t="shared" si="47"/>
        <v>0</v>
      </c>
      <c r="U77" s="53"/>
      <c r="V77" s="29"/>
      <c r="W77" s="29">
        <f t="shared" si="44"/>
        <v>11</v>
      </c>
      <c r="Y77" s="79"/>
      <c r="Z77" s="63"/>
      <c r="AA77" s="27"/>
      <c r="AB77" s="28"/>
      <c r="AC77" s="43"/>
      <c r="AD77" s="29">
        <f t="shared" si="37"/>
        <v>-402</v>
      </c>
      <c r="AE77" s="29">
        <f t="shared" si="38"/>
        <v>-402</v>
      </c>
      <c r="AF77" s="29"/>
      <c r="AG77" s="54"/>
    </row>
    <row r="78" spans="1:35" s="12" customFormat="1" hidden="1" outlineLevel="1" collapsed="1">
      <c r="A78" s="95">
        <v>45676</v>
      </c>
      <c r="B78" s="25" t="s">
        <v>17</v>
      </c>
      <c r="C78" s="98"/>
      <c r="D78" s="99">
        <f t="shared" si="49"/>
        <v>0</v>
      </c>
      <c r="E78" s="87">
        <f t="shared" si="36"/>
        <v>11</v>
      </c>
      <c r="G78" s="25"/>
      <c r="I78" s="53"/>
      <c r="J78" s="26"/>
      <c r="K78" s="29">
        <f t="shared" si="52"/>
        <v>0</v>
      </c>
      <c r="M78" s="79"/>
      <c r="N78" s="66"/>
      <c r="O78" s="98"/>
      <c r="P78" s="28"/>
      <c r="Q78" s="230"/>
      <c r="R78" s="29">
        <f t="shared" si="46"/>
        <v>0</v>
      </c>
      <c r="S78" s="54">
        <f t="shared" si="47"/>
        <v>0</v>
      </c>
      <c r="U78" s="53"/>
      <c r="V78" s="29"/>
      <c r="W78" s="29">
        <f t="shared" si="44"/>
        <v>11</v>
      </c>
      <c r="Y78" s="79"/>
      <c r="Z78" s="63"/>
      <c r="AA78" s="27"/>
      <c r="AB78" s="28"/>
      <c r="AC78" s="43"/>
      <c r="AD78" s="29">
        <f t="shared" si="37"/>
        <v>-402</v>
      </c>
      <c r="AE78" s="29">
        <f t="shared" si="38"/>
        <v>-402</v>
      </c>
      <c r="AF78" s="29"/>
      <c r="AG78" s="54"/>
    </row>
    <row r="79" spans="1:35" hidden="1" outlineLevel="1">
      <c r="A79" s="96">
        <v>45677</v>
      </c>
      <c r="B79" s="17" t="s">
        <v>18</v>
      </c>
      <c r="C79" s="101">
        <v>78</v>
      </c>
      <c r="D79" s="100">
        <f t="shared" si="49"/>
        <v>78</v>
      </c>
      <c r="E79" s="22">
        <f t="shared" si="36"/>
        <v>11</v>
      </c>
      <c r="G79" s="17"/>
      <c r="I79" s="51">
        <f>M80</f>
        <v>0</v>
      </c>
      <c r="J79" s="18"/>
      <c r="K79" s="23">
        <f t="shared" si="52"/>
        <v>0</v>
      </c>
      <c r="M79" s="78">
        <v>0</v>
      </c>
      <c r="N79" s="65">
        <f t="shared" ref="N79:N83" si="54">M79</f>
        <v>0</v>
      </c>
      <c r="O79" s="101"/>
      <c r="P79" s="21"/>
      <c r="Q79" s="191"/>
      <c r="R79" s="23">
        <f t="shared" si="46"/>
        <v>0</v>
      </c>
      <c r="S79" s="52">
        <f t="shared" si="47"/>
        <v>0</v>
      </c>
      <c r="U79" s="51">
        <f t="shared" ref="U79:U83" si="55">C79-I79</f>
        <v>78</v>
      </c>
      <c r="V79" s="23">
        <v>78</v>
      </c>
      <c r="W79" s="23">
        <f t="shared" si="44"/>
        <v>11</v>
      </c>
      <c r="Y79" s="78">
        <v>81</v>
      </c>
      <c r="Z79" s="62">
        <f>U76+AA79</f>
        <v>78</v>
      </c>
      <c r="AA79" s="20"/>
      <c r="AB79" s="21"/>
      <c r="AC79" s="57">
        <v>78</v>
      </c>
      <c r="AD79" s="23">
        <f t="shared" si="37"/>
        <v>-405</v>
      </c>
      <c r="AE79" s="23">
        <f t="shared" si="38"/>
        <v>-405</v>
      </c>
      <c r="AF79" s="23"/>
      <c r="AG79" s="52">
        <v>25</v>
      </c>
    </row>
    <row r="80" spans="1:35" hidden="1" outlineLevel="1">
      <c r="A80" s="96">
        <v>45678</v>
      </c>
      <c r="B80" s="17" t="s">
        <v>19</v>
      </c>
      <c r="C80" s="101">
        <v>78</v>
      </c>
      <c r="D80" s="100">
        <f t="shared" si="49"/>
        <v>78</v>
      </c>
      <c r="E80" s="22">
        <f t="shared" si="36"/>
        <v>11</v>
      </c>
      <c r="G80" s="17"/>
      <c r="I80" s="51">
        <f>M81</f>
        <v>0</v>
      </c>
      <c r="J80" s="18"/>
      <c r="K80" s="23">
        <f t="shared" si="52"/>
        <v>0</v>
      </c>
      <c r="M80" s="78">
        <v>0</v>
      </c>
      <c r="N80" s="65">
        <f t="shared" si="54"/>
        <v>0</v>
      </c>
      <c r="O80" s="101"/>
      <c r="P80" s="21"/>
      <c r="Q80" s="191"/>
      <c r="R80" s="23">
        <f t="shared" si="46"/>
        <v>0</v>
      </c>
      <c r="S80" s="52">
        <f t="shared" si="47"/>
        <v>0</v>
      </c>
      <c r="U80" s="51">
        <f t="shared" si="55"/>
        <v>78</v>
      </c>
      <c r="V80" s="23">
        <v>78</v>
      </c>
      <c r="W80" s="23">
        <f t="shared" si="44"/>
        <v>11</v>
      </c>
      <c r="Y80" s="78">
        <v>90</v>
      </c>
      <c r="Z80" s="62">
        <f t="shared" ref="Z80:Z83" si="56">U79+AA80</f>
        <v>78</v>
      </c>
      <c r="AA80" s="20"/>
      <c r="AB80" s="21"/>
      <c r="AC80" s="57">
        <v>78</v>
      </c>
      <c r="AD80" s="23">
        <f t="shared" si="37"/>
        <v>-417</v>
      </c>
      <c r="AE80" s="23">
        <f t="shared" si="38"/>
        <v>-417</v>
      </c>
      <c r="AF80" s="23"/>
      <c r="AG80" s="52">
        <v>20</v>
      </c>
    </row>
    <row r="81" spans="1:35" hidden="1" outlineLevel="1">
      <c r="A81" s="96">
        <v>45679</v>
      </c>
      <c r="B81" s="17" t="s">
        <v>20</v>
      </c>
      <c r="C81" s="101">
        <v>78</v>
      </c>
      <c r="D81" s="100">
        <f t="shared" si="49"/>
        <v>85</v>
      </c>
      <c r="E81" s="22">
        <f t="shared" si="36"/>
        <v>18</v>
      </c>
      <c r="G81" s="17"/>
      <c r="I81" s="51">
        <f>M82</f>
        <v>3</v>
      </c>
      <c r="J81" s="18">
        <v>3</v>
      </c>
      <c r="K81" s="23">
        <f t="shared" si="52"/>
        <v>0</v>
      </c>
      <c r="M81" s="78">
        <v>0</v>
      </c>
      <c r="N81" s="65">
        <f t="shared" si="54"/>
        <v>0</v>
      </c>
      <c r="O81" s="101"/>
      <c r="P81" s="21"/>
      <c r="Q81" s="191"/>
      <c r="R81" s="23">
        <f t="shared" si="46"/>
        <v>0</v>
      </c>
      <c r="S81" s="52">
        <f t="shared" si="47"/>
        <v>0</v>
      </c>
      <c r="U81" s="51">
        <f t="shared" si="55"/>
        <v>75</v>
      </c>
      <c r="V81" s="23">
        <v>82</v>
      </c>
      <c r="W81" s="23">
        <f t="shared" si="44"/>
        <v>18</v>
      </c>
      <c r="Y81" s="78">
        <v>69</v>
      </c>
      <c r="Z81" s="62">
        <f t="shared" si="56"/>
        <v>78</v>
      </c>
      <c r="AA81" s="20"/>
      <c r="AB81" s="21"/>
      <c r="AC81" s="57">
        <v>78</v>
      </c>
      <c r="AD81" s="23">
        <f t="shared" si="37"/>
        <v>-408</v>
      </c>
      <c r="AE81" s="23">
        <f t="shared" si="38"/>
        <v>-408</v>
      </c>
      <c r="AF81" s="23"/>
      <c r="AG81" s="52">
        <v>20</v>
      </c>
    </row>
    <row r="82" spans="1:35" hidden="1" outlineLevel="1">
      <c r="A82" s="96">
        <v>45680</v>
      </c>
      <c r="B82" s="17" t="s">
        <v>14</v>
      </c>
      <c r="C82" s="101">
        <v>78</v>
      </c>
      <c r="D82" s="100">
        <f t="shared" si="49"/>
        <v>110</v>
      </c>
      <c r="E82" s="22">
        <f t="shared" si="36"/>
        <v>50</v>
      </c>
      <c r="G82" s="17"/>
      <c r="I82" s="51">
        <f>M83</f>
        <v>0</v>
      </c>
      <c r="J82" s="18"/>
      <c r="K82" s="23">
        <f t="shared" si="52"/>
        <v>0</v>
      </c>
      <c r="M82" s="78">
        <v>3</v>
      </c>
      <c r="N82" s="65">
        <f t="shared" si="54"/>
        <v>3</v>
      </c>
      <c r="O82" s="101"/>
      <c r="P82" s="21"/>
      <c r="Q82" s="192">
        <v>3</v>
      </c>
      <c r="R82" s="23">
        <f t="shared" si="46"/>
        <v>0</v>
      </c>
      <c r="S82" s="52">
        <f t="shared" si="47"/>
        <v>0</v>
      </c>
      <c r="U82" s="51">
        <f t="shared" si="55"/>
        <v>78</v>
      </c>
      <c r="V82" s="23">
        <v>110</v>
      </c>
      <c r="W82" s="23">
        <f t="shared" si="44"/>
        <v>50</v>
      </c>
      <c r="Y82" s="78">
        <v>72</v>
      </c>
      <c r="Z82" s="62">
        <f>U81+AA82</f>
        <v>141</v>
      </c>
      <c r="AA82" s="20">
        <f>66</f>
        <v>66</v>
      </c>
      <c r="AB82" s="21"/>
      <c r="AC82" s="57">
        <v>141</v>
      </c>
      <c r="AD82" s="23">
        <f t="shared" si="37"/>
        <v>-339</v>
      </c>
      <c r="AE82" s="23">
        <f t="shared" si="38"/>
        <v>-339</v>
      </c>
      <c r="AF82" s="23"/>
      <c r="AG82" s="52">
        <v>30</v>
      </c>
    </row>
    <row r="83" spans="1:35" hidden="1" outlineLevel="1">
      <c r="A83" s="96">
        <v>45681</v>
      </c>
      <c r="B83" s="17" t="s">
        <v>15</v>
      </c>
      <c r="C83" s="101">
        <v>78</v>
      </c>
      <c r="D83" s="100">
        <f t="shared" si="49"/>
        <v>104</v>
      </c>
      <c r="E83" s="22">
        <f t="shared" si="36"/>
        <v>76</v>
      </c>
      <c r="G83" s="17"/>
      <c r="I83" s="51">
        <f>M86</f>
        <v>3</v>
      </c>
      <c r="J83" s="18">
        <v>3</v>
      </c>
      <c r="K83" s="23">
        <f t="shared" si="52"/>
        <v>0</v>
      </c>
      <c r="M83" s="78">
        <v>0</v>
      </c>
      <c r="N83" s="65">
        <f t="shared" si="54"/>
        <v>0</v>
      </c>
      <c r="O83" s="101"/>
      <c r="P83" s="21"/>
      <c r="Q83" s="191"/>
      <c r="R83" s="23">
        <f t="shared" si="46"/>
        <v>0</v>
      </c>
      <c r="S83" s="52">
        <f t="shared" si="47"/>
        <v>0</v>
      </c>
      <c r="U83" s="51">
        <f t="shared" si="55"/>
        <v>75</v>
      </c>
      <c r="V83" s="23">
        <v>101</v>
      </c>
      <c r="W83" s="23">
        <f t="shared" si="44"/>
        <v>76</v>
      </c>
      <c r="Y83" s="78">
        <v>72</v>
      </c>
      <c r="Z83" s="62">
        <f t="shared" si="56"/>
        <v>93</v>
      </c>
      <c r="AA83" s="20">
        <f>63+30-78</f>
        <v>15</v>
      </c>
      <c r="AB83" s="21"/>
      <c r="AC83" s="57">
        <v>93</v>
      </c>
      <c r="AD83" s="23">
        <f t="shared" si="37"/>
        <v>-318</v>
      </c>
      <c r="AE83" s="23">
        <f t="shared" si="38"/>
        <v>-318</v>
      </c>
      <c r="AF83" s="23"/>
      <c r="AG83" s="52">
        <v>30</v>
      </c>
      <c r="AI83">
        <f>SUM(M79:M83,Y79:Y83)/5</f>
        <v>77.400000000000006</v>
      </c>
    </row>
    <row r="84" spans="1:35" s="12" customFormat="1" hidden="1" outlineLevel="1">
      <c r="A84" s="95">
        <v>45682</v>
      </c>
      <c r="B84" s="25" t="s">
        <v>16</v>
      </c>
      <c r="C84" s="98"/>
      <c r="D84" s="99">
        <v>78</v>
      </c>
      <c r="E84" s="87">
        <f t="shared" si="36"/>
        <v>154</v>
      </c>
      <c r="G84" s="25"/>
      <c r="I84" s="53"/>
      <c r="J84" s="26"/>
      <c r="K84" s="29">
        <f t="shared" si="52"/>
        <v>0</v>
      </c>
      <c r="M84" s="79"/>
      <c r="N84" s="66"/>
      <c r="O84" s="98"/>
      <c r="P84" s="28"/>
      <c r="Q84" s="230"/>
      <c r="R84" s="29">
        <f t="shared" si="46"/>
        <v>0</v>
      </c>
      <c r="S84" s="54">
        <f t="shared" si="47"/>
        <v>0</v>
      </c>
      <c r="U84" s="53"/>
      <c r="V84" s="29"/>
      <c r="W84" s="29">
        <f t="shared" si="44"/>
        <v>76</v>
      </c>
      <c r="Y84" s="79"/>
      <c r="Z84" s="63"/>
      <c r="AA84" s="27"/>
      <c r="AB84" s="28"/>
      <c r="AC84" s="43"/>
      <c r="AD84" s="29">
        <f t="shared" si="37"/>
        <v>-318</v>
      </c>
      <c r="AE84" s="29">
        <f t="shared" si="38"/>
        <v>-318</v>
      </c>
      <c r="AF84" s="29"/>
      <c r="AG84" s="54"/>
    </row>
    <row r="85" spans="1:35" s="12" customFormat="1" hidden="1" outlineLevel="1" collapsed="1">
      <c r="A85" s="95">
        <v>45683</v>
      </c>
      <c r="B85" s="25" t="s">
        <v>17</v>
      </c>
      <c r="C85" s="98"/>
      <c r="D85" s="99">
        <f t="shared" si="49"/>
        <v>0</v>
      </c>
      <c r="E85" s="87">
        <f t="shared" si="36"/>
        <v>154</v>
      </c>
      <c r="G85" s="25"/>
      <c r="I85" s="53"/>
      <c r="J85" s="26"/>
      <c r="K85" s="29">
        <f t="shared" si="52"/>
        <v>0</v>
      </c>
      <c r="M85" s="79"/>
      <c r="N85" s="66"/>
      <c r="O85" s="98"/>
      <c r="P85" s="28"/>
      <c r="Q85" s="230"/>
      <c r="R85" s="29">
        <f t="shared" si="46"/>
        <v>0</v>
      </c>
      <c r="S85" s="54">
        <f t="shared" si="47"/>
        <v>0</v>
      </c>
      <c r="U85" s="53"/>
      <c r="V85" s="29"/>
      <c r="W85" s="29">
        <f t="shared" si="44"/>
        <v>76</v>
      </c>
      <c r="Y85" s="79"/>
      <c r="Z85" s="63"/>
      <c r="AA85" s="27"/>
      <c r="AB85" s="28"/>
      <c r="AC85" s="43"/>
      <c r="AD85" s="29">
        <f t="shared" si="37"/>
        <v>-318</v>
      </c>
      <c r="AE85" s="29">
        <f t="shared" si="38"/>
        <v>-318</v>
      </c>
      <c r="AF85" s="29"/>
      <c r="AG85" s="54"/>
    </row>
    <row r="86" spans="1:35" hidden="1" outlineLevel="1">
      <c r="A86" s="96">
        <v>45684</v>
      </c>
      <c r="B86" s="17" t="s">
        <v>18</v>
      </c>
      <c r="C86" s="101">
        <v>78</v>
      </c>
      <c r="D86" s="100">
        <f>J86+V86</f>
        <v>47</v>
      </c>
      <c r="E86" s="22">
        <f t="shared" si="36"/>
        <v>123</v>
      </c>
      <c r="G86" s="17"/>
      <c r="I86" s="51">
        <f>M87</f>
        <v>6</v>
      </c>
      <c r="J86" s="18">
        <v>6</v>
      </c>
      <c r="K86" s="23">
        <f t="shared" si="52"/>
        <v>0</v>
      </c>
      <c r="M86" s="78">
        <v>3</v>
      </c>
      <c r="N86" s="65">
        <f t="shared" ref="N86:N90" si="57">M86</f>
        <v>3</v>
      </c>
      <c r="O86" s="101"/>
      <c r="P86" s="21"/>
      <c r="Q86" s="192">
        <v>3</v>
      </c>
      <c r="R86" s="23">
        <f t="shared" si="46"/>
        <v>0</v>
      </c>
      <c r="S86" s="52">
        <f t="shared" si="47"/>
        <v>0</v>
      </c>
      <c r="U86" s="51">
        <f t="shared" ref="U86:U90" si="58">C86-I86</f>
        <v>72</v>
      </c>
      <c r="V86" s="23">
        <v>41</v>
      </c>
      <c r="W86" s="23">
        <f t="shared" si="44"/>
        <v>45</v>
      </c>
      <c r="Y86" s="78">
        <v>66</v>
      </c>
      <c r="Z86" s="62">
        <f>U83+AA86</f>
        <v>153</v>
      </c>
      <c r="AA86" s="20">
        <f>156-78</f>
        <v>78</v>
      </c>
      <c r="AB86" s="21"/>
      <c r="AC86" s="57">
        <v>153</v>
      </c>
      <c r="AD86" s="23">
        <f t="shared" si="37"/>
        <v>-231</v>
      </c>
      <c r="AE86" s="23">
        <f t="shared" si="38"/>
        <v>-231</v>
      </c>
      <c r="AF86" s="23"/>
      <c r="AG86" s="52">
        <v>35</v>
      </c>
    </row>
    <row r="87" spans="1:35" hidden="1" outlineLevel="1">
      <c r="A87" s="96">
        <v>45685</v>
      </c>
      <c r="B87" s="17" t="s">
        <v>19</v>
      </c>
      <c r="C87" s="101">
        <v>78</v>
      </c>
      <c r="D87" s="100">
        <f t="shared" ref="D87:D90" si="59">J87+V87</f>
        <v>95</v>
      </c>
      <c r="E87" s="22">
        <f t="shared" si="36"/>
        <v>140</v>
      </c>
      <c r="G87" s="17"/>
      <c r="I87" s="51">
        <f>M88</f>
        <v>6</v>
      </c>
      <c r="J87" s="18">
        <v>6</v>
      </c>
      <c r="K87" s="23">
        <f t="shared" si="52"/>
        <v>0</v>
      </c>
      <c r="M87" s="78">
        <v>6</v>
      </c>
      <c r="N87" s="65">
        <f t="shared" si="57"/>
        <v>6</v>
      </c>
      <c r="O87" s="101"/>
      <c r="P87" s="21"/>
      <c r="Q87" s="192">
        <v>6</v>
      </c>
      <c r="R87" s="23">
        <f t="shared" si="46"/>
        <v>0</v>
      </c>
      <c r="S87" s="52">
        <f t="shared" si="47"/>
        <v>0</v>
      </c>
      <c r="U87" s="51">
        <f t="shared" si="58"/>
        <v>72</v>
      </c>
      <c r="V87" s="23">
        <v>89</v>
      </c>
      <c r="W87" s="23">
        <f t="shared" si="44"/>
        <v>62</v>
      </c>
      <c r="Y87" s="78">
        <v>72</v>
      </c>
      <c r="Z87" s="62">
        <f t="shared" ref="Z87:Z90" si="60">U86+AA87</f>
        <v>90</v>
      </c>
      <c r="AA87" s="20">
        <v>18</v>
      </c>
      <c r="AB87" s="21"/>
      <c r="AC87" s="57">
        <v>90</v>
      </c>
      <c r="AD87" s="23">
        <f t="shared" si="37"/>
        <v>-213</v>
      </c>
      <c r="AE87" s="23">
        <f t="shared" si="38"/>
        <v>-213</v>
      </c>
      <c r="AF87" s="23"/>
      <c r="AG87" s="52">
        <v>30</v>
      </c>
    </row>
    <row r="88" spans="1:35" hidden="1" outlineLevel="1">
      <c r="A88" s="96">
        <v>45686</v>
      </c>
      <c r="B88" s="17" t="s">
        <v>20</v>
      </c>
      <c r="C88" s="101">
        <v>78</v>
      </c>
      <c r="D88" s="100">
        <f t="shared" si="59"/>
        <v>102</v>
      </c>
      <c r="E88" s="22">
        <f t="shared" si="36"/>
        <v>164</v>
      </c>
      <c r="G88" s="17"/>
      <c r="I88" s="51">
        <f>M89</f>
        <v>9</v>
      </c>
      <c r="J88" s="18">
        <v>9</v>
      </c>
      <c r="K88" s="23">
        <f t="shared" si="52"/>
        <v>0</v>
      </c>
      <c r="M88" s="78">
        <v>6</v>
      </c>
      <c r="N88" s="65">
        <f t="shared" si="57"/>
        <v>6</v>
      </c>
      <c r="O88" s="101"/>
      <c r="P88" s="21"/>
      <c r="Q88" s="192">
        <v>6</v>
      </c>
      <c r="R88" s="23">
        <f t="shared" si="46"/>
        <v>0</v>
      </c>
      <c r="S88" s="52">
        <f t="shared" si="47"/>
        <v>0</v>
      </c>
      <c r="U88" s="51">
        <f t="shared" si="58"/>
        <v>69</v>
      </c>
      <c r="V88" s="23">
        <v>93</v>
      </c>
      <c r="W88" s="23">
        <f t="shared" si="44"/>
        <v>86</v>
      </c>
      <c r="Y88" s="78">
        <v>57</v>
      </c>
      <c r="Z88" s="62">
        <f t="shared" si="60"/>
        <v>90</v>
      </c>
      <c r="AA88" s="20">
        <v>18</v>
      </c>
      <c r="AB88" s="21"/>
      <c r="AC88" s="57">
        <v>90</v>
      </c>
      <c r="AD88" s="23">
        <f t="shared" si="37"/>
        <v>-180</v>
      </c>
      <c r="AE88" s="23">
        <f t="shared" si="38"/>
        <v>-180</v>
      </c>
      <c r="AF88" s="23"/>
      <c r="AG88" s="52">
        <v>25</v>
      </c>
    </row>
    <row r="89" spans="1:35" hidden="1" outlineLevel="1">
      <c r="A89" s="96">
        <v>45687</v>
      </c>
      <c r="B89" s="17" t="s">
        <v>14</v>
      </c>
      <c r="C89" s="101">
        <v>78</v>
      </c>
      <c r="D89" s="100">
        <f t="shared" si="59"/>
        <v>92</v>
      </c>
      <c r="E89" s="22">
        <f t="shared" si="36"/>
        <v>178</v>
      </c>
      <c r="G89" s="17"/>
      <c r="I89" s="51">
        <f>M90</f>
        <v>6</v>
      </c>
      <c r="J89" s="18">
        <v>6</v>
      </c>
      <c r="K89" s="23">
        <f t="shared" si="52"/>
        <v>0</v>
      </c>
      <c r="M89" s="78">
        <v>9</v>
      </c>
      <c r="N89" s="65">
        <f t="shared" si="57"/>
        <v>9</v>
      </c>
      <c r="O89" s="101"/>
      <c r="P89" s="21"/>
      <c r="Q89" s="192">
        <v>9</v>
      </c>
      <c r="R89" s="23">
        <f t="shared" si="46"/>
        <v>0</v>
      </c>
      <c r="S89" s="52">
        <f t="shared" si="47"/>
        <v>0</v>
      </c>
      <c r="U89" s="51">
        <f t="shared" si="58"/>
        <v>72</v>
      </c>
      <c r="V89" s="23">
        <v>86</v>
      </c>
      <c r="W89" s="23">
        <f t="shared" si="44"/>
        <v>100</v>
      </c>
      <c r="Y89" s="78">
        <v>90</v>
      </c>
      <c r="Z89" s="62">
        <f t="shared" si="60"/>
        <v>90</v>
      </c>
      <c r="AA89" s="20">
        <f>90-69</f>
        <v>21</v>
      </c>
      <c r="AB89" s="21"/>
      <c r="AC89" s="57">
        <v>90</v>
      </c>
      <c r="AD89" s="23">
        <f t="shared" si="37"/>
        <v>-180</v>
      </c>
      <c r="AE89" s="23">
        <f t="shared" si="38"/>
        <v>-180</v>
      </c>
      <c r="AF89" s="23"/>
      <c r="AG89" s="52">
        <v>25</v>
      </c>
    </row>
    <row r="90" spans="1:35" hidden="1" outlineLevel="1">
      <c r="A90" s="96">
        <v>45688</v>
      </c>
      <c r="B90" s="17" t="s">
        <v>15</v>
      </c>
      <c r="C90" s="101">
        <v>90</v>
      </c>
      <c r="D90" s="100">
        <f t="shared" si="59"/>
        <v>93</v>
      </c>
      <c r="E90" s="22">
        <f t="shared" si="36"/>
        <v>181</v>
      </c>
      <c r="G90" s="17"/>
      <c r="I90" s="51">
        <f>M93</f>
        <v>0</v>
      </c>
      <c r="J90" s="18">
        <v>0</v>
      </c>
      <c r="K90" s="23">
        <f t="shared" si="52"/>
        <v>0</v>
      </c>
      <c r="M90" s="78">
        <v>6</v>
      </c>
      <c r="N90" s="65">
        <f t="shared" si="57"/>
        <v>6</v>
      </c>
      <c r="O90" s="101"/>
      <c r="P90" s="21"/>
      <c r="Q90" s="192">
        <v>6</v>
      </c>
      <c r="R90" s="23">
        <f t="shared" si="46"/>
        <v>0</v>
      </c>
      <c r="S90" s="52">
        <f t="shared" si="47"/>
        <v>0</v>
      </c>
      <c r="U90" s="51">
        <f t="shared" si="58"/>
        <v>90</v>
      </c>
      <c r="V90" s="23">
        <v>93</v>
      </c>
      <c r="W90" s="23">
        <f t="shared" si="44"/>
        <v>103</v>
      </c>
      <c r="Y90" s="78">
        <v>78</v>
      </c>
      <c r="Z90" s="62">
        <f t="shared" si="60"/>
        <v>90</v>
      </c>
      <c r="AA90" s="20">
        <v>18</v>
      </c>
      <c r="AB90" s="21"/>
      <c r="AC90" s="57">
        <v>90</v>
      </c>
      <c r="AD90" s="23">
        <f t="shared" si="37"/>
        <v>-168</v>
      </c>
      <c r="AE90" s="23">
        <f t="shared" si="38"/>
        <v>-168</v>
      </c>
      <c r="AF90" s="23"/>
      <c r="AG90" s="52">
        <v>23</v>
      </c>
      <c r="AI90">
        <f>SUM(M86:M90,Y86:Y90)/5</f>
        <v>78.599999999999994</v>
      </c>
    </row>
    <row r="91" spans="1:35" s="12" customFormat="1" hidden="1" outlineLevel="1">
      <c r="A91" s="95">
        <v>45689</v>
      </c>
      <c r="B91" s="25" t="s">
        <v>16</v>
      </c>
      <c r="C91" s="98"/>
      <c r="D91" s="99">
        <f t="shared" ref="D91:D149" si="61">J91+V91</f>
        <v>0</v>
      </c>
      <c r="E91" s="87">
        <f t="shared" ref="E91:E119" si="62">E90-C91+D91</f>
        <v>181</v>
      </c>
      <c r="G91" s="25"/>
      <c r="I91" s="53"/>
      <c r="J91" s="26"/>
      <c r="K91" s="29">
        <f t="shared" ref="K91:K119" si="63">J91-I91+K90</f>
        <v>0</v>
      </c>
      <c r="M91" s="79"/>
      <c r="N91" s="66"/>
      <c r="O91" s="98"/>
      <c r="P91" s="28"/>
      <c r="Q91" s="230"/>
      <c r="R91" s="29">
        <f t="shared" ref="R91:R119" si="64">R90-M91+Q91</f>
        <v>0</v>
      </c>
      <c r="S91" s="54">
        <f t="shared" ref="S91:S119" si="65">S90-M91+N91</f>
        <v>0</v>
      </c>
      <c r="U91" s="53">
        <f t="shared" ref="U91:U118" si="66">C91-I91</f>
        <v>0</v>
      </c>
      <c r="V91" s="29"/>
      <c r="W91" s="29">
        <f t="shared" ref="W91:W119" si="67">V91-U91+W90</f>
        <v>103</v>
      </c>
      <c r="Y91" s="79"/>
      <c r="Z91" s="63"/>
      <c r="AA91" s="27"/>
      <c r="AB91" s="28"/>
      <c r="AC91" s="43"/>
      <c r="AD91" s="29">
        <f t="shared" ref="AD91:AD119" si="68">AD90-Y91+AC91</f>
        <v>-168</v>
      </c>
      <c r="AE91" s="29">
        <f t="shared" ref="AE91:AE119" si="69">AE90-Y91+Z91</f>
        <v>-168</v>
      </c>
      <c r="AF91" s="29"/>
      <c r="AG91" s="54"/>
    </row>
    <row r="92" spans="1:35" s="12" customFormat="1" hidden="1" outlineLevel="1" collapsed="1">
      <c r="A92" s="95">
        <v>45690</v>
      </c>
      <c r="B92" s="25" t="s">
        <v>17</v>
      </c>
      <c r="C92" s="98"/>
      <c r="D92" s="99">
        <f t="shared" si="61"/>
        <v>0</v>
      </c>
      <c r="E92" s="87">
        <f t="shared" si="62"/>
        <v>181</v>
      </c>
      <c r="G92" s="25"/>
      <c r="I92" s="53"/>
      <c r="J92" s="26"/>
      <c r="K92" s="29">
        <f t="shared" si="63"/>
        <v>0</v>
      </c>
      <c r="M92" s="79"/>
      <c r="N92" s="66"/>
      <c r="O92" s="98"/>
      <c r="P92" s="28"/>
      <c r="Q92" s="230"/>
      <c r="R92" s="29">
        <f t="shared" si="64"/>
        <v>0</v>
      </c>
      <c r="S92" s="54">
        <f t="shared" si="65"/>
        <v>0</v>
      </c>
      <c r="U92" s="53">
        <f t="shared" si="66"/>
        <v>0</v>
      </c>
      <c r="V92" s="29"/>
      <c r="W92" s="29">
        <f t="shared" si="67"/>
        <v>103</v>
      </c>
      <c r="Y92" s="79"/>
      <c r="Z92" s="63"/>
      <c r="AA92" s="27"/>
      <c r="AB92" s="28"/>
      <c r="AC92" s="43"/>
      <c r="AD92" s="29">
        <f t="shared" si="68"/>
        <v>-168</v>
      </c>
      <c r="AE92" s="29">
        <f t="shared" si="69"/>
        <v>-168</v>
      </c>
      <c r="AF92" s="29"/>
      <c r="AG92" s="54"/>
    </row>
    <row r="93" spans="1:35" hidden="1" outlineLevel="1">
      <c r="A93" s="96">
        <v>45691</v>
      </c>
      <c r="B93" s="17" t="s">
        <v>18</v>
      </c>
      <c r="C93" s="101">
        <v>93</v>
      </c>
      <c r="D93" s="100">
        <f t="shared" si="61"/>
        <v>85</v>
      </c>
      <c r="E93" s="22">
        <f t="shared" si="62"/>
        <v>173</v>
      </c>
      <c r="G93" s="17"/>
      <c r="I93" s="51">
        <f>M94</f>
        <v>3</v>
      </c>
      <c r="J93" s="18">
        <v>3</v>
      </c>
      <c r="K93" s="23">
        <f t="shared" si="63"/>
        <v>0</v>
      </c>
      <c r="M93" s="78">
        <v>0</v>
      </c>
      <c r="N93" s="65">
        <f t="shared" ref="N93:N97" si="70">M93</f>
        <v>0</v>
      </c>
      <c r="O93" s="101"/>
      <c r="P93" s="21"/>
      <c r="Q93" s="192"/>
      <c r="R93" s="23">
        <f t="shared" si="64"/>
        <v>0</v>
      </c>
      <c r="S93" s="52">
        <f t="shared" si="65"/>
        <v>0</v>
      </c>
      <c r="U93" s="51">
        <f t="shared" si="66"/>
        <v>90</v>
      </c>
      <c r="V93" s="23">
        <v>82</v>
      </c>
      <c r="W93" s="23">
        <f t="shared" si="67"/>
        <v>95</v>
      </c>
      <c r="Y93" s="78">
        <v>66</v>
      </c>
      <c r="Z93" s="62">
        <f>U90+AA93</f>
        <v>90</v>
      </c>
      <c r="AA93" s="20"/>
      <c r="AB93" s="21"/>
      <c r="AC93" s="57">
        <v>90</v>
      </c>
      <c r="AD93" s="23">
        <f t="shared" si="68"/>
        <v>-144</v>
      </c>
      <c r="AE93" s="23">
        <f t="shared" si="69"/>
        <v>-144</v>
      </c>
      <c r="AF93" s="23"/>
      <c r="AG93" s="52">
        <v>23</v>
      </c>
    </row>
    <row r="94" spans="1:35" hidden="1" outlineLevel="1">
      <c r="A94" s="96">
        <v>45692</v>
      </c>
      <c r="B94" s="17" t="s">
        <v>19</v>
      </c>
      <c r="C94" s="101">
        <v>96</v>
      </c>
      <c r="D94" s="100">
        <f t="shared" si="61"/>
        <v>78</v>
      </c>
      <c r="E94" s="22">
        <f t="shared" si="62"/>
        <v>155</v>
      </c>
      <c r="G94" s="17"/>
      <c r="I94" s="51">
        <f>M95</f>
        <v>6</v>
      </c>
      <c r="J94" s="18">
        <v>6</v>
      </c>
      <c r="K94" s="23">
        <f t="shared" si="63"/>
        <v>0</v>
      </c>
      <c r="M94" s="78">
        <v>3</v>
      </c>
      <c r="N94" s="65">
        <f t="shared" si="70"/>
        <v>3</v>
      </c>
      <c r="O94" s="101"/>
      <c r="P94" s="21"/>
      <c r="Q94" s="192">
        <v>3</v>
      </c>
      <c r="R94" s="23">
        <f t="shared" si="64"/>
        <v>0</v>
      </c>
      <c r="S94" s="52">
        <f t="shared" si="65"/>
        <v>0</v>
      </c>
      <c r="U94" s="51">
        <f>C94-I94</f>
        <v>90</v>
      </c>
      <c r="V94" s="23">
        <v>72</v>
      </c>
      <c r="W94" s="23">
        <f t="shared" si="67"/>
        <v>77</v>
      </c>
      <c r="Y94" s="78">
        <v>72</v>
      </c>
      <c r="Z94" s="62">
        <f t="shared" ref="Z94:Z97" si="71">U93+AA94</f>
        <v>90</v>
      </c>
      <c r="AA94" s="20"/>
      <c r="AB94" s="21"/>
      <c r="AC94" s="57">
        <v>90</v>
      </c>
      <c r="AD94" s="23">
        <f t="shared" si="68"/>
        <v>-126</v>
      </c>
      <c r="AE94" s="23">
        <f t="shared" si="69"/>
        <v>-126</v>
      </c>
      <c r="AF94" s="23"/>
      <c r="AG94" s="52">
        <v>23</v>
      </c>
    </row>
    <row r="95" spans="1:35" hidden="1" outlineLevel="1">
      <c r="A95" s="96">
        <v>45693</v>
      </c>
      <c r="B95" s="17" t="s">
        <v>20</v>
      </c>
      <c r="C95" s="101">
        <v>96</v>
      </c>
      <c r="D95" s="100">
        <f t="shared" si="61"/>
        <v>74</v>
      </c>
      <c r="E95" s="22">
        <f t="shared" si="62"/>
        <v>133</v>
      </c>
      <c r="G95" s="17"/>
      <c r="I95" s="51">
        <f>M96</f>
        <v>6</v>
      </c>
      <c r="J95" s="18">
        <v>6</v>
      </c>
      <c r="K95" s="23">
        <f t="shared" si="63"/>
        <v>0</v>
      </c>
      <c r="M95" s="78">
        <v>6</v>
      </c>
      <c r="N95" s="65">
        <f t="shared" si="70"/>
        <v>6</v>
      </c>
      <c r="O95" s="101"/>
      <c r="P95" s="21"/>
      <c r="Q95" s="192">
        <v>6</v>
      </c>
      <c r="R95" s="23">
        <f t="shared" si="64"/>
        <v>0</v>
      </c>
      <c r="S95" s="52">
        <f t="shared" si="65"/>
        <v>0</v>
      </c>
      <c r="U95" s="51">
        <f>C95-I95-18</f>
        <v>72</v>
      </c>
      <c r="V95" s="23">
        <v>68</v>
      </c>
      <c r="W95" s="23">
        <f t="shared" si="67"/>
        <v>73</v>
      </c>
      <c r="Y95" s="78">
        <v>54</v>
      </c>
      <c r="Z95" s="62">
        <f t="shared" si="71"/>
        <v>90</v>
      </c>
      <c r="AA95" s="20"/>
      <c r="AB95" s="21"/>
      <c r="AC95" s="57">
        <v>90</v>
      </c>
      <c r="AD95" s="23">
        <f t="shared" si="68"/>
        <v>-90</v>
      </c>
      <c r="AE95" s="23">
        <f t="shared" si="69"/>
        <v>-90</v>
      </c>
      <c r="AF95" s="23"/>
      <c r="AG95" s="52"/>
    </row>
    <row r="96" spans="1:35" hidden="1" outlineLevel="1">
      <c r="A96" s="96">
        <v>45694</v>
      </c>
      <c r="B96" s="17" t="s">
        <v>14</v>
      </c>
      <c r="C96" s="101">
        <v>93</v>
      </c>
      <c r="D96" s="100">
        <f t="shared" si="61"/>
        <v>89</v>
      </c>
      <c r="E96" s="22">
        <f t="shared" si="62"/>
        <v>129</v>
      </c>
      <c r="G96" s="17"/>
      <c r="I96" s="51">
        <f>M97</f>
        <v>3</v>
      </c>
      <c r="J96" s="18">
        <v>3</v>
      </c>
      <c r="K96" s="23">
        <f t="shared" si="63"/>
        <v>0</v>
      </c>
      <c r="M96" s="78">
        <v>6</v>
      </c>
      <c r="N96" s="65">
        <f t="shared" si="70"/>
        <v>6</v>
      </c>
      <c r="O96" s="101"/>
      <c r="P96" s="21"/>
      <c r="Q96" s="192">
        <v>6</v>
      </c>
      <c r="R96" s="23">
        <f t="shared" si="64"/>
        <v>0</v>
      </c>
      <c r="S96" s="52">
        <f t="shared" si="65"/>
        <v>0</v>
      </c>
      <c r="U96" s="51">
        <f t="shared" si="66"/>
        <v>90</v>
      </c>
      <c r="V96" s="23">
        <v>86</v>
      </c>
      <c r="W96" s="23">
        <f t="shared" si="67"/>
        <v>69</v>
      </c>
      <c r="Y96" s="78">
        <v>63</v>
      </c>
      <c r="Z96" s="175">
        <f t="shared" si="71"/>
        <v>72</v>
      </c>
      <c r="AA96" s="20"/>
      <c r="AB96" s="21"/>
      <c r="AC96" s="57">
        <v>72</v>
      </c>
      <c r="AD96" s="23">
        <f t="shared" si="68"/>
        <v>-81</v>
      </c>
      <c r="AE96" s="23">
        <f t="shared" si="69"/>
        <v>-81</v>
      </c>
      <c r="AF96" s="23"/>
      <c r="AG96" s="52">
        <v>23</v>
      </c>
    </row>
    <row r="97" spans="1:36" hidden="1" outlineLevel="1">
      <c r="A97" s="96">
        <v>45695</v>
      </c>
      <c r="B97" s="17" t="s">
        <v>15</v>
      </c>
      <c r="C97" s="101">
        <v>96</v>
      </c>
      <c r="D97" s="100">
        <f t="shared" si="61"/>
        <v>103</v>
      </c>
      <c r="E97" s="22">
        <f t="shared" si="62"/>
        <v>136</v>
      </c>
      <c r="G97" s="17"/>
      <c r="I97" s="51">
        <f>M100</f>
        <v>6</v>
      </c>
      <c r="J97" s="18">
        <v>6</v>
      </c>
      <c r="K97" s="23">
        <f t="shared" si="63"/>
        <v>0</v>
      </c>
      <c r="M97" s="78">
        <v>3</v>
      </c>
      <c r="N97" s="65">
        <f t="shared" si="70"/>
        <v>3</v>
      </c>
      <c r="O97" s="101"/>
      <c r="P97" s="21"/>
      <c r="Q97" s="192">
        <v>3</v>
      </c>
      <c r="R97" s="23">
        <f t="shared" si="64"/>
        <v>0</v>
      </c>
      <c r="S97" s="52">
        <f t="shared" si="65"/>
        <v>0</v>
      </c>
      <c r="U97" s="51">
        <f t="shared" si="66"/>
        <v>90</v>
      </c>
      <c r="V97" s="23">
        <v>97</v>
      </c>
      <c r="W97" s="23">
        <f t="shared" si="67"/>
        <v>76</v>
      </c>
      <c r="Y97" s="78">
        <v>57</v>
      </c>
      <c r="Z97" s="62">
        <f t="shared" si="71"/>
        <v>90</v>
      </c>
      <c r="AA97" s="20"/>
      <c r="AB97" s="21"/>
      <c r="AC97" s="57">
        <v>90</v>
      </c>
      <c r="AD97" s="23">
        <f t="shared" si="68"/>
        <v>-48</v>
      </c>
      <c r="AE97" s="23">
        <f t="shared" si="69"/>
        <v>-48</v>
      </c>
      <c r="AF97" s="23"/>
      <c r="AG97" s="52">
        <v>22</v>
      </c>
      <c r="AI97">
        <f>SUM(M93:M97,Y93:Y97)/5</f>
        <v>66</v>
      </c>
    </row>
    <row r="98" spans="1:36" s="12" customFormat="1" hidden="1" outlineLevel="1">
      <c r="A98" s="95">
        <v>45696</v>
      </c>
      <c r="B98" s="25" t="s">
        <v>16</v>
      </c>
      <c r="C98" s="98"/>
      <c r="D98" s="99">
        <f t="shared" si="61"/>
        <v>0</v>
      </c>
      <c r="E98" s="87">
        <f t="shared" si="62"/>
        <v>136</v>
      </c>
      <c r="G98" s="25"/>
      <c r="I98" s="53"/>
      <c r="J98" s="26"/>
      <c r="K98" s="29">
        <f t="shared" si="63"/>
        <v>0</v>
      </c>
      <c r="M98" s="79"/>
      <c r="N98" s="66"/>
      <c r="O98" s="98"/>
      <c r="P98" s="28"/>
      <c r="Q98" s="230"/>
      <c r="R98" s="29">
        <f t="shared" si="64"/>
        <v>0</v>
      </c>
      <c r="S98" s="54">
        <f t="shared" si="65"/>
        <v>0</v>
      </c>
      <c r="U98" s="53">
        <f t="shared" si="66"/>
        <v>0</v>
      </c>
      <c r="V98" s="29"/>
      <c r="W98" s="29">
        <f t="shared" si="67"/>
        <v>76</v>
      </c>
      <c r="Y98" s="79"/>
      <c r="Z98" s="63"/>
      <c r="AA98" s="27"/>
      <c r="AB98" s="28"/>
      <c r="AC98" s="43"/>
      <c r="AD98" s="29">
        <f t="shared" si="68"/>
        <v>-48</v>
      </c>
      <c r="AE98" s="29">
        <f t="shared" si="69"/>
        <v>-48</v>
      </c>
      <c r="AF98" s="29"/>
      <c r="AG98" s="54"/>
    </row>
    <row r="99" spans="1:36" s="12" customFormat="1" hidden="1" outlineLevel="1" collapsed="1">
      <c r="A99" s="95">
        <v>45697</v>
      </c>
      <c r="B99" s="25" t="s">
        <v>17</v>
      </c>
      <c r="C99" s="98"/>
      <c r="D99" s="99">
        <f t="shared" si="61"/>
        <v>0</v>
      </c>
      <c r="E99" s="87">
        <f t="shared" si="62"/>
        <v>136</v>
      </c>
      <c r="G99" s="25"/>
      <c r="I99" s="53"/>
      <c r="J99" s="26"/>
      <c r="K99" s="29">
        <f t="shared" si="63"/>
        <v>0</v>
      </c>
      <c r="M99" s="79"/>
      <c r="N99" s="66"/>
      <c r="O99" s="98"/>
      <c r="P99" s="28"/>
      <c r="Q99" s="230"/>
      <c r="R99" s="29">
        <f t="shared" si="64"/>
        <v>0</v>
      </c>
      <c r="S99" s="54">
        <f t="shared" si="65"/>
        <v>0</v>
      </c>
      <c r="U99" s="53">
        <f t="shared" si="66"/>
        <v>0</v>
      </c>
      <c r="V99" s="29"/>
      <c r="W99" s="29">
        <f t="shared" si="67"/>
        <v>76</v>
      </c>
      <c r="Y99" s="79"/>
      <c r="Z99" s="63"/>
      <c r="AA99" s="27"/>
      <c r="AB99" s="28"/>
      <c r="AC99" s="43"/>
      <c r="AD99" s="29">
        <f t="shared" si="68"/>
        <v>-48</v>
      </c>
      <c r="AE99" s="29">
        <f t="shared" si="69"/>
        <v>-48</v>
      </c>
      <c r="AF99" s="29"/>
      <c r="AG99" s="54"/>
    </row>
    <row r="100" spans="1:36" hidden="1" outlineLevel="1">
      <c r="A100" s="96">
        <v>45698</v>
      </c>
      <c r="B100" s="17" t="s">
        <v>18</v>
      </c>
      <c r="C100" s="101">
        <v>66</v>
      </c>
      <c r="D100" s="100">
        <f t="shared" si="61"/>
        <v>90</v>
      </c>
      <c r="E100" s="22">
        <f t="shared" si="62"/>
        <v>160</v>
      </c>
      <c r="G100" s="17"/>
      <c r="I100" s="51">
        <f>M101</f>
        <v>6</v>
      </c>
      <c r="J100" s="18">
        <v>6</v>
      </c>
      <c r="K100" s="23">
        <f t="shared" si="63"/>
        <v>0</v>
      </c>
      <c r="M100" s="78">
        <v>6</v>
      </c>
      <c r="N100" s="65">
        <f t="shared" ref="N100:N104" si="72">M100</f>
        <v>6</v>
      </c>
      <c r="O100" s="101"/>
      <c r="P100" s="21"/>
      <c r="Q100" s="192">
        <v>6</v>
      </c>
      <c r="R100" s="23">
        <f t="shared" si="64"/>
        <v>0</v>
      </c>
      <c r="S100" s="52">
        <f t="shared" si="65"/>
        <v>0</v>
      </c>
      <c r="U100" s="51">
        <f>C100-I100+9</f>
        <v>69</v>
      </c>
      <c r="V100" s="23">
        <v>84</v>
      </c>
      <c r="W100" s="23">
        <f t="shared" si="67"/>
        <v>91</v>
      </c>
      <c r="Y100" s="78">
        <v>66</v>
      </c>
      <c r="Z100" s="62">
        <f>U97+AA100</f>
        <v>90</v>
      </c>
      <c r="AA100" s="20"/>
      <c r="AB100" s="21"/>
      <c r="AC100" s="57">
        <v>90</v>
      </c>
      <c r="AD100" s="23">
        <f t="shared" si="68"/>
        <v>-24</v>
      </c>
      <c r="AE100" s="23">
        <f t="shared" si="69"/>
        <v>-24</v>
      </c>
      <c r="AF100" s="23"/>
      <c r="AG100" s="52">
        <v>25</v>
      </c>
    </row>
    <row r="101" spans="1:36" hidden="1" outlineLevel="1">
      <c r="A101" s="96">
        <v>45699</v>
      </c>
      <c r="B101" s="17" t="s">
        <v>19</v>
      </c>
      <c r="C101" s="101">
        <v>66</v>
      </c>
      <c r="D101" s="100">
        <f t="shared" si="61"/>
        <v>80</v>
      </c>
      <c r="E101" s="22">
        <f t="shared" si="62"/>
        <v>174</v>
      </c>
      <c r="G101" s="17"/>
      <c r="I101" s="51">
        <f>M102</f>
        <v>3</v>
      </c>
      <c r="J101" s="18">
        <v>3</v>
      </c>
      <c r="K101" s="23">
        <f t="shared" si="63"/>
        <v>0</v>
      </c>
      <c r="M101" s="78">
        <v>6</v>
      </c>
      <c r="N101" s="65">
        <f t="shared" si="72"/>
        <v>6</v>
      </c>
      <c r="O101" s="101"/>
      <c r="P101" s="21"/>
      <c r="Q101" s="192">
        <v>6</v>
      </c>
      <c r="R101" s="23">
        <f t="shared" si="64"/>
        <v>0</v>
      </c>
      <c r="S101" s="52">
        <f t="shared" si="65"/>
        <v>0</v>
      </c>
      <c r="U101" s="51">
        <f>C101-I101+9</f>
        <v>72</v>
      </c>
      <c r="V101" s="23">
        <v>77</v>
      </c>
      <c r="W101" s="23">
        <f t="shared" si="67"/>
        <v>96</v>
      </c>
      <c r="Y101" s="78">
        <v>69</v>
      </c>
      <c r="Z101" s="62">
        <f t="shared" ref="Z101:Z104" si="73">U100+AA101</f>
        <v>78</v>
      </c>
      <c r="AA101" s="20">
        <v>9</v>
      </c>
      <c r="AB101" s="21"/>
      <c r="AC101" s="57">
        <v>78</v>
      </c>
      <c r="AD101" s="23">
        <f t="shared" si="68"/>
        <v>-15</v>
      </c>
      <c r="AE101" s="23">
        <f t="shared" si="69"/>
        <v>-15</v>
      </c>
      <c r="AF101" s="23"/>
      <c r="AG101" s="52">
        <v>24</v>
      </c>
    </row>
    <row r="102" spans="1:36" hidden="1" outlineLevel="1">
      <c r="A102" s="96">
        <v>45700</v>
      </c>
      <c r="B102" s="17" t="s">
        <v>20</v>
      </c>
      <c r="C102" s="101">
        <v>66</v>
      </c>
      <c r="D102" s="100">
        <f t="shared" si="61"/>
        <v>72</v>
      </c>
      <c r="E102" s="22">
        <f t="shared" si="62"/>
        <v>180</v>
      </c>
      <c r="G102" s="17"/>
      <c r="I102" s="51">
        <f>M103</f>
        <v>3</v>
      </c>
      <c r="J102" s="18">
        <v>3</v>
      </c>
      <c r="K102" s="23">
        <f t="shared" si="63"/>
        <v>0</v>
      </c>
      <c r="M102" s="78">
        <v>3</v>
      </c>
      <c r="N102" s="65">
        <f t="shared" si="72"/>
        <v>3</v>
      </c>
      <c r="O102" s="101"/>
      <c r="P102" s="21"/>
      <c r="Q102" s="192">
        <v>3</v>
      </c>
      <c r="R102" s="23">
        <f t="shared" si="64"/>
        <v>0</v>
      </c>
      <c r="S102" s="52">
        <f t="shared" si="65"/>
        <v>0</v>
      </c>
      <c r="U102" s="51">
        <f t="shared" si="66"/>
        <v>63</v>
      </c>
      <c r="V102" s="23">
        <v>69</v>
      </c>
      <c r="W102" s="23">
        <f t="shared" si="67"/>
        <v>102</v>
      </c>
      <c r="Y102" s="78">
        <v>54</v>
      </c>
      <c r="Z102" s="62">
        <f t="shared" si="73"/>
        <v>81</v>
      </c>
      <c r="AA102" s="20">
        <v>9</v>
      </c>
      <c r="AB102" s="21"/>
      <c r="AC102" s="57">
        <v>81</v>
      </c>
      <c r="AD102" s="23">
        <f t="shared" si="68"/>
        <v>12</v>
      </c>
      <c r="AE102" s="23">
        <f t="shared" si="69"/>
        <v>12</v>
      </c>
      <c r="AF102" s="23"/>
      <c r="AG102" s="52">
        <v>17</v>
      </c>
    </row>
    <row r="103" spans="1:36" hidden="1" outlineLevel="1">
      <c r="A103" s="96">
        <v>45701</v>
      </c>
      <c r="B103" s="17" t="s">
        <v>14</v>
      </c>
      <c r="C103" s="101">
        <v>66</v>
      </c>
      <c r="D103" s="100">
        <f t="shared" si="61"/>
        <v>71</v>
      </c>
      <c r="E103" s="22">
        <f t="shared" si="62"/>
        <v>185</v>
      </c>
      <c r="G103" s="17"/>
      <c r="I103" s="51">
        <f>M104</f>
        <v>6</v>
      </c>
      <c r="J103" s="18">
        <v>6</v>
      </c>
      <c r="K103" s="23">
        <f t="shared" si="63"/>
        <v>0</v>
      </c>
      <c r="M103" s="78">
        <v>3</v>
      </c>
      <c r="N103" s="65">
        <f t="shared" si="72"/>
        <v>3</v>
      </c>
      <c r="O103" s="101"/>
      <c r="P103" s="21"/>
      <c r="Q103" s="192">
        <v>3</v>
      </c>
      <c r="R103" s="23">
        <f t="shared" si="64"/>
        <v>0</v>
      </c>
      <c r="S103" s="52">
        <f t="shared" si="65"/>
        <v>0</v>
      </c>
      <c r="U103" s="51">
        <f t="shared" si="66"/>
        <v>60</v>
      </c>
      <c r="V103" s="23">
        <v>65</v>
      </c>
      <c r="W103" s="23">
        <f t="shared" si="67"/>
        <v>107</v>
      </c>
      <c r="Y103" s="78">
        <v>72</v>
      </c>
      <c r="Z103" s="62">
        <f t="shared" si="73"/>
        <v>63</v>
      </c>
      <c r="AA103" s="20"/>
      <c r="AB103" s="21"/>
      <c r="AC103" s="57">
        <v>63</v>
      </c>
      <c r="AD103" s="23">
        <f t="shared" si="68"/>
        <v>3</v>
      </c>
      <c r="AE103" s="23">
        <f t="shared" si="69"/>
        <v>3</v>
      </c>
      <c r="AF103" s="23"/>
      <c r="AG103" s="52">
        <v>25</v>
      </c>
      <c r="AJ103" s="278">
        <f>(2*3)+(22*2)</f>
        <v>50</v>
      </c>
    </row>
    <row r="104" spans="1:36" hidden="1" outlineLevel="1">
      <c r="A104" s="96">
        <v>45702</v>
      </c>
      <c r="B104" s="17" t="s">
        <v>15</v>
      </c>
      <c r="C104" s="101">
        <v>66</v>
      </c>
      <c r="D104" s="100">
        <f t="shared" si="61"/>
        <v>67</v>
      </c>
      <c r="E104" s="22">
        <f t="shared" si="62"/>
        <v>186</v>
      </c>
      <c r="G104" s="17"/>
      <c r="I104" s="51">
        <f>M107</f>
        <v>6</v>
      </c>
      <c r="J104" s="18">
        <v>6</v>
      </c>
      <c r="K104" s="23">
        <f t="shared" si="63"/>
        <v>0</v>
      </c>
      <c r="M104" s="78">
        <v>6</v>
      </c>
      <c r="N104" s="65">
        <f t="shared" si="72"/>
        <v>6</v>
      </c>
      <c r="O104" s="101"/>
      <c r="P104" s="21"/>
      <c r="Q104" s="192">
        <v>6</v>
      </c>
      <c r="R104" s="23">
        <f t="shared" si="64"/>
        <v>0</v>
      </c>
      <c r="S104" s="52">
        <f t="shared" si="65"/>
        <v>0</v>
      </c>
      <c r="U104" s="51">
        <f t="shared" si="66"/>
        <v>60</v>
      </c>
      <c r="V104" s="23">
        <v>61</v>
      </c>
      <c r="W104" s="23">
        <f t="shared" si="67"/>
        <v>108</v>
      </c>
      <c r="Y104" s="78">
        <v>51</v>
      </c>
      <c r="Z104" s="62">
        <f t="shared" si="73"/>
        <v>60</v>
      </c>
      <c r="AA104" s="20"/>
      <c r="AB104" s="21"/>
      <c r="AC104" s="57">
        <v>60</v>
      </c>
      <c r="AD104" s="23">
        <f t="shared" si="68"/>
        <v>12</v>
      </c>
      <c r="AE104" s="23">
        <f t="shared" si="69"/>
        <v>12</v>
      </c>
      <c r="AF104" s="23"/>
      <c r="AG104" s="52">
        <v>19</v>
      </c>
      <c r="AI104">
        <f>SUM(M100:M104,Y100:Y104)/5</f>
        <v>67.2</v>
      </c>
    </row>
    <row r="105" spans="1:36" s="12" customFormat="1" hidden="1" outlineLevel="1">
      <c r="A105" s="95">
        <v>45703</v>
      </c>
      <c r="B105" s="25" t="s">
        <v>16</v>
      </c>
      <c r="C105" s="98"/>
      <c r="D105" s="99">
        <f t="shared" si="61"/>
        <v>0</v>
      </c>
      <c r="E105" s="87">
        <f t="shared" si="62"/>
        <v>186</v>
      </c>
      <c r="G105" s="25"/>
      <c r="I105" s="53"/>
      <c r="J105" s="26"/>
      <c r="K105" s="29">
        <f t="shared" si="63"/>
        <v>0</v>
      </c>
      <c r="M105" s="79"/>
      <c r="N105" s="66"/>
      <c r="O105" s="98"/>
      <c r="P105" s="28"/>
      <c r="Q105" s="230"/>
      <c r="R105" s="29">
        <f t="shared" si="64"/>
        <v>0</v>
      </c>
      <c r="S105" s="54">
        <f t="shared" si="65"/>
        <v>0</v>
      </c>
      <c r="U105" s="53">
        <f t="shared" si="66"/>
        <v>0</v>
      </c>
      <c r="V105" s="29"/>
      <c r="W105" s="29">
        <f t="shared" si="67"/>
        <v>108</v>
      </c>
      <c r="Y105" s="79"/>
      <c r="Z105" s="63"/>
      <c r="AA105" s="27"/>
      <c r="AB105" s="28"/>
      <c r="AC105" s="43"/>
      <c r="AD105" s="29">
        <f t="shared" si="68"/>
        <v>12</v>
      </c>
      <c r="AE105" s="29">
        <f t="shared" si="69"/>
        <v>12</v>
      </c>
      <c r="AF105" s="29"/>
      <c r="AG105" s="54"/>
    </row>
    <row r="106" spans="1:36" s="12" customFormat="1" hidden="1" outlineLevel="1" collapsed="1">
      <c r="A106" s="95">
        <v>45704</v>
      </c>
      <c r="B106" s="25" t="s">
        <v>17</v>
      </c>
      <c r="C106" s="98"/>
      <c r="D106" s="99">
        <f t="shared" si="61"/>
        <v>0</v>
      </c>
      <c r="E106" s="87">
        <f t="shared" si="62"/>
        <v>186</v>
      </c>
      <c r="G106" s="25"/>
      <c r="I106" s="53"/>
      <c r="J106" s="26"/>
      <c r="K106" s="29">
        <f t="shared" si="63"/>
        <v>0</v>
      </c>
      <c r="M106" s="79"/>
      <c r="N106" s="66"/>
      <c r="O106" s="98"/>
      <c r="P106" s="28"/>
      <c r="Q106" s="230"/>
      <c r="R106" s="29">
        <f t="shared" si="64"/>
        <v>0</v>
      </c>
      <c r="S106" s="54">
        <f t="shared" si="65"/>
        <v>0</v>
      </c>
      <c r="U106" s="53">
        <f t="shared" si="66"/>
        <v>0</v>
      </c>
      <c r="V106" s="29"/>
      <c r="W106" s="29">
        <f t="shared" si="67"/>
        <v>108</v>
      </c>
      <c r="Y106" s="79"/>
      <c r="Z106" s="63"/>
      <c r="AA106" s="27"/>
      <c r="AB106" s="28"/>
      <c r="AC106" s="43"/>
      <c r="AD106" s="29">
        <f t="shared" si="68"/>
        <v>12</v>
      </c>
      <c r="AE106" s="29">
        <f t="shared" si="69"/>
        <v>12</v>
      </c>
      <c r="AF106" s="29"/>
      <c r="AG106" s="54"/>
    </row>
    <row r="107" spans="1:36" hidden="1" outlineLevel="1">
      <c r="A107" s="96">
        <v>45705</v>
      </c>
      <c r="B107" s="17" t="s">
        <v>18</v>
      </c>
      <c r="C107" s="101">
        <v>57</v>
      </c>
      <c r="D107" s="100">
        <f t="shared" si="61"/>
        <v>72</v>
      </c>
      <c r="E107" s="22">
        <f t="shared" si="62"/>
        <v>201</v>
      </c>
      <c r="G107" s="17"/>
      <c r="I107" s="51">
        <f>M108</f>
        <v>6</v>
      </c>
      <c r="J107" s="18">
        <v>6</v>
      </c>
      <c r="K107" s="23">
        <f t="shared" si="63"/>
        <v>0</v>
      </c>
      <c r="M107" s="78">
        <v>6</v>
      </c>
      <c r="N107" s="65">
        <f t="shared" ref="N107:N111" si="74">M107</f>
        <v>6</v>
      </c>
      <c r="O107" s="101"/>
      <c r="P107" s="21"/>
      <c r="Q107" s="192">
        <v>6</v>
      </c>
      <c r="R107" s="23">
        <f t="shared" si="64"/>
        <v>0</v>
      </c>
      <c r="S107" s="52">
        <f t="shared" si="65"/>
        <v>0</v>
      </c>
      <c r="U107" s="51">
        <f t="shared" si="66"/>
        <v>51</v>
      </c>
      <c r="V107" s="23">
        <v>66</v>
      </c>
      <c r="W107" s="23">
        <f t="shared" si="67"/>
        <v>123</v>
      </c>
      <c r="Y107" s="78">
        <v>39</v>
      </c>
      <c r="Z107" s="62">
        <f>U104+AA107</f>
        <v>60</v>
      </c>
      <c r="AA107" s="20"/>
      <c r="AB107" s="21"/>
      <c r="AC107" s="57">
        <v>60</v>
      </c>
      <c r="AD107" s="23">
        <f t="shared" si="68"/>
        <v>33</v>
      </c>
      <c r="AE107" s="23">
        <f t="shared" si="69"/>
        <v>33</v>
      </c>
      <c r="AF107" s="23"/>
      <c r="AG107" s="52">
        <v>22</v>
      </c>
    </row>
    <row r="108" spans="1:36" hidden="1" outlineLevel="1">
      <c r="A108" s="96">
        <v>45706</v>
      </c>
      <c r="B108" s="17" t="s">
        <v>19</v>
      </c>
      <c r="C108" s="101">
        <v>57</v>
      </c>
      <c r="D108" s="100">
        <f t="shared" si="61"/>
        <v>63</v>
      </c>
      <c r="E108" s="22">
        <f t="shared" si="62"/>
        <v>207</v>
      </c>
      <c r="G108" s="17"/>
      <c r="I108" s="51">
        <f>M109</f>
        <v>3</v>
      </c>
      <c r="J108" s="18">
        <v>3</v>
      </c>
      <c r="K108" s="23">
        <f t="shared" si="63"/>
        <v>0</v>
      </c>
      <c r="M108" s="78">
        <v>6</v>
      </c>
      <c r="N108" s="65">
        <f t="shared" si="74"/>
        <v>6</v>
      </c>
      <c r="O108" s="101"/>
      <c r="P108" s="21"/>
      <c r="Q108" s="192">
        <v>6</v>
      </c>
      <c r="R108" s="23">
        <f t="shared" si="64"/>
        <v>0</v>
      </c>
      <c r="S108" s="52">
        <f t="shared" si="65"/>
        <v>0</v>
      </c>
      <c r="U108" s="51">
        <f t="shared" si="66"/>
        <v>54</v>
      </c>
      <c r="V108" s="23">
        <v>60</v>
      </c>
      <c r="W108" s="23">
        <f t="shared" si="67"/>
        <v>129</v>
      </c>
      <c r="Y108" s="78">
        <v>69</v>
      </c>
      <c r="Z108" s="62">
        <f t="shared" ref="Z108:Z111" si="75">U107+AA108</f>
        <v>51</v>
      </c>
      <c r="AA108" s="20"/>
      <c r="AB108" s="21"/>
      <c r="AC108" s="57">
        <v>51</v>
      </c>
      <c r="AD108" s="23">
        <f t="shared" si="68"/>
        <v>15</v>
      </c>
      <c r="AE108" s="23">
        <f t="shared" si="69"/>
        <v>15</v>
      </c>
      <c r="AF108" s="23"/>
      <c r="AG108" s="52">
        <v>20</v>
      </c>
    </row>
    <row r="109" spans="1:36" hidden="1" outlineLevel="1">
      <c r="A109" s="96">
        <v>45707</v>
      </c>
      <c r="B109" s="17" t="s">
        <v>20</v>
      </c>
      <c r="C109" s="101">
        <v>60</v>
      </c>
      <c r="D109" s="100">
        <f t="shared" si="61"/>
        <v>49</v>
      </c>
      <c r="E109" s="22">
        <f t="shared" si="62"/>
        <v>196</v>
      </c>
      <c r="G109" s="17"/>
      <c r="I109" s="51">
        <f>M110</f>
        <v>12</v>
      </c>
      <c r="J109" s="18">
        <v>12</v>
      </c>
      <c r="K109" s="23">
        <f t="shared" si="63"/>
        <v>0</v>
      </c>
      <c r="M109" s="78">
        <v>3</v>
      </c>
      <c r="N109" s="65">
        <f t="shared" si="74"/>
        <v>3</v>
      </c>
      <c r="O109" s="101"/>
      <c r="P109" s="21"/>
      <c r="Q109" s="192">
        <v>3</v>
      </c>
      <c r="R109" s="23">
        <f t="shared" si="64"/>
        <v>0</v>
      </c>
      <c r="S109" s="52">
        <f t="shared" si="65"/>
        <v>0</v>
      </c>
      <c r="U109" s="51">
        <f t="shared" si="66"/>
        <v>48</v>
      </c>
      <c r="V109" s="23">
        <v>37</v>
      </c>
      <c r="W109" s="23">
        <f t="shared" si="67"/>
        <v>118</v>
      </c>
      <c r="Y109" s="78">
        <v>63</v>
      </c>
      <c r="Z109" s="62">
        <f t="shared" si="75"/>
        <v>54</v>
      </c>
      <c r="AA109" s="20"/>
      <c r="AB109" s="21"/>
      <c r="AC109" s="57">
        <v>54</v>
      </c>
      <c r="AD109" s="23">
        <f t="shared" si="68"/>
        <v>6</v>
      </c>
      <c r="AE109" s="23">
        <f t="shared" si="69"/>
        <v>6</v>
      </c>
      <c r="AF109" s="23"/>
      <c r="AG109" s="52">
        <v>20</v>
      </c>
    </row>
    <row r="110" spans="1:36" hidden="1" outlineLevel="1">
      <c r="A110" s="96">
        <v>45708</v>
      </c>
      <c r="B110" s="17" t="s">
        <v>14</v>
      </c>
      <c r="C110" s="177">
        <f>60-36</f>
        <v>24</v>
      </c>
      <c r="D110" s="100">
        <f t="shared" si="61"/>
        <v>40</v>
      </c>
      <c r="E110" s="22">
        <f t="shared" si="62"/>
        <v>212</v>
      </c>
      <c r="G110" s="17"/>
      <c r="I110" s="51">
        <f>M111</f>
        <v>9</v>
      </c>
      <c r="J110" s="18">
        <v>9</v>
      </c>
      <c r="K110" s="23">
        <f t="shared" si="63"/>
        <v>0</v>
      </c>
      <c r="M110" s="78">
        <v>12</v>
      </c>
      <c r="N110" s="65">
        <f t="shared" si="74"/>
        <v>12</v>
      </c>
      <c r="O110" s="101"/>
      <c r="P110" s="21"/>
      <c r="Q110" s="192">
        <v>12</v>
      </c>
      <c r="R110" s="23">
        <f t="shared" si="64"/>
        <v>0</v>
      </c>
      <c r="S110" s="52">
        <f t="shared" si="65"/>
        <v>0</v>
      </c>
      <c r="U110" s="51">
        <f t="shared" si="66"/>
        <v>15</v>
      </c>
      <c r="V110" s="23">
        <v>31</v>
      </c>
      <c r="W110" s="23">
        <f t="shared" si="67"/>
        <v>134</v>
      </c>
      <c r="Y110" s="78">
        <v>60</v>
      </c>
      <c r="Z110" s="62">
        <f t="shared" si="75"/>
        <v>48</v>
      </c>
      <c r="AA110" s="20"/>
      <c r="AB110" s="21"/>
      <c r="AC110" s="57">
        <v>48</v>
      </c>
      <c r="AD110" s="23">
        <f t="shared" si="68"/>
        <v>-6</v>
      </c>
      <c r="AE110" s="23">
        <f t="shared" si="69"/>
        <v>-6</v>
      </c>
      <c r="AF110" s="23"/>
      <c r="AG110" s="52">
        <v>13</v>
      </c>
    </row>
    <row r="111" spans="1:36" hidden="1" outlineLevel="1">
      <c r="A111" s="96">
        <v>45709</v>
      </c>
      <c r="B111" s="17" t="s">
        <v>15</v>
      </c>
      <c r="C111" s="177">
        <v>45</v>
      </c>
      <c r="D111" s="100">
        <f t="shared" si="61"/>
        <v>59</v>
      </c>
      <c r="E111" s="22">
        <f t="shared" si="62"/>
        <v>226</v>
      </c>
      <c r="G111" s="17"/>
      <c r="I111" s="51">
        <f>M114</f>
        <v>3</v>
      </c>
      <c r="J111" s="18">
        <v>6</v>
      </c>
      <c r="K111" s="23">
        <f t="shared" si="63"/>
        <v>3</v>
      </c>
      <c r="M111" s="78">
        <v>9</v>
      </c>
      <c r="N111" s="65">
        <f t="shared" si="74"/>
        <v>9</v>
      </c>
      <c r="O111" s="101"/>
      <c r="P111" s="21"/>
      <c r="Q111" s="192">
        <v>9</v>
      </c>
      <c r="R111" s="23">
        <f t="shared" si="64"/>
        <v>0</v>
      </c>
      <c r="S111" s="52">
        <f t="shared" si="65"/>
        <v>0</v>
      </c>
      <c r="U111" s="51">
        <f t="shared" si="66"/>
        <v>42</v>
      </c>
      <c r="V111" s="23">
        <v>53</v>
      </c>
      <c r="W111" s="23">
        <f t="shared" si="67"/>
        <v>145</v>
      </c>
      <c r="Y111" s="78">
        <v>51</v>
      </c>
      <c r="Z111" s="62">
        <f t="shared" si="75"/>
        <v>15</v>
      </c>
      <c r="AA111" s="20"/>
      <c r="AB111" s="21"/>
      <c r="AC111" s="57">
        <v>15</v>
      </c>
      <c r="AD111" s="23">
        <f t="shared" si="68"/>
        <v>-42</v>
      </c>
      <c r="AE111" s="23">
        <f t="shared" si="69"/>
        <v>-42</v>
      </c>
      <c r="AF111" s="23"/>
      <c r="AG111" s="52">
        <v>15</v>
      </c>
      <c r="AI111">
        <f>SUM(M107:M111,Y107:Y111)/5</f>
        <v>63.6</v>
      </c>
    </row>
    <row r="112" spans="1:36" s="12" customFormat="1" hidden="1" outlineLevel="1">
      <c r="A112" s="95">
        <v>45710</v>
      </c>
      <c r="B112" s="25" t="s">
        <v>16</v>
      </c>
      <c r="C112" s="98"/>
      <c r="D112" s="99">
        <f t="shared" si="61"/>
        <v>0</v>
      </c>
      <c r="E112" s="87">
        <f t="shared" si="62"/>
        <v>226</v>
      </c>
      <c r="G112" s="25"/>
      <c r="I112" s="53"/>
      <c r="J112" s="26"/>
      <c r="K112" s="29">
        <f t="shared" si="63"/>
        <v>3</v>
      </c>
      <c r="M112" s="79"/>
      <c r="N112" s="66"/>
      <c r="O112" s="98"/>
      <c r="P112" s="28"/>
      <c r="Q112" s="230"/>
      <c r="R112" s="29">
        <f t="shared" si="64"/>
        <v>0</v>
      </c>
      <c r="S112" s="54">
        <f t="shared" si="65"/>
        <v>0</v>
      </c>
      <c r="U112" s="53">
        <f t="shared" si="66"/>
        <v>0</v>
      </c>
      <c r="V112" s="29"/>
      <c r="W112" s="29">
        <f t="shared" si="67"/>
        <v>145</v>
      </c>
      <c r="Y112" s="79"/>
      <c r="Z112" s="63"/>
      <c r="AA112" s="27"/>
      <c r="AB112" s="28"/>
      <c r="AC112" s="43"/>
      <c r="AD112" s="29">
        <f t="shared" si="68"/>
        <v>-42</v>
      </c>
      <c r="AE112" s="29">
        <f t="shared" si="69"/>
        <v>-42</v>
      </c>
      <c r="AF112" s="29"/>
      <c r="AG112" s="54"/>
    </row>
    <row r="113" spans="1:35" s="12" customFormat="1" hidden="1" outlineLevel="1" collapsed="1">
      <c r="A113" s="95">
        <v>45711</v>
      </c>
      <c r="B113" s="25" t="s">
        <v>17</v>
      </c>
      <c r="C113" s="98"/>
      <c r="D113" s="99">
        <f t="shared" si="61"/>
        <v>0</v>
      </c>
      <c r="E113" s="87">
        <f t="shared" si="62"/>
        <v>226</v>
      </c>
      <c r="G113" s="25"/>
      <c r="I113" s="53"/>
      <c r="J113" s="26"/>
      <c r="K113" s="29">
        <f t="shared" si="63"/>
        <v>3</v>
      </c>
      <c r="M113" s="79"/>
      <c r="N113" s="66"/>
      <c r="O113" s="98"/>
      <c r="P113" s="28"/>
      <c r="Q113" s="230"/>
      <c r="R113" s="29">
        <f t="shared" si="64"/>
        <v>0</v>
      </c>
      <c r="S113" s="54">
        <f t="shared" si="65"/>
        <v>0</v>
      </c>
      <c r="U113" s="53">
        <f t="shared" si="66"/>
        <v>0</v>
      </c>
      <c r="V113" s="29"/>
      <c r="W113" s="29">
        <f t="shared" si="67"/>
        <v>145</v>
      </c>
      <c r="Y113" s="79"/>
      <c r="Z113" s="63"/>
      <c r="AA113" s="27"/>
      <c r="AB113" s="28"/>
      <c r="AC113" s="43"/>
      <c r="AD113" s="29">
        <f t="shared" si="68"/>
        <v>-42</v>
      </c>
      <c r="AE113" s="29">
        <f t="shared" si="69"/>
        <v>-42</v>
      </c>
      <c r="AF113" s="29"/>
      <c r="AG113" s="54"/>
    </row>
    <row r="114" spans="1:35" hidden="1" outlineLevel="1">
      <c r="A114" s="96">
        <v>45712</v>
      </c>
      <c r="B114" s="17" t="s">
        <v>18</v>
      </c>
      <c r="C114" s="101">
        <v>72</v>
      </c>
      <c r="D114" s="100">
        <f t="shared" si="61"/>
        <v>33</v>
      </c>
      <c r="E114" s="22">
        <f t="shared" si="62"/>
        <v>187</v>
      </c>
      <c r="G114" s="17"/>
      <c r="I114" s="51">
        <f>M115</f>
        <v>6</v>
      </c>
      <c r="J114" s="18"/>
      <c r="K114" s="23">
        <f t="shared" si="63"/>
        <v>-3</v>
      </c>
      <c r="M114" s="78">
        <v>3</v>
      </c>
      <c r="N114" s="65">
        <f t="shared" ref="N114:N118" si="76">M114</f>
        <v>3</v>
      </c>
      <c r="O114" s="101"/>
      <c r="P114" s="21"/>
      <c r="Q114" s="192">
        <v>3</v>
      </c>
      <c r="R114" s="23">
        <f t="shared" si="64"/>
        <v>0</v>
      </c>
      <c r="S114" s="52">
        <f t="shared" si="65"/>
        <v>0</v>
      </c>
      <c r="U114" s="51">
        <f t="shared" si="66"/>
        <v>66</v>
      </c>
      <c r="V114" s="23">
        <v>33</v>
      </c>
      <c r="W114" s="23">
        <f t="shared" si="67"/>
        <v>112</v>
      </c>
      <c r="Y114" s="78">
        <v>51</v>
      </c>
      <c r="Z114" s="62">
        <f>U111+AA114</f>
        <v>42</v>
      </c>
      <c r="AA114" s="20"/>
      <c r="AB114" s="21"/>
      <c r="AC114" s="57">
        <v>42</v>
      </c>
      <c r="AD114" s="23">
        <f t="shared" si="68"/>
        <v>-51</v>
      </c>
      <c r="AE114" s="23">
        <f t="shared" si="69"/>
        <v>-51</v>
      </c>
      <c r="AF114" s="23"/>
      <c r="AG114" s="52">
        <v>20</v>
      </c>
    </row>
    <row r="115" spans="1:35" hidden="1" outlineLevel="1">
      <c r="A115" s="96">
        <v>45713</v>
      </c>
      <c r="B115" s="17" t="s">
        <v>19</v>
      </c>
      <c r="C115" s="101">
        <v>72</v>
      </c>
      <c r="D115" s="100">
        <f t="shared" si="61"/>
        <v>52</v>
      </c>
      <c r="E115" s="22">
        <f t="shared" si="62"/>
        <v>167</v>
      </c>
      <c r="G115" s="17"/>
      <c r="I115" s="51">
        <f>M116</f>
        <v>3</v>
      </c>
      <c r="J115" s="18">
        <v>6</v>
      </c>
      <c r="K115" s="23">
        <f t="shared" si="63"/>
        <v>0</v>
      </c>
      <c r="M115" s="78">
        <v>6</v>
      </c>
      <c r="N115" s="65">
        <f t="shared" si="76"/>
        <v>6</v>
      </c>
      <c r="O115" s="101"/>
      <c r="P115" s="21"/>
      <c r="Q115" s="192">
        <v>6</v>
      </c>
      <c r="R115" s="23">
        <f t="shared" si="64"/>
        <v>0</v>
      </c>
      <c r="S115" s="52">
        <f t="shared" si="65"/>
        <v>0</v>
      </c>
      <c r="U115" s="51">
        <f t="shared" si="66"/>
        <v>69</v>
      </c>
      <c r="V115" s="23">
        <v>46</v>
      </c>
      <c r="W115" s="23">
        <f t="shared" si="67"/>
        <v>89</v>
      </c>
      <c r="Y115" s="78">
        <v>75</v>
      </c>
      <c r="Z115" s="62">
        <f t="shared" ref="Z115:Z118" si="77">U114+AA115</f>
        <v>66</v>
      </c>
      <c r="AA115" s="20"/>
      <c r="AB115" s="21"/>
      <c r="AC115" s="57">
        <v>66</v>
      </c>
      <c r="AD115" s="23">
        <f t="shared" si="68"/>
        <v>-60</v>
      </c>
      <c r="AE115" s="23">
        <f t="shared" si="69"/>
        <v>-60</v>
      </c>
      <c r="AF115" s="23"/>
      <c r="AG115" s="52">
        <v>25</v>
      </c>
    </row>
    <row r="116" spans="1:35" hidden="1" outlineLevel="1">
      <c r="A116" s="96">
        <v>45714</v>
      </c>
      <c r="B116" s="17" t="s">
        <v>20</v>
      </c>
      <c r="C116" s="101">
        <v>72</v>
      </c>
      <c r="D116" s="100">
        <f t="shared" si="61"/>
        <v>72</v>
      </c>
      <c r="E116" s="22">
        <f t="shared" si="62"/>
        <v>167</v>
      </c>
      <c r="G116" s="17"/>
      <c r="I116" s="51">
        <f>M117</f>
        <v>3</v>
      </c>
      <c r="J116" s="18">
        <v>3</v>
      </c>
      <c r="K116" s="23">
        <f t="shared" si="63"/>
        <v>0</v>
      </c>
      <c r="M116" s="78">
        <v>3</v>
      </c>
      <c r="N116" s="65">
        <f t="shared" si="76"/>
        <v>3</v>
      </c>
      <c r="O116" s="101"/>
      <c r="P116" s="21"/>
      <c r="Q116" s="192">
        <v>3</v>
      </c>
      <c r="R116" s="23">
        <f t="shared" si="64"/>
        <v>0</v>
      </c>
      <c r="S116" s="52">
        <f t="shared" si="65"/>
        <v>0</v>
      </c>
      <c r="U116" s="51">
        <f t="shared" si="66"/>
        <v>69</v>
      </c>
      <c r="V116" s="23">
        <v>69</v>
      </c>
      <c r="W116" s="23">
        <f t="shared" si="67"/>
        <v>89</v>
      </c>
      <c r="Y116" s="78">
        <v>57</v>
      </c>
      <c r="Z116" s="62">
        <f t="shared" si="77"/>
        <v>69</v>
      </c>
      <c r="AA116" s="20"/>
      <c r="AB116" s="21"/>
      <c r="AC116" s="57">
        <v>69</v>
      </c>
      <c r="AD116" s="23">
        <f t="shared" si="68"/>
        <v>-48</v>
      </c>
      <c r="AE116" s="23">
        <f t="shared" si="69"/>
        <v>-48</v>
      </c>
      <c r="AF116" s="23"/>
      <c r="AG116" s="52">
        <v>25</v>
      </c>
    </row>
    <row r="117" spans="1:35" hidden="1" outlineLevel="1">
      <c r="A117" s="96">
        <v>45715</v>
      </c>
      <c r="B117" s="17" t="s">
        <v>14</v>
      </c>
      <c r="C117" s="101">
        <v>72</v>
      </c>
      <c r="D117" s="100">
        <f t="shared" si="61"/>
        <v>43</v>
      </c>
      <c r="E117" s="22">
        <f t="shared" si="62"/>
        <v>138</v>
      </c>
      <c r="G117" s="17"/>
      <c r="I117" s="51">
        <f>M118</f>
        <v>6</v>
      </c>
      <c r="J117" s="18">
        <v>6</v>
      </c>
      <c r="K117" s="23">
        <f t="shared" si="63"/>
        <v>0</v>
      </c>
      <c r="M117" s="78">
        <v>3</v>
      </c>
      <c r="N117" s="65">
        <f t="shared" si="76"/>
        <v>3</v>
      </c>
      <c r="O117" s="101"/>
      <c r="P117" s="21"/>
      <c r="Q117" s="192">
        <v>3</v>
      </c>
      <c r="R117" s="23">
        <f t="shared" si="64"/>
        <v>0</v>
      </c>
      <c r="S117" s="52">
        <f t="shared" si="65"/>
        <v>0</v>
      </c>
      <c r="U117" s="51">
        <f t="shared" si="66"/>
        <v>66</v>
      </c>
      <c r="V117" s="23">
        <v>37</v>
      </c>
      <c r="W117" s="23">
        <f t="shared" si="67"/>
        <v>60</v>
      </c>
      <c r="Y117" s="78">
        <v>75</v>
      </c>
      <c r="Z117" s="62">
        <f t="shared" si="77"/>
        <v>54</v>
      </c>
      <c r="AA117" s="20">
        <v>-15</v>
      </c>
      <c r="AB117" s="21"/>
      <c r="AC117" s="57">
        <f>69-15</f>
        <v>54</v>
      </c>
      <c r="AD117" s="23">
        <f t="shared" si="68"/>
        <v>-69</v>
      </c>
      <c r="AE117" s="23">
        <f t="shared" si="69"/>
        <v>-69</v>
      </c>
      <c r="AF117" s="23"/>
      <c r="AG117" s="52">
        <v>25</v>
      </c>
    </row>
    <row r="118" spans="1:35" hidden="1" outlineLevel="1">
      <c r="A118" s="96">
        <v>45716</v>
      </c>
      <c r="B118" s="17" t="s">
        <v>15</v>
      </c>
      <c r="C118" s="101">
        <v>72</v>
      </c>
      <c r="D118" s="100">
        <f t="shared" si="61"/>
        <v>64</v>
      </c>
      <c r="E118" s="22">
        <f t="shared" si="62"/>
        <v>130</v>
      </c>
      <c r="G118" s="17"/>
      <c r="I118" s="51">
        <f>M121</f>
        <v>6</v>
      </c>
      <c r="J118" s="18">
        <v>6</v>
      </c>
      <c r="K118" s="23">
        <f t="shared" si="63"/>
        <v>0</v>
      </c>
      <c r="M118" s="78">
        <v>6</v>
      </c>
      <c r="N118" s="65">
        <f t="shared" si="76"/>
        <v>6</v>
      </c>
      <c r="O118" s="101"/>
      <c r="P118" s="21"/>
      <c r="Q118" s="192">
        <v>6</v>
      </c>
      <c r="R118" s="23">
        <f t="shared" si="64"/>
        <v>0</v>
      </c>
      <c r="S118" s="52">
        <f t="shared" si="65"/>
        <v>0</v>
      </c>
      <c r="U118" s="51">
        <f t="shared" si="66"/>
        <v>66</v>
      </c>
      <c r="V118" s="23">
        <v>58</v>
      </c>
      <c r="W118" s="23">
        <f t="shared" si="67"/>
        <v>52</v>
      </c>
      <c r="Y118" s="78">
        <v>60</v>
      </c>
      <c r="Z118" s="62">
        <f t="shared" si="77"/>
        <v>57</v>
      </c>
      <c r="AA118" s="20">
        <v>-9</v>
      </c>
      <c r="AB118" s="21"/>
      <c r="AC118" s="57">
        <v>12</v>
      </c>
      <c r="AD118" s="23">
        <f t="shared" si="68"/>
        <v>-117</v>
      </c>
      <c r="AE118" s="23">
        <f t="shared" si="69"/>
        <v>-72</v>
      </c>
      <c r="AF118" s="23"/>
      <c r="AG118" s="52">
        <f>24+19</f>
        <v>43</v>
      </c>
      <c r="AI118">
        <f>SUM(M114:M118,Y114:Y118)/5</f>
        <v>67.8</v>
      </c>
    </row>
    <row r="119" spans="1:35" s="12" customFormat="1" hidden="1" outlineLevel="1">
      <c r="A119" s="95">
        <v>45717</v>
      </c>
      <c r="B119" s="25" t="s">
        <v>16</v>
      </c>
      <c r="C119" s="98"/>
      <c r="D119" s="99">
        <f t="shared" si="61"/>
        <v>0</v>
      </c>
      <c r="E119" s="87">
        <f t="shared" si="62"/>
        <v>130</v>
      </c>
      <c r="G119" s="25"/>
      <c r="I119" s="53"/>
      <c r="J119" s="26"/>
      <c r="K119" s="29">
        <f t="shared" si="63"/>
        <v>0</v>
      </c>
      <c r="M119" s="79"/>
      <c r="N119" s="66"/>
      <c r="O119" s="98"/>
      <c r="P119" s="28"/>
      <c r="Q119" s="230"/>
      <c r="R119" s="29">
        <f t="shared" si="64"/>
        <v>0</v>
      </c>
      <c r="S119" s="54">
        <f t="shared" si="65"/>
        <v>0</v>
      </c>
      <c r="U119" s="53"/>
      <c r="V119" s="29"/>
      <c r="W119" s="29">
        <f t="shared" si="67"/>
        <v>52</v>
      </c>
      <c r="Y119" s="79"/>
      <c r="Z119" s="63"/>
      <c r="AA119" s="27"/>
      <c r="AB119" s="28"/>
      <c r="AC119" s="43"/>
      <c r="AD119" s="29">
        <f t="shared" si="68"/>
        <v>-117</v>
      </c>
      <c r="AE119" s="29">
        <f t="shared" si="69"/>
        <v>-72</v>
      </c>
      <c r="AF119" s="29"/>
      <c r="AG119" s="54"/>
    </row>
    <row r="120" spans="1:35" s="12" customFormat="1" hidden="1" outlineLevel="1" collapsed="1">
      <c r="A120" s="95">
        <v>45718</v>
      </c>
      <c r="B120" s="25" t="s">
        <v>17</v>
      </c>
      <c r="C120" s="98"/>
      <c r="D120" s="99">
        <f t="shared" si="61"/>
        <v>0</v>
      </c>
      <c r="E120" s="87">
        <f t="shared" ref="E120:E149" si="78">E119-C120+D120</f>
        <v>130</v>
      </c>
      <c r="G120" s="25"/>
      <c r="I120" s="53"/>
      <c r="J120" s="26"/>
      <c r="K120" s="29">
        <f t="shared" ref="K120:K149" si="79">J120-I120+K119</f>
        <v>0</v>
      </c>
      <c r="M120" s="79"/>
      <c r="N120" s="66"/>
      <c r="O120" s="98"/>
      <c r="P120" s="28"/>
      <c r="Q120" s="230"/>
      <c r="R120" s="29">
        <f t="shared" ref="R120:R149" si="80">R119-M120+Q120</f>
        <v>0</v>
      </c>
      <c r="S120" s="54">
        <f t="shared" ref="S120:S149" si="81">S119-M120+N120</f>
        <v>0</v>
      </c>
      <c r="U120" s="53"/>
      <c r="V120" s="29"/>
      <c r="W120" s="29">
        <f t="shared" ref="W120:W149" si="82">V120-U120+W119</f>
        <v>52</v>
      </c>
      <c r="Y120" s="79"/>
      <c r="Z120" s="63"/>
      <c r="AA120" s="27"/>
      <c r="AB120" s="28"/>
      <c r="AC120" s="43"/>
      <c r="AD120" s="29">
        <f t="shared" ref="AD120:AD149" si="83">AD119-Y120+AC120</f>
        <v>-117</v>
      </c>
      <c r="AE120" s="29">
        <f t="shared" ref="AE120:AE149" si="84">AE119-Y120+Z120</f>
        <v>-72</v>
      </c>
      <c r="AF120" s="29"/>
      <c r="AG120" s="54"/>
    </row>
    <row r="121" spans="1:35" hidden="1" outlineLevel="1">
      <c r="A121" s="96">
        <v>45719</v>
      </c>
      <c r="B121" s="17" t="s">
        <v>18</v>
      </c>
      <c r="C121" s="101">
        <v>48</v>
      </c>
      <c r="D121" s="100">
        <f t="shared" si="61"/>
        <v>33</v>
      </c>
      <c r="E121" s="22">
        <f t="shared" si="78"/>
        <v>115</v>
      </c>
      <c r="G121" s="17"/>
      <c r="I121" s="51">
        <f>M122</f>
        <v>0</v>
      </c>
      <c r="J121" s="18">
        <v>0</v>
      </c>
      <c r="K121" s="23">
        <f t="shared" si="79"/>
        <v>0</v>
      </c>
      <c r="M121" s="78">
        <v>6</v>
      </c>
      <c r="N121" s="65">
        <f t="shared" ref="N121:N125" si="85">M121</f>
        <v>6</v>
      </c>
      <c r="O121" s="101"/>
      <c r="P121" s="21"/>
      <c r="Q121" s="192">
        <v>6</v>
      </c>
      <c r="R121" s="23">
        <f t="shared" si="80"/>
        <v>0</v>
      </c>
      <c r="S121" s="52">
        <f t="shared" si="81"/>
        <v>0</v>
      </c>
      <c r="U121" s="51">
        <f t="shared" ref="U121:U125" si="86">C121-I121</f>
        <v>48</v>
      </c>
      <c r="V121" s="23">
        <v>33</v>
      </c>
      <c r="W121" s="23">
        <f t="shared" si="82"/>
        <v>37</v>
      </c>
      <c r="Y121" s="78">
        <v>48</v>
      </c>
      <c r="Z121" s="62">
        <f>U118+AA121</f>
        <v>60</v>
      </c>
      <c r="AA121" s="20">
        <v>-6</v>
      </c>
      <c r="AB121" s="21"/>
      <c r="AC121" s="57">
        <v>105</v>
      </c>
      <c r="AD121" s="23">
        <f t="shared" si="83"/>
        <v>-60</v>
      </c>
      <c r="AE121" s="23">
        <f t="shared" si="84"/>
        <v>-60</v>
      </c>
      <c r="AF121" s="23"/>
      <c r="AG121" s="52">
        <v>25</v>
      </c>
    </row>
    <row r="122" spans="1:35" hidden="1" outlineLevel="1">
      <c r="A122" s="96">
        <v>45720</v>
      </c>
      <c r="B122" s="17" t="s">
        <v>19</v>
      </c>
      <c r="C122" s="101">
        <v>48</v>
      </c>
      <c r="D122" s="100">
        <f t="shared" si="61"/>
        <v>47</v>
      </c>
      <c r="E122" s="22">
        <f t="shared" si="78"/>
        <v>114</v>
      </c>
      <c r="G122" s="17"/>
      <c r="I122" s="51">
        <f>M123</f>
        <v>6</v>
      </c>
      <c r="J122" s="18">
        <v>6</v>
      </c>
      <c r="K122" s="23">
        <f t="shared" si="79"/>
        <v>0</v>
      </c>
      <c r="M122" s="78">
        <v>0</v>
      </c>
      <c r="N122" s="65">
        <f t="shared" si="85"/>
        <v>0</v>
      </c>
      <c r="O122" s="101"/>
      <c r="P122" s="21"/>
      <c r="Q122" s="191"/>
      <c r="R122" s="23">
        <f t="shared" si="80"/>
        <v>0</v>
      </c>
      <c r="S122" s="52">
        <f t="shared" si="81"/>
        <v>0</v>
      </c>
      <c r="U122" s="51">
        <f t="shared" si="86"/>
        <v>42</v>
      </c>
      <c r="V122" s="23">
        <v>41</v>
      </c>
      <c r="W122" s="23">
        <f t="shared" si="82"/>
        <v>36</v>
      </c>
      <c r="Y122" s="78">
        <v>0</v>
      </c>
      <c r="Z122" s="65">
        <f>U121+AA122</f>
        <v>30</v>
      </c>
      <c r="AA122" s="20">
        <v>-18</v>
      </c>
      <c r="AB122" s="21"/>
      <c r="AC122" s="57">
        <v>30</v>
      </c>
      <c r="AD122" s="23">
        <f t="shared" si="83"/>
        <v>-30</v>
      </c>
      <c r="AE122" s="23">
        <f t="shared" si="84"/>
        <v>-30</v>
      </c>
      <c r="AF122" s="23"/>
      <c r="AG122" s="52">
        <v>30</v>
      </c>
    </row>
    <row r="123" spans="1:35" hidden="1" outlineLevel="1">
      <c r="A123" s="96">
        <v>45721</v>
      </c>
      <c r="B123" s="17" t="s">
        <v>20</v>
      </c>
      <c r="C123" s="101">
        <v>54</v>
      </c>
      <c r="D123" s="100">
        <f t="shared" si="61"/>
        <v>54</v>
      </c>
      <c r="E123" s="22">
        <f t="shared" si="78"/>
        <v>114</v>
      </c>
      <c r="G123" s="17"/>
      <c r="I123" s="51">
        <f>M124</f>
        <v>6</v>
      </c>
      <c r="J123" s="18">
        <v>6</v>
      </c>
      <c r="K123" s="23">
        <f t="shared" si="79"/>
        <v>0</v>
      </c>
      <c r="M123" s="78">
        <v>6</v>
      </c>
      <c r="N123" s="65">
        <f t="shared" si="85"/>
        <v>6</v>
      </c>
      <c r="O123" s="101"/>
      <c r="P123" s="21"/>
      <c r="Q123" s="192">
        <v>6</v>
      </c>
      <c r="R123" s="23">
        <f t="shared" si="80"/>
        <v>0</v>
      </c>
      <c r="S123" s="52">
        <f t="shared" si="81"/>
        <v>0</v>
      </c>
      <c r="U123" s="51">
        <f t="shared" si="86"/>
        <v>48</v>
      </c>
      <c r="V123" s="23">
        <v>48</v>
      </c>
      <c r="W123" s="23">
        <f t="shared" si="82"/>
        <v>36</v>
      </c>
      <c r="Y123" s="78">
        <v>72</v>
      </c>
      <c r="Z123" s="65">
        <f>U122+AA123</f>
        <v>30</v>
      </c>
      <c r="AA123" s="20">
        <v>-12</v>
      </c>
      <c r="AB123" s="21"/>
      <c r="AC123" s="57">
        <v>30</v>
      </c>
      <c r="AD123" s="23">
        <f t="shared" si="83"/>
        <v>-72</v>
      </c>
      <c r="AE123" s="23">
        <f t="shared" si="84"/>
        <v>-72</v>
      </c>
      <c r="AF123" s="23"/>
      <c r="AG123" s="52">
        <v>25</v>
      </c>
    </row>
    <row r="124" spans="1:35" hidden="1" outlineLevel="1">
      <c r="A124" s="96">
        <v>45722</v>
      </c>
      <c r="B124" s="17" t="s">
        <v>14</v>
      </c>
      <c r="C124" s="101">
        <v>54</v>
      </c>
      <c r="D124" s="100">
        <f t="shared" si="61"/>
        <v>36</v>
      </c>
      <c r="E124" s="22">
        <f t="shared" si="78"/>
        <v>96</v>
      </c>
      <c r="G124" s="17"/>
      <c r="I124" s="51">
        <f>M125</f>
        <v>6</v>
      </c>
      <c r="J124" s="18">
        <v>6</v>
      </c>
      <c r="K124" s="23">
        <f t="shared" si="79"/>
        <v>0</v>
      </c>
      <c r="M124" s="78">
        <v>6</v>
      </c>
      <c r="N124" s="65">
        <f t="shared" si="85"/>
        <v>6</v>
      </c>
      <c r="O124" s="101"/>
      <c r="P124" s="21"/>
      <c r="Q124" s="192">
        <v>6</v>
      </c>
      <c r="R124" s="23">
        <f t="shared" si="80"/>
        <v>0</v>
      </c>
      <c r="S124" s="52">
        <f t="shared" si="81"/>
        <v>0</v>
      </c>
      <c r="U124" s="51">
        <f t="shared" si="86"/>
        <v>48</v>
      </c>
      <c r="V124" s="23">
        <v>30</v>
      </c>
      <c r="W124" s="23">
        <f t="shared" si="82"/>
        <v>18</v>
      </c>
      <c r="Y124" s="78">
        <v>54</v>
      </c>
      <c r="Z124" s="65">
        <f>U123+AA124</f>
        <v>48</v>
      </c>
      <c r="AA124" s="20"/>
      <c r="AB124" s="21"/>
      <c r="AC124" s="57">
        <v>48</v>
      </c>
      <c r="AD124" s="23">
        <f t="shared" si="83"/>
        <v>-78</v>
      </c>
      <c r="AE124" s="23">
        <f t="shared" si="84"/>
        <v>-78</v>
      </c>
      <c r="AF124" s="23"/>
      <c r="AG124" s="52">
        <v>25</v>
      </c>
    </row>
    <row r="125" spans="1:35" hidden="1" outlineLevel="1">
      <c r="A125" s="96">
        <v>45723</v>
      </c>
      <c r="B125" s="17" t="s">
        <v>15</v>
      </c>
      <c r="C125" s="101">
        <v>54</v>
      </c>
      <c r="D125" s="100">
        <f t="shared" si="61"/>
        <v>54</v>
      </c>
      <c r="E125" s="22">
        <f t="shared" si="78"/>
        <v>96</v>
      </c>
      <c r="G125" s="17"/>
      <c r="I125" s="51">
        <f>M128</f>
        <v>6</v>
      </c>
      <c r="J125" s="18">
        <v>6</v>
      </c>
      <c r="K125" s="23">
        <f t="shared" si="79"/>
        <v>0</v>
      </c>
      <c r="M125" s="78">
        <v>6</v>
      </c>
      <c r="N125" s="65">
        <f t="shared" si="85"/>
        <v>6</v>
      </c>
      <c r="O125" s="101"/>
      <c r="P125" s="21"/>
      <c r="Q125" s="192">
        <v>6</v>
      </c>
      <c r="R125" s="23">
        <f t="shared" si="80"/>
        <v>0</v>
      </c>
      <c r="S125" s="52">
        <f t="shared" si="81"/>
        <v>0</v>
      </c>
      <c r="U125" s="51">
        <f t="shared" si="86"/>
        <v>48</v>
      </c>
      <c r="V125" s="23">
        <v>48</v>
      </c>
      <c r="W125" s="23">
        <f t="shared" si="82"/>
        <v>18</v>
      </c>
      <c r="Y125" s="78">
        <v>72</v>
      </c>
      <c r="Z125" s="65">
        <f>U124+AA125</f>
        <v>48</v>
      </c>
      <c r="AA125" s="20"/>
      <c r="AB125" s="21"/>
      <c r="AC125" s="57">
        <v>48</v>
      </c>
      <c r="AD125" s="23">
        <f t="shared" si="83"/>
        <v>-102</v>
      </c>
      <c r="AE125" s="23">
        <f t="shared" si="84"/>
        <v>-102</v>
      </c>
      <c r="AF125" s="23"/>
      <c r="AG125" s="52">
        <v>30</v>
      </c>
      <c r="AI125">
        <f>SUM(M121:M125,Y121:Y125)/5</f>
        <v>54</v>
      </c>
    </row>
    <row r="126" spans="1:35" s="12" customFormat="1" hidden="1" outlineLevel="1">
      <c r="A126" s="95">
        <v>45724</v>
      </c>
      <c r="B126" s="25" t="s">
        <v>16</v>
      </c>
      <c r="C126" s="98"/>
      <c r="D126" s="99">
        <f t="shared" si="61"/>
        <v>0</v>
      </c>
      <c r="E126" s="87">
        <f t="shared" si="78"/>
        <v>96</v>
      </c>
      <c r="G126" s="25"/>
      <c r="I126" s="53"/>
      <c r="J126" s="26"/>
      <c r="K126" s="29">
        <f t="shared" si="79"/>
        <v>0</v>
      </c>
      <c r="M126" s="79"/>
      <c r="N126" s="66"/>
      <c r="O126" s="98"/>
      <c r="P126" s="28"/>
      <c r="Q126" s="230"/>
      <c r="R126" s="29">
        <f t="shared" si="80"/>
        <v>0</v>
      </c>
      <c r="S126" s="54">
        <f t="shared" si="81"/>
        <v>0</v>
      </c>
      <c r="U126" s="53"/>
      <c r="V126" s="29"/>
      <c r="W126" s="29">
        <f t="shared" si="82"/>
        <v>18</v>
      </c>
      <c r="Y126" s="79"/>
      <c r="Z126" s="63"/>
      <c r="AA126" s="27"/>
      <c r="AB126" s="28"/>
      <c r="AC126" s="43"/>
      <c r="AD126" s="29">
        <f t="shared" si="83"/>
        <v>-102</v>
      </c>
      <c r="AE126" s="29">
        <f t="shared" si="84"/>
        <v>-102</v>
      </c>
      <c r="AF126" s="29"/>
      <c r="AG126" s="54"/>
    </row>
    <row r="127" spans="1:35" s="12" customFormat="1" hidden="1" outlineLevel="1" collapsed="1">
      <c r="A127" s="95">
        <v>45725</v>
      </c>
      <c r="B127" s="25" t="s">
        <v>17</v>
      </c>
      <c r="C127" s="98"/>
      <c r="D127" s="99">
        <f t="shared" si="61"/>
        <v>0</v>
      </c>
      <c r="E127" s="87">
        <f t="shared" si="78"/>
        <v>96</v>
      </c>
      <c r="G127" s="25"/>
      <c r="I127" s="53"/>
      <c r="J127" s="26"/>
      <c r="K127" s="29">
        <f t="shared" si="79"/>
        <v>0</v>
      </c>
      <c r="M127" s="79"/>
      <c r="N127" s="66"/>
      <c r="O127" s="98"/>
      <c r="P127" s="28"/>
      <c r="Q127" s="230"/>
      <c r="R127" s="29">
        <f t="shared" si="80"/>
        <v>0</v>
      </c>
      <c r="S127" s="54">
        <f t="shared" si="81"/>
        <v>0</v>
      </c>
      <c r="U127" s="53"/>
      <c r="V127" s="29"/>
      <c r="W127" s="29">
        <f t="shared" si="82"/>
        <v>18</v>
      </c>
      <c r="Y127" s="79"/>
      <c r="Z127" s="63"/>
      <c r="AA127" s="27"/>
      <c r="AB127" s="28"/>
      <c r="AC127" s="43"/>
      <c r="AD127" s="29">
        <f t="shared" si="83"/>
        <v>-102</v>
      </c>
      <c r="AE127" s="29">
        <f t="shared" si="84"/>
        <v>-102</v>
      </c>
      <c r="AF127" s="29"/>
      <c r="AG127" s="54"/>
    </row>
    <row r="128" spans="1:35" hidden="1" outlineLevel="1">
      <c r="A128" s="96">
        <v>45726</v>
      </c>
      <c r="B128" s="17" t="s">
        <v>18</v>
      </c>
      <c r="C128" s="101">
        <v>69</v>
      </c>
      <c r="D128" s="100">
        <f t="shared" si="61"/>
        <v>51</v>
      </c>
      <c r="E128" s="22">
        <f t="shared" si="78"/>
        <v>78</v>
      </c>
      <c r="G128" s="17"/>
      <c r="I128" s="51">
        <f>M129</f>
        <v>6</v>
      </c>
      <c r="J128" s="18">
        <v>6</v>
      </c>
      <c r="K128" s="23">
        <f t="shared" si="79"/>
        <v>0</v>
      </c>
      <c r="M128" s="78">
        <v>6</v>
      </c>
      <c r="N128" s="65">
        <f t="shared" ref="N128:N132" si="87">M128</f>
        <v>6</v>
      </c>
      <c r="O128" s="101"/>
      <c r="P128" s="21"/>
      <c r="Q128" s="192">
        <v>6</v>
      </c>
      <c r="R128" s="23">
        <f t="shared" si="80"/>
        <v>0</v>
      </c>
      <c r="S128" s="52">
        <f t="shared" si="81"/>
        <v>0</v>
      </c>
      <c r="U128" s="51">
        <f t="shared" ref="U128:U132" si="88">C128-I128</f>
        <v>63</v>
      </c>
      <c r="V128" s="23">
        <v>45</v>
      </c>
      <c r="W128" s="23">
        <f t="shared" si="82"/>
        <v>0</v>
      </c>
      <c r="Y128" s="78">
        <v>51</v>
      </c>
      <c r="Z128" s="62">
        <f>U125+AA128</f>
        <v>48</v>
      </c>
      <c r="AA128" s="20"/>
      <c r="AB128" s="21"/>
      <c r="AC128" s="57">
        <v>48</v>
      </c>
      <c r="AD128" s="23">
        <f t="shared" si="83"/>
        <v>-105</v>
      </c>
      <c r="AE128" s="23">
        <f t="shared" si="84"/>
        <v>-105</v>
      </c>
      <c r="AF128" s="23"/>
      <c r="AG128" s="52">
        <v>25</v>
      </c>
    </row>
    <row r="129" spans="1:39" hidden="1" outlineLevel="1">
      <c r="A129" s="96">
        <v>45727</v>
      </c>
      <c r="B129" s="17" t="s">
        <v>19</v>
      </c>
      <c r="C129" s="101">
        <v>69</v>
      </c>
      <c r="D129" s="100">
        <f t="shared" si="61"/>
        <v>66</v>
      </c>
      <c r="E129" s="22">
        <f t="shared" si="78"/>
        <v>75</v>
      </c>
      <c r="G129" s="17"/>
      <c r="I129" s="51">
        <f>M130</f>
        <v>6</v>
      </c>
      <c r="J129" s="18">
        <v>6</v>
      </c>
      <c r="K129" s="23">
        <f t="shared" si="79"/>
        <v>0</v>
      </c>
      <c r="M129" s="78">
        <v>6</v>
      </c>
      <c r="N129" s="65">
        <f t="shared" si="87"/>
        <v>6</v>
      </c>
      <c r="O129" s="101"/>
      <c r="P129" s="21"/>
      <c r="Q129" s="192">
        <v>6</v>
      </c>
      <c r="R129" s="23">
        <f t="shared" si="80"/>
        <v>0</v>
      </c>
      <c r="S129" s="52">
        <f t="shared" si="81"/>
        <v>0</v>
      </c>
      <c r="U129" s="51">
        <f t="shared" si="88"/>
        <v>63</v>
      </c>
      <c r="V129" s="23">
        <v>60</v>
      </c>
      <c r="W129" s="23">
        <f t="shared" si="82"/>
        <v>-3</v>
      </c>
      <c r="Y129" s="78">
        <v>69</v>
      </c>
      <c r="Z129" s="62">
        <f t="shared" ref="Z129:Z132" si="89">U128+AA129</f>
        <v>45</v>
      </c>
      <c r="AA129" s="20">
        <v>-18</v>
      </c>
      <c r="AB129" s="21"/>
      <c r="AC129" s="57">
        <v>45</v>
      </c>
      <c r="AD129" s="23">
        <f t="shared" si="83"/>
        <v>-129</v>
      </c>
      <c r="AE129" s="23">
        <f t="shared" si="84"/>
        <v>-129</v>
      </c>
      <c r="AF129" s="23"/>
      <c r="AG129" s="52">
        <v>25</v>
      </c>
      <c r="AL129" s="1" t="s">
        <v>64</v>
      </c>
    </row>
    <row r="130" spans="1:39" hidden="1" outlineLevel="1">
      <c r="A130" s="96">
        <v>45728</v>
      </c>
      <c r="B130" s="17" t="s">
        <v>20</v>
      </c>
      <c r="C130" s="101">
        <v>69</v>
      </c>
      <c r="D130" s="100">
        <f t="shared" si="61"/>
        <v>69</v>
      </c>
      <c r="E130" s="22">
        <f t="shared" si="78"/>
        <v>75</v>
      </c>
      <c r="G130" s="17"/>
      <c r="I130" s="51">
        <f>M131</f>
        <v>6</v>
      </c>
      <c r="J130" s="18">
        <v>6</v>
      </c>
      <c r="K130" s="23">
        <f t="shared" si="79"/>
        <v>0</v>
      </c>
      <c r="M130" s="78">
        <v>6</v>
      </c>
      <c r="N130" s="65">
        <f t="shared" si="87"/>
        <v>6</v>
      </c>
      <c r="O130" s="101"/>
      <c r="P130" s="21"/>
      <c r="Q130" s="192">
        <v>6</v>
      </c>
      <c r="R130" s="23">
        <f t="shared" si="80"/>
        <v>0</v>
      </c>
      <c r="S130" s="52">
        <f t="shared" si="81"/>
        <v>0</v>
      </c>
      <c r="U130" s="51">
        <f t="shared" si="88"/>
        <v>63</v>
      </c>
      <c r="V130" s="23">
        <v>63</v>
      </c>
      <c r="W130" s="23">
        <f t="shared" si="82"/>
        <v>-3</v>
      </c>
      <c r="Y130" s="78">
        <v>72</v>
      </c>
      <c r="Z130" s="62">
        <f t="shared" si="89"/>
        <v>63</v>
      </c>
      <c r="AA130" s="20"/>
      <c r="AB130" s="21"/>
      <c r="AC130" s="57">
        <v>63</v>
      </c>
      <c r="AD130" s="23">
        <f t="shared" si="83"/>
        <v>-138</v>
      </c>
      <c r="AE130" s="23">
        <f t="shared" si="84"/>
        <v>-138</v>
      </c>
      <c r="AF130" s="23"/>
      <c r="AG130" s="52">
        <v>25</v>
      </c>
      <c r="AK130" s="1">
        <f>S130+AE130+'SS23 フレームコンプ(フロント) (末番2)'!S54+'SS23 フレームコンプ(フロント) (末番2)'!AE54</f>
        <v>-210</v>
      </c>
      <c r="AL130" s="1">
        <v>109</v>
      </c>
      <c r="AM130" s="1">
        <f>AK130+AL130</f>
        <v>-101</v>
      </c>
    </row>
    <row r="131" spans="1:39" hidden="1" outlineLevel="1">
      <c r="A131" s="96">
        <v>45729</v>
      </c>
      <c r="B131" s="17" t="s">
        <v>14</v>
      </c>
      <c r="C131" s="101">
        <v>69</v>
      </c>
      <c r="D131" s="100">
        <f t="shared" si="61"/>
        <v>66</v>
      </c>
      <c r="E131" s="22">
        <f t="shared" si="78"/>
        <v>72</v>
      </c>
      <c r="G131" s="17"/>
      <c r="I131" s="51">
        <f>M132</f>
        <v>6</v>
      </c>
      <c r="J131" s="18">
        <v>6</v>
      </c>
      <c r="K131" s="23">
        <f t="shared" si="79"/>
        <v>0</v>
      </c>
      <c r="M131" s="78">
        <v>6</v>
      </c>
      <c r="N131" s="65">
        <f t="shared" si="87"/>
        <v>6</v>
      </c>
      <c r="O131" s="101"/>
      <c r="P131" s="21"/>
      <c r="Q131" s="192">
        <v>6</v>
      </c>
      <c r="R131" s="23">
        <f t="shared" si="80"/>
        <v>0</v>
      </c>
      <c r="S131" s="52">
        <f t="shared" si="81"/>
        <v>0</v>
      </c>
      <c r="U131" s="51">
        <f t="shared" si="88"/>
        <v>63</v>
      </c>
      <c r="V131" s="23">
        <v>60</v>
      </c>
      <c r="W131" s="23">
        <f t="shared" si="82"/>
        <v>-6</v>
      </c>
      <c r="Y131" s="78">
        <v>54</v>
      </c>
      <c r="Z131" s="62">
        <f t="shared" si="89"/>
        <v>63</v>
      </c>
      <c r="AA131" s="20"/>
      <c r="AB131" s="21"/>
      <c r="AC131" s="57">
        <v>63</v>
      </c>
      <c r="AD131" s="23">
        <f t="shared" si="83"/>
        <v>-129</v>
      </c>
      <c r="AE131" s="23">
        <f t="shared" si="84"/>
        <v>-129</v>
      </c>
      <c r="AF131" s="23"/>
      <c r="AG131" s="52">
        <v>22</v>
      </c>
    </row>
    <row r="132" spans="1:39" hidden="1" outlineLevel="1">
      <c r="A132" s="96">
        <v>45730</v>
      </c>
      <c r="B132" s="17" t="s">
        <v>15</v>
      </c>
      <c r="C132" s="101">
        <v>69</v>
      </c>
      <c r="D132" s="100">
        <f t="shared" si="61"/>
        <v>66</v>
      </c>
      <c r="E132" s="22">
        <f t="shared" si="78"/>
        <v>69</v>
      </c>
      <c r="G132" s="17"/>
      <c r="I132" s="51">
        <f>M135</f>
        <v>6</v>
      </c>
      <c r="J132" s="18">
        <v>6</v>
      </c>
      <c r="K132" s="23">
        <f t="shared" si="79"/>
        <v>0</v>
      </c>
      <c r="M132" s="78">
        <v>6</v>
      </c>
      <c r="N132" s="65">
        <f t="shared" si="87"/>
        <v>6</v>
      </c>
      <c r="O132" s="101"/>
      <c r="P132" s="21"/>
      <c r="Q132" s="192">
        <v>6</v>
      </c>
      <c r="R132" s="23">
        <f t="shared" si="80"/>
        <v>0</v>
      </c>
      <c r="S132" s="52">
        <f t="shared" si="81"/>
        <v>0</v>
      </c>
      <c r="U132" s="51">
        <f t="shared" si="88"/>
        <v>63</v>
      </c>
      <c r="V132" s="23">
        <v>60</v>
      </c>
      <c r="W132" s="23">
        <f t="shared" si="82"/>
        <v>-9</v>
      </c>
      <c r="Y132" s="78">
        <v>72</v>
      </c>
      <c r="Z132" s="62">
        <f t="shared" si="89"/>
        <v>63</v>
      </c>
      <c r="AA132" s="20"/>
      <c r="AB132" s="21"/>
      <c r="AC132" s="57">
        <v>63</v>
      </c>
      <c r="AD132" s="23">
        <f t="shared" si="83"/>
        <v>-138</v>
      </c>
      <c r="AE132" s="23">
        <f t="shared" si="84"/>
        <v>-138</v>
      </c>
      <c r="AF132" s="23"/>
      <c r="AG132" s="52">
        <v>25</v>
      </c>
      <c r="AI132">
        <f>SUM(M128:M132,Y128:Y132)/5</f>
        <v>69.599999999999994</v>
      </c>
    </row>
    <row r="133" spans="1:39" s="12" customFormat="1" hidden="1" outlineLevel="1">
      <c r="A133" s="95">
        <v>45731</v>
      </c>
      <c r="B133" s="25" t="s">
        <v>16</v>
      </c>
      <c r="C133" s="98"/>
      <c r="D133" s="99">
        <f t="shared" si="61"/>
        <v>0</v>
      </c>
      <c r="E133" s="87">
        <f t="shared" si="78"/>
        <v>69</v>
      </c>
      <c r="G133" s="25"/>
      <c r="I133" s="53"/>
      <c r="J133" s="26"/>
      <c r="K133" s="29">
        <f t="shared" si="79"/>
        <v>0</v>
      </c>
      <c r="M133" s="79"/>
      <c r="N133" s="66"/>
      <c r="O133" s="98"/>
      <c r="P133" s="28"/>
      <c r="Q133" s="230"/>
      <c r="R133" s="29">
        <f t="shared" si="80"/>
        <v>0</v>
      </c>
      <c r="S133" s="54">
        <f t="shared" si="81"/>
        <v>0</v>
      </c>
      <c r="U133" s="53"/>
      <c r="V133" s="29"/>
      <c r="W133" s="29">
        <f t="shared" si="82"/>
        <v>-9</v>
      </c>
      <c r="Y133" s="79"/>
      <c r="Z133" s="63"/>
      <c r="AA133" s="27"/>
      <c r="AB133" s="28"/>
      <c r="AC133" s="43"/>
      <c r="AD133" s="29">
        <f t="shared" si="83"/>
        <v>-138</v>
      </c>
      <c r="AE133" s="29">
        <f t="shared" si="84"/>
        <v>-138</v>
      </c>
      <c r="AF133" s="29"/>
      <c r="AG133" s="54"/>
    </row>
    <row r="134" spans="1:39" s="12" customFormat="1" hidden="1" outlineLevel="1" collapsed="1">
      <c r="A134" s="95">
        <v>45732</v>
      </c>
      <c r="B134" s="25" t="s">
        <v>17</v>
      </c>
      <c r="C134" s="98"/>
      <c r="D134" s="99">
        <f t="shared" si="61"/>
        <v>0</v>
      </c>
      <c r="E134" s="87">
        <f t="shared" si="78"/>
        <v>69</v>
      </c>
      <c r="G134" s="25"/>
      <c r="I134" s="53"/>
      <c r="J134" s="26"/>
      <c r="K134" s="29">
        <f t="shared" si="79"/>
        <v>0</v>
      </c>
      <c r="M134" s="79"/>
      <c r="N134" s="66"/>
      <c r="O134" s="98"/>
      <c r="P134" s="28"/>
      <c r="Q134" s="230"/>
      <c r="R134" s="29">
        <f t="shared" si="80"/>
        <v>0</v>
      </c>
      <c r="S134" s="54">
        <f t="shared" si="81"/>
        <v>0</v>
      </c>
      <c r="U134" s="53"/>
      <c r="V134" s="29"/>
      <c r="W134" s="29">
        <f t="shared" si="82"/>
        <v>-9</v>
      </c>
      <c r="Y134" s="79"/>
      <c r="Z134" s="63"/>
      <c r="AA134" s="27"/>
      <c r="AB134" s="28"/>
      <c r="AC134" s="43"/>
      <c r="AD134" s="29">
        <f t="shared" si="83"/>
        <v>-138</v>
      </c>
      <c r="AE134" s="29">
        <f t="shared" si="84"/>
        <v>-138</v>
      </c>
      <c r="AF134" s="29"/>
      <c r="AG134" s="54"/>
    </row>
    <row r="135" spans="1:39" hidden="1" outlineLevel="1">
      <c r="A135" s="96">
        <v>45733</v>
      </c>
      <c r="B135" s="17" t="s">
        <v>18</v>
      </c>
      <c r="C135" s="101">
        <v>72</v>
      </c>
      <c r="D135" s="100">
        <f t="shared" si="61"/>
        <v>73</v>
      </c>
      <c r="E135" s="22">
        <f t="shared" si="78"/>
        <v>70</v>
      </c>
      <c r="G135" s="17"/>
      <c r="I135" s="51">
        <f>M136</f>
        <v>6</v>
      </c>
      <c r="J135" s="18">
        <v>6</v>
      </c>
      <c r="K135" s="23">
        <f t="shared" si="79"/>
        <v>0</v>
      </c>
      <c r="M135" s="78">
        <v>6</v>
      </c>
      <c r="N135" s="65">
        <f t="shared" ref="N135:N139" si="90">M135</f>
        <v>6</v>
      </c>
      <c r="O135" s="101"/>
      <c r="P135" s="21"/>
      <c r="Q135" s="192">
        <v>6</v>
      </c>
      <c r="R135" s="23">
        <f t="shared" si="80"/>
        <v>0</v>
      </c>
      <c r="S135" s="52">
        <f t="shared" si="81"/>
        <v>0</v>
      </c>
      <c r="U135" s="51">
        <f t="shared" ref="U135:U139" si="91">C135-I135</f>
        <v>66</v>
      </c>
      <c r="V135" s="23">
        <v>67</v>
      </c>
      <c r="W135" s="23">
        <f t="shared" si="82"/>
        <v>-8</v>
      </c>
      <c r="Y135" s="78">
        <v>54</v>
      </c>
      <c r="Z135" s="62">
        <f>U132+AA135</f>
        <v>63</v>
      </c>
      <c r="AA135" s="20"/>
      <c r="AB135" s="21"/>
      <c r="AC135" s="57">
        <v>63</v>
      </c>
      <c r="AD135" s="23">
        <f t="shared" si="83"/>
        <v>-129</v>
      </c>
      <c r="AE135" s="23">
        <f t="shared" si="84"/>
        <v>-129</v>
      </c>
      <c r="AF135" s="23"/>
      <c r="AG135" s="52">
        <v>25</v>
      </c>
    </row>
    <row r="136" spans="1:39" hidden="1" outlineLevel="1">
      <c r="A136" s="96">
        <v>45734</v>
      </c>
      <c r="B136" s="17" t="s">
        <v>19</v>
      </c>
      <c r="C136" s="101">
        <v>72</v>
      </c>
      <c r="D136" s="100">
        <f t="shared" si="61"/>
        <v>36</v>
      </c>
      <c r="E136" s="22">
        <f t="shared" si="78"/>
        <v>34</v>
      </c>
      <c r="G136" s="17"/>
      <c r="I136" s="51">
        <f>M137</f>
        <v>6</v>
      </c>
      <c r="J136" s="18">
        <v>6</v>
      </c>
      <c r="K136" s="23">
        <f t="shared" si="79"/>
        <v>0</v>
      </c>
      <c r="M136" s="78">
        <v>6</v>
      </c>
      <c r="N136" s="65">
        <f t="shared" si="90"/>
        <v>6</v>
      </c>
      <c r="O136" s="101"/>
      <c r="P136" s="21"/>
      <c r="Q136" s="192">
        <v>6</v>
      </c>
      <c r="R136" s="23">
        <f t="shared" si="80"/>
        <v>0</v>
      </c>
      <c r="S136" s="52">
        <f t="shared" si="81"/>
        <v>0</v>
      </c>
      <c r="U136" s="51">
        <f t="shared" si="91"/>
        <v>66</v>
      </c>
      <c r="V136" s="23">
        <v>30</v>
      </c>
      <c r="W136" s="23">
        <f t="shared" si="82"/>
        <v>-44</v>
      </c>
      <c r="Y136" s="78">
        <v>72</v>
      </c>
      <c r="Z136" s="62">
        <f t="shared" ref="Z136:Z139" si="92">U135+AA136</f>
        <v>66</v>
      </c>
      <c r="AA136" s="20"/>
      <c r="AB136" s="21"/>
      <c r="AC136" s="57">
        <v>66</v>
      </c>
      <c r="AD136" s="23">
        <f t="shared" si="83"/>
        <v>-135</v>
      </c>
      <c r="AE136" s="23">
        <f t="shared" si="84"/>
        <v>-135</v>
      </c>
      <c r="AF136" s="23"/>
      <c r="AG136" s="52">
        <v>30</v>
      </c>
    </row>
    <row r="137" spans="1:39" hidden="1" outlineLevel="1">
      <c r="A137" s="96">
        <v>45735</v>
      </c>
      <c r="B137" s="17" t="s">
        <v>20</v>
      </c>
      <c r="C137" s="101">
        <v>72</v>
      </c>
      <c r="D137" s="100">
        <f t="shared" si="61"/>
        <v>38</v>
      </c>
      <c r="E137" s="22">
        <f t="shared" si="78"/>
        <v>0</v>
      </c>
      <c r="G137" s="17"/>
      <c r="I137" s="51">
        <f>M138</f>
        <v>3</v>
      </c>
      <c r="J137" s="18">
        <v>3</v>
      </c>
      <c r="K137" s="23">
        <f t="shared" si="79"/>
        <v>0</v>
      </c>
      <c r="M137" s="78">
        <v>6</v>
      </c>
      <c r="N137" s="65">
        <f t="shared" si="90"/>
        <v>6</v>
      </c>
      <c r="O137" s="101"/>
      <c r="P137" s="21"/>
      <c r="Q137" s="192">
        <v>6</v>
      </c>
      <c r="R137" s="23">
        <f t="shared" si="80"/>
        <v>0</v>
      </c>
      <c r="S137" s="52">
        <f t="shared" si="81"/>
        <v>0</v>
      </c>
      <c r="U137" s="51">
        <f t="shared" si="91"/>
        <v>69</v>
      </c>
      <c r="V137" s="23">
        <v>35</v>
      </c>
      <c r="W137" s="23">
        <f t="shared" si="82"/>
        <v>-78</v>
      </c>
      <c r="Y137" s="78">
        <v>69</v>
      </c>
      <c r="Z137" s="175">
        <f t="shared" si="92"/>
        <v>24</v>
      </c>
      <c r="AA137" s="20">
        <v>-42</v>
      </c>
      <c r="AB137" s="21"/>
      <c r="AC137" s="57">
        <v>24</v>
      </c>
      <c r="AD137" s="23">
        <f t="shared" si="83"/>
        <v>-180</v>
      </c>
      <c r="AE137" s="23">
        <f t="shared" si="84"/>
        <v>-180</v>
      </c>
      <c r="AF137" s="23"/>
      <c r="AG137" s="52">
        <v>30</v>
      </c>
    </row>
    <row r="138" spans="1:39" hidden="1" outlineLevel="1">
      <c r="A138" s="96">
        <v>45736</v>
      </c>
      <c r="B138" s="17" t="s">
        <v>14</v>
      </c>
      <c r="C138" s="101">
        <v>72</v>
      </c>
      <c r="D138" s="100">
        <f t="shared" si="61"/>
        <v>68</v>
      </c>
      <c r="E138" s="22">
        <f t="shared" si="78"/>
        <v>-4</v>
      </c>
      <c r="G138" s="17"/>
      <c r="I138" s="51">
        <f>M139</f>
        <v>9</v>
      </c>
      <c r="J138" s="18">
        <v>12</v>
      </c>
      <c r="K138" s="23">
        <f t="shared" si="79"/>
        <v>3</v>
      </c>
      <c r="M138" s="78">
        <v>3</v>
      </c>
      <c r="N138" s="65">
        <f t="shared" si="90"/>
        <v>3</v>
      </c>
      <c r="O138" s="101"/>
      <c r="P138" s="21"/>
      <c r="Q138" s="192">
        <v>3</v>
      </c>
      <c r="R138" s="23">
        <f t="shared" si="80"/>
        <v>0</v>
      </c>
      <c r="S138" s="52">
        <f t="shared" si="81"/>
        <v>0</v>
      </c>
      <c r="U138" s="51">
        <f t="shared" si="91"/>
        <v>63</v>
      </c>
      <c r="V138" s="23">
        <v>56</v>
      </c>
      <c r="W138" s="23">
        <f t="shared" si="82"/>
        <v>-85</v>
      </c>
      <c r="Y138" s="78">
        <v>28</v>
      </c>
      <c r="Z138" s="175">
        <f t="shared" si="92"/>
        <v>31</v>
      </c>
      <c r="AA138" s="20">
        <v>-38</v>
      </c>
      <c r="AB138" s="21"/>
      <c r="AC138" s="57">
        <v>31</v>
      </c>
      <c r="AD138" s="23">
        <f t="shared" si="83"/>
        <v>-177</v>
      </c>
      <c r="AE138" s="23">
        <f t="shared" si="84"/>
        <v>-177</v>
      </c>
      <c r="AF138" s="23"/>
      <c r="AG138" s="52">
        <v>44</v>
      </c>
    </row>
    <row r="139" spans="1:39" hidden="1" outlineLevel="1">
      <c r="A139" s="96">
        <v>45737</v>
      </c>
      <c r="B139" s="17" t="s">
        <v>15</v>
      </c>
      <c r="C139" s="101">
        <v>72</v>
      </c>
      <c r="D139" s="100">
        <f t="shared" si="61"/>
        <v>26</v>
      </c>
      <c r="E139" s="22">
        <f t="shared" si="78"/>
        <v>-50</v>
      </c>
      <c r="G139" s="17"/>
      <c r="I139" s="51">
        <f>M142</f>
        <v>3</v>
      </c>
      <c r="J139" s="18">
        <v>0</v>
      </c>
      <c r="K139" s="23">
        <f t="shared" si="79"/>
        <v>0</v>
      </c>
      <c r="M139" s="78">
        <v>9</v>
      </c>
      <c r="N139" s="65">
        <f t="shared" si="90"/>
        <v>9</v>
      </c>
      <c r="O139" s="101"/>
      <c r="P139" s="21"/>
      <c r="Q139" s="192">
        <v>9</v>
      </c>
      <c r="R139" s="23">
        <f t="shared" si="80"/>
        <v>0</v>
      </c>
      <c r="S139" s="52">
        <f t="shared" si="81"/>
        <v>0</v>
      </c>
      <c r="U139" s="51">
        <f t="shared" si="91"/>
        <v>69</v>
      </c>
      <c r="V139" s="23">
        <v>26</v>
      </c>
      <c r="W139" s="23">
        <f t="shared" si="82"/>
        <v>-128</v>
      </c>
      <c r="Y139" s="78">
        <v>69</v>
      </c>
      <c r="Z139" s="62">
        <f t="shared" si="92"/>
        <v>63</v>
      </c>
      <c r="AA139" s="20"/>
      <c r="AB139" s="21"/>
      <c r="AC139" s="57">
        <v>63</v>
      </c>
      <c r="AD139" s="23">
        <f t="shared" si="83"/>
        <v>-183</v>
      </c>
      <c r="AE139" s="23">
        <f t="shared" si="84"/>
        <v>-183</v>
      </c>
      <c r="AF139" s="23"/>
      <c r="AG139" s="52">
        <v>30</v>
      </c>
      <c r="AI139">
        <f>SUM(M135:M139,Y135:Y139)/5</f>
        <v>64.400000000000006</v>
      </c>
    </row>
    <row r="140" spans="1:39" s="12" customFormat="1" hidden="1" outlineLevel="1">
      <c r="A140" s="95">
        <v>45738</v>
      </c>
      <c r="B140" s="25" t="s">
        <v>16</v>
      </c>
      <c r="C140" s="98"/>
      <c r="D140" s="99">
        <f t="shared" si="61"/>
        <v>0</v>
      </c>
      <c r="E140" s="87">
        <f t="shared" si="78"/>
        <v>-50</v>
      </c>
      <c r="G140" s="25"/>
      <c r="I140" s="53"/>
      <c r="J140" s="26"/>
      <c r="K140" s="29">
        <f t="shared" si="79"/>
        <v>0</v>
      </c>
      <c r="M140" s="79"/>
      <c r="N140" s="66"/>
      <c r="O140" s="98"/>
      <c r="P140" s="28"/>
      <c r="Q140" s="230"/>
      <c r="R140" s="29">
        <f t="shared" si="80"/>
        <v>0</v>
      </c>
      <c r="S140" s="54">
        <f t="shared" si="81"/>
        <v>0</v>
      </c>
      <c r="U140" s="53"/>
      <c r="V140" s="29"/>
      <c r="W140" s="29">
        <f t="shared" si="82"/>
        <v>-128</v>
      </c>
      <c r="Y140" s="79"/>
      <c r="Z140" s="63"/>
      <c r="AA140" s="27"/>
      <c r="AB140" s="28"/>
      <c r="AC140" s="43"/>
      <c r="AD140" s="29">
        <f t="shared" si="83"/>
        <v>-183</v>
      </c>
      <c r="AE140" s="29">
        <f t="shared" si="84"/>
        <v>-183</v>
      </c>
      <c r="AF140" s="29"/>
      <c r="AG140" s="54"/>
    </row>
    <row r="141" spans="1:39" s="12" customFormat="1" hidden="1" outlineLevel="1" collapsed="1">
      <c r="A141" s="95">
        <v>45739</v>
      </c>
      <c r="B141" s="25" t="s">
        <v>17</v>
      </c>
      <c r="C141" s="98"/>
      <c r="D141" s="99">
        <f t="shared" si="61"/>
        <v>0</v>
      </c>
      <c r="E141" s="87">
        <f t="shared" si="78"/>
        <v>-50</v>
      </c>
      <c r="G141" s="25"/>
      <c r="I141" s="53"/>
      <c r="J141" s="26"/>
      <c r="K141" s="29">
        <f t="shared" si="79"/>
        <v>0</v>
      </c>
      <c r="M141" s="79"/>
      <c r="N141" s="66"/>
      <c r="O141" s="98"/>
      <c r="P141" s="28"/>
      <c r="Q141" s="230"/>
      <c r="R141" s="29">
        <f t="shared" si="80"/>
        <v>0</v>
      </c>
      <c r="S141" s="54">
        <f t="shared" si="81"/>
        <v>0</v>
      </c>
      <c r="U141" s="53"/>
      <c r="V141" s="29"/>
      <c r="W141" s="29">
        <f t="shared" si="82"/>
        <v>-128</v>
      </c>
      <c r="Y141" s="79"/>
      <c r="Z141" s="63"/>
      <c r="AA141" s="27"/>
      <c r="AB141" s="28"/>
      <c r="AC141" s="43"/>
      <c r="AD141" s="29">
        <f t="shared" si="83"/>
        <v>-183</v>
      </c>
      <c r="AE141" s="29">
        <f t="shared" si="84"/>
        <v>-183</v>
      </c>
      <c r="AF141" s="29"/>
      <c r="AG141" s="54"/>
    </row>
    <row r="142" spans="1:39" hidden="1" outlineLevel="1">
      <c r="A142" s="96">
        <v>45740</v>
      </c>
      <c r="B142" s="17" t="s">
        <v>18</v>
      </c>
      <c r="C142" s="101">
        <f>60+18</f>
        <v>78</v>
      </c>
      <c r="D142" s="100">
        <f t="shared" si="61"/>
        <v>80</v>
      </c>
      <c r="E142" s="22">
        <f t="shared" si="78"/>
        <v>-48</v>
      </c>
      <c r="G142" s="17"/>
      <c r="I142" s="51">
        <f>IF(M143&lt;&gt;"",N143+O143,IF(M144&lt;&gt;"",N144+O144,IF(M145&lt;&gt;"",N145+O145,IF(M146&lt;&gt;"",N146+O146,IF(M147&lt;&gt;"",N147+O147,IF(M148&lt;&gt;"",N148+O148))))))</f>
        <v>6</v>
      </c>
      <c r="J142" s="18">
        <v>6</v>
      </c>
      <c r="K142" s="23">
        <f t="shared" si="79"/>
        <v>0</v>
      </c>
      <c r="M142" s="78">
        <v>3</v>
      </c>
      <c r="N142" s="65">
        <f t="shared" ref="N142:N146" si="93">M142</f>
        <v>3</v>
      </c>
      <c r="O142" s="101"/>
      <c r="P142" s="21"/>
      <c r="Q142" s="192">
        <v>3</v>
      </c>
      <c r="R142" s="23">
        <f t="shared" si="80"/>
        <v>0</v>
      </c>
      <c r="S142" s="52">
        <f t="shared" si="81"/>
        <v>0</v>
      </c>
      <c r="U142" s="51">
        <f t="shared" ref="U142:U149" si="94">C142-I142</f>
        <v>72</v>
      </c>
      <c r="V142" s="23">
        <v>74</v>
      </c>
      <c r="W142" s="23">
        <f t="shared" si="82"/>
        <v>-126</v>
      </c>
      <c r="Y142" s="78">
        <v>51</v>
      </c>
      <c r="Z142" s="175">
        <f t="shared" ref="Z142" si="95">IF(U141&lt;&gt;"",U141+AA142,IF(U140&lt;&gt;"",U140+AA142,IF(U139&lt;&gt;"",U139+AA142,IF(U138&lt;&gt;"",U138+AA142,IF(U137&lt;&gt;"",U137+AA142,IF(U136&lt;&gt;"",U136+AA142,IF(U135&lt;&gt;"",U135+AA142)))))))</f>
        <v>27</v>
      </c>
      <c r="AA142" s="20">
        <v>-42</v>
      </c>
      <c r="AB142" s="21"/>
      <c r="AC142" s="57">
        <v>27</v>
      </c>
      <c r="AD142" s="23">
        <f t="shared" si="83"/>
        <v>-207</v>
      </c>
      <c r="AE142" s="23">
        <f t="shared" si="84"/>
        <v>-207</v>
      </c>
      <c r="AF142" s="23"/>
      <c r="AG142" s="52">
        <v>20</v>
      </c>
    </row>
    <row r="143" spans="1:39" hidden="1" outlineLevel="1">
      <c r="A143" s="96">
        <v>45741</v>
      </c>
      <c r="B143" s="17" t="s">
        <v>19</v>
      </c>
      <c r="C143" s="101">
        <f t="shared" ref="C143:C146" si="96">60+18</f>
        <v>78</v>
      </c>
      <c r="D143" s="100">
        <f t="shared" si="61"/>
        <v>80</v>
      </c>
      <c r="E143" s="22">
        <f t="shared" si="78"/>
        <v>-46</v>
      </c>
      <c r="G143" s="17"/>
      <c r="I143" s="51">
        <f t="shared" ref="I143" si="97">IF(M144&lt;&gt;"",N144+O144,IF(M145&lt;&gt;"",N145+O145,IF(M146&lt;&gt;"",N146+O146,IF(M147&lt;&gt;"",N147+O147,IF(M148&lt;&gt;"",N148+O148,IF(M149&lt;&gt;"",N149+O149))))))</f>
        <v>3</v>
      </c>
      <c r="J143" s="18">
        <v>3</v>
      </c>
      <c r="K143" s="23">
        <f t="shared" si="79"/>
        <v>0</v>
      </c>
      <c r="M143" s="78">
        <v>6</v>
      </c>
      <c r="N143" s="65">
        <f t="shared" si="93"/>
        <v>6</v>
      </c>
      <c r="O143" s="101"/>
      <c r="P143" s="21"/>
      <c r="Q143" s="192">
        <v>6</v>
      </c>
      <c r="R143" s="23">
        <f t="shared" si="80"/>
        <v>0</v>
      </c>
      <c r="S143" s="52">
        <f t="shared" si="81"/>
        <v>0</v>
      </c>
      <c r="U143" s="51">
        <f t="shared" si="94"/>
        <v>75</v>
      </c>
      <c r="V143" s="23">
        <v>77</v>
      </c>
      <c r="W143" s="23">
        <f t="shared" si="82"/>
        <v>-124</v>
      </c>
      <c r="Y143" s="78">
        <v>72</v>
      </c>
      <c r="Z143" s="175">
        <v>48</v>
      </c>
      <c r="AA143" s="20">
        <v>-6</v>
      </c>
      <c r="AB143" s="21"/>
      <c r="AC143" s="57">
        <v>48</v>
      </c>
      <c r="AD143" s="23">
        <f t="shared" si="83"/>
        <v>-231</v>
      </c>
      <c r="AE143" s="23">
        <f t="shared" si="84"/>
        <v>-231</v>
      </c>
      <c r="AF143" s="23"/>
      <c r="AG143" s="52">
        <v>30</v>
      </c>
    </row>
    <row r="144" spans="1:39" hidden="1" outlineLevel="1">
      <c r="A144" s="96">
        <v>45742</v>
      </c>
      <c r="B144" s="17" t="s">
        <v>20</v>
      </c>
      <c r="C144" s="101">
        <f t="shared" si="96"/>
        <v>78</v>
      </c>
      <c r="D144" s="100">
        <f t="shared" si="61"/>
        <v>72</v>
      </c>
      <c r="E144" s="22">
        <f t="shared" si="78"/>
        <v>-52</v>
      </c>
      <c r="G144" s="17"/>
      <c r="I144" s="51">
        <f>IF(M145&lt;&gt;"",N145+O145,IF(M146&lt;&gt;"",N146+O146,IF(M147&lt;&gt;"",N147+O147,IF(M148&lt;&gt;"",N148+O148,IF(M149&lt;&gt;"",N149+O149,IF(M400&lt;&gt;"",N400+O400))))))</f>
        <v>3</v>
      </c>
      <c r="J144" s="18">
        <v>3</v>
      </c>
      <c r="K144" s="23">
        <f t="shared" si="79"/>
        <v>0</v>
      </c>
      <c r="M144" s="78">
        <v>3</v>
      </c>
      <c r="N144" s="65">
        <f t="shared" si="93"/>
        <v>3</v>
      </c>
      <c r="O144" s="101"/>
      <c r="P144" s="21"/>
      <c r="Q144" s="192">
        <v>3</v>
      </c>
      <c r="R144" s="23">
        <f t="shared" si="80"/>
        <v>0</v>
      </c>
      <c r="S144" s="52">
        <f t="shared" si="81"/>
        <v>0</v>
      </c>
      <c r="U144" s="51">
        <f t="shared" si="94"/>
        <v>75</v>
      </c>
      <c r="V144" s="23">
        <v>69</v>
      </c>
      <c r="W144" s="23">
        <f t="shared" si="82"/>
        <v>-130</v>
      </c>
      <c r="Y144" s="78">
        <v>63</v>
      </c>
      <c r="Z144" s="175">
        <v>51</v>
      </c>
      <c r="AA144" s="20">
        <v>-6</v>
      </c>
      <c r="AB144" s="21"/>
      <c r="AC144" s="57">
        <v>51</v>
      </c>
      <c r="AD144" s="23">
        <f t="shared" si="83"/>
        <v>-243</v>
      </c>
      <c r="AE144" s="23">
        <f t="shared" si="84"/>
        <v>-243</v>
      </c>
      <c r="AF144" s="23"/>
      <c r="AG144" s="52">
        <v>25</v>
      </c>
    </row>
    <row r="145" spans="1:35" hidden="1" outlineLevel="1">
      <c r="A145" s="96">
        <v>45743</v>
      </c>
      <c r="B145" s="17" t="s">
        <v>14</v>
      </c>
      <c r="C145" s="101">
        <f t="shared" si="96"/>
        <v>78</v>
      </c>
      <c r="D145" s="100">
        <f t="shared" si="61"/>
        <v>80</v>
      </c>
      <c r="E145" s="22">
        <f t="shared" si="78"/>
        <v>-50</v>
      </c>
      <c r="G145" s="17"/>
      <c r="I145" s="51">
        <f>IF(M146&lt;&gt;"",N146+O146,IF(M147&lt;&gt;"",N147+O147,IF(M148&lt;&gt;"",N148+O148,IF(M149&lt;&gt;"",N149+O149,IF(M400&lt;&gt;"",N400+O400,IF(M401&lt;&gt;"",N401+O401))))))</f>
        <v>3</v>
      </c>
      <c r="J145" s="18">
        <v>3</v>
      </c>
      <c r="K145" s="23">
        <f t="shared" si="79"/>
        <v>0</v>
      </c>
      <c r="M145" s="78">
        <v>3</v>
      </c>
      <c r="N145" s="65">
        <f t="shared" si="93"/>
        <v>3</v>
      </c>
      <c r="O145" s="101"/>
      <c r="P145" s="21"/>
      <c r="Q145" s="192">
        <v>3</v>
      </c>
      <c r="R145" s="23">
        <f t="shared" si="80"/>
        <v>0</v>
      </c>
      <c r="S145" s="52">
        <f t="shared" si="81"/>
        <v>0</v>
      </c>
      <c r="U145" s="51">
        <f t="shared" si="94"/>
        <v>75</v>
      </c>
      <c r="V145" s="23">
        <v>77</v>
      </c>
      <c r="W145" s="23">
        <f t="shared" si="82"/>
        <v>-128</v>
      </c>
      <c r="Y145" s="78">
        <v>51</v>
      </c>
      <c r="Z145" s="175">
        <v>129</v>
      </c>
      <c r="AA145" s="20">
        <v>-6</v>
      </c>
      <c r="AB145" s="21"/>
      <c r="AC145" s="57">
        <v>129</v>
      </c>
      <c r="AD145" s="23">
        <f t="shared" si="83"/>
        <v>-165</v>
      </c>
      <c r="AE145" s="23">
        <f t="shared" si="84"/>
        <v>-165</v>
      </c>
      <c r="AF145" s="23"/>
      <c r="AG145" s="52">
        <f>30+14</f>
        <v>44</v>
      </c>
    </row>
    <row r="146" spans="1:35" hidden="1" outlineLevel="1">
      <c r="A146" s="96">
        <v>45744</v>
      </c>
      <c r="B146" s="17" t="s">
        <v>15</v>
      </c>
      <c r="C146" s="101">
        <f t="shared" si="96"/>
        <v>78</v>
      </c>
      <c r="D146" s="100">
        <f t="shared" si="61"/>
        <v>80</v>
      </c>
      <c r="E146" s="22">
        <f t="shared" si="78"/>
        <v>-48</v>
      </c>
      <c r="G146" s="17"/>
      <c r="I146" s="51">
        <f>IF(M147&lt;&gt;"",N147+O147,IF(M148&lt;&gt;"",N148+O148,IF(M149&lt;&gt;"",N149+O149,IF(M400&lt;&gt;"",N400+O400,IF(M401&lt;&gt;"",N401+O401,IF(M402&lt;&gt;"",N402+O402))))))</f>
        <v>6</v>
      </c>
      <c r="J146" s="18">
        <v>6</v>
      </c>
      <c r="K146" s="23">
        <f t="shared" si="79"/>
        <v>0</v>
      </c>
      <c r="M146" s="78">
        <v>3</v>
      </c>
      <c r="N146" s="65">
        <f t="shared" si="93"/>
        <v>3</v>
      </c>
      <c r="O146" s="101"/>
      <c r="P146" s="21"/>
      <c r="Q146" s="192">
        <v>3</v>
      </c>
      <c r="R146" s="23">
        <f t="shared" si="80"/>
        <v>0</v>
      </c>
      <c r="S146" s="52">
        <f t="shared" si="81"/>
        <v>0</v>
      </c>
      <c r="U146" s="51">
        <f t="shared" si="94"/>
        <v>72</v>
      </c>
      <c r="V146" s="23">
        <v>74</v>
      </c>
      <c r="W146" s="23">
        <f t="shared" si="82"/>
        <v>-126</v>
      </c>
      <c r="Y146" s="78">
        <v>54</v>
      </c>
      <c r="Z146" s="175">
        <v>66</v>
      </c>
      <c r="AA146" s="20">
        <v>-3</v>
      </c>
      <c r="AB146" s="21"/>
      <c r="AC146" s="57">
        <v>66</v>
      </c>
      <c r="AD146" s="23">
        <f t="shared" si="83"/>
        <v>-153</v>
      </c>
      <c r="AE146" s="23">
        <f t="shared" si="84"/>
        <v>-153</v>
      </c>
      <c r="AF146" s="23"/>
      <c r="AG146" s="52">
        <v>24</v>
      </c>
      <c r="AI146">
        <f>SUM(M142:M146,Y142:Y146)/5</f>
        <v>61.8</v>
      </c>
    </row>
    <row r="147" spans="1:35" s="12" customFormat="1" hidden="1" outlineLevel="1">
      <c r="A147" s="95">
        <v>45745</v>
      </c>
      <c r="B147" s="25" t="s">
        <v>16</v>
      </c>
      <c r="C147" s="98"/>
      <c r="D147" s="99">
        <f t="shared" si="61"/>
        <v>0</v>
      </c>
      <c r="E147" s="87">
        <f t="shared" si="78"/>
        <v>-48</v>
      </c>
      <c r="G147" s="25"/>
      <c r="I147" s="53"/>
      <c r="J147" s="26"/>
      <c r="K147" s="29">
        <f t="shared" si="79"/>
        <v>0</v>
      </c>
      <c r="M147" s="79"/>
      <c r="N147" s="66"/>
      <c r="O147" s="98"/>
      <c r="P147" s="28"/>
      <c r="Q147" s="230"/>
      <c r="R147" s="29">
        <f t="shared" si="80"/>
        <v>0</v>
      </c>
      <c r="S147" s="54">
        <f t="shared" si="81"/>
        <v>0</v>
      </c>
      <c r="U147" s="53"/>
      <c r="V147" s="29"/>
      <c r="W147" s="29">
        <f t="shared" si="82"/>
        <v>-126</v>
      </c>
      <c r="Y147" s="79"/>
      <c r="Z147" s="63"/>
      <c r="AA147" s="27"/>
      <c r="AB147" s="28"/>
      <c r="AC147" s="43"/>
      <c r="AD147" s="29">
        <f t="shared" si="83"/>
        <v>-153</v>
      </c>
      <c r="AE147" s="29">
        <f t="shared" si="84"/>
        <v>-153</v>
      </c>
      <c r="AF147" s="29"/>
      <c r="AG147" s="54"/>
    </row>
    <row r="148" spans="1:35" s="12" customFormat="1" hidden="1" outlineLevel="1" collapsed="1">
      <c r="A148" s="95">
        <v>45746</v>
      </c>
      <c r="B148" s="25" t="s">
        <v>17</v>
      </c>
      <c r="C148" s="98"/>
      <c r="D148" s="99">
        <f t="shared" si="61"/>
        <v>0</v>
      </c>
      <c r="E148" s="87">
        <f t="shared" si="78"/>
        <v>-48</v>
      </c>
      <c r="G148" s="25"/>
      <c r="I148" s="53"/>
      <c r="J148" s="26"/>
      <c r="K148" s="29">
        <f t="shared" si="79"/>
        <v>0</v>
      </c>
      <c r="M148" s="79"/>
      <c r="N148" s="66"/>
      <c r="O148" s="98"/>
      <c r="P148" s="28"/>
      <c r="Q148" s="230"/>
      <c r="R148" s="29">
        <f t="shared" si="80"/>
        <v>0</v>
      </c>
      <c r="S148" s="54">
        <f t="shared" si="81"/>
        <v>0</v>
      </c>
      <c r="U148" s="53"/>
      <c r="V148" s="29"/>
      <c r="W148" s="29">
        <f t="shared" si="82"/>
        <v>-126</v>
      </c>
      <c r="Y148" s="79"/>
      <c r="Z148" s="63"/>
      <c r="AA148" s="27"/>
      <c r="AB148" s="28"/>
      <c r="AC148" s="43"/>
      <c r="AD148" s="29">
        <f t="shared" si="83"/>
        <v>-153</v>
      </c>
      <c r="AE148" s="29">
        <f t="shared" si="84"/>
        <v>-153</v>
      </c>
      <c r="AF148" s="29"/>
      <c r="AG148" s="54"/>
    </row>
    <row r="149" spans="1:35" hidden="1" outlineLevel="1">
      <c r="A149" s="96">
        <v>45747</v>
      </c>
      <c r="B149" s="17" t="s">
        <v>18</v>
      </c>
      <c r="C149" s="101">
        <v>78</v>
      </c>
      <c r="D149" s="100">
        <f t="shared" si="61"/>
        <v>80</v>
      </c>
      <c r="E149" s="22">
        <f t="shared" si="78"/>
        <v>-46</v>
      </c>
      <c r="G149" s="17"/>
      <c r="I149" s="51">
        <f>IF(M150&lt;&gt;"",N150+O150,IF(M151&lt;&gt;"",N151+O151,IF(M152&lt;&gt;"",N152+O152,IF(#REF!&lt;&gt;"",#REF!+#REF!,IF(M403&lt;&gt;"",N403+O403,IF(#REF!&lt;&gt;"",#REF!+#REF!))))))</f>
        <v>6</v>
      </c>
      <c r="J149" s="18">
        <v>6</v>
      </c>
      <c r="K149" s="23">
        <f t="shared" si="79"/>
        <v>0</v>
      </c>
      <c r="M149" s="78">
        <v>6</v>
      </c>
      <c r="N149" s="65">
        <f t="shared" ref="N149" si="98">M149</f>
        <v>6</v>
      </c>
      <c r="O149" s="101"/>
      <c r="P149" s="21"/>
      <c r="Q149" s="192">
        <v>6</v>
      </c>
      <c r="R149" s="23">
        <f t="shared" si="80"/>
        <v>0</v>
      </c>
      <c r="S149" s="52">
        <f t="shared" si="81"/>
        <v>0</v>
      </c>
      <c r="U149" s="51">
        <f t="shared" si="94"/>
        <v>72</v>
      </c>
      <c r="V149" s="23">
        <v>74</v>
      </c>
      <c r="W149" s="23">
        <f t="shared" si="82"/>
        <v>-124</v>
      </c>
      <c r="Y149" s="78">
        <v>63</v>
      </c>
      <c r="Z149" s="62">
        <f t="shared" ref="Z149:Z179" si="99">IF(U148&lt;&gt;"",U148+AA149,IF(U147&lt;&gt;"",U147+AA149,IF(U146&lt;&gt;"",U146+AA149,IF(U145&lt;&gt;"",U145+AA149,IF(U144&lt;&gt;"",U144+AA149,IF(U143&lt;&gt;"",U143+AA149,IF(U142&lt;&gt;"",U142+AA149)))))))</f>
        <v>111</v>
      </c>
      <c r="AA149" s="20">
        <v>39</v>
      </c>
      <c r="AB149" s="21"/>
      <c r="AC149" s="57">
        <v>111</v>
      </c>
      <c r="AD149" s="23">
        <f t="shared" si="83"/>
        <v>-105</v>
      </c>
      <c r="AE149" s="23">
        <f t="shared" si="84"/>
        <v>-105</v>
      </c>
      <c r="AF149" s="23"/>
      <c r="AG149" s="52">
        <v>11</v>
      </c>
    </row>
    <row r="150" spans="1:35" hidden="1" outlineLevel="1">
      <c r="A150" s="96">
        <v>45748</v>
      </c>
      <c r="B150" s="17" t="s">
        <v>19</v>
      </c>
      <c r="C150" s="101">
        <v>78</v>
      </c>
      <c r="D150" s="100">
        <f t="shared" ref="D150:D181" si="100">J150+V150</f>
        <v>80</v>
      </c>
      <c r="E150" s="22">
        <f t="shared" ref="E150:E181" si="101">E149-C150+D150</f>
        <v>-44</v>
      </c>
      <c r="G150" s="17"/>
      <c r="I150" s="51">
        <f>IF(M151&lt;&gt;"",N151+O151,IF(M152&lt;&gt;"",N152+O152,IF(M153&lt;&gt;"",N153+O153,IF(M403&lt;&gt;"",N403+O403,IF(#REF!&lt;&gt;"",#REF!+#REF!,IF(M404&lt;&gt;"",N404+O404))))))</f>
        <v>3</v>
      </c>
      <c r="J150" s="18">
        <v>3</v>
      </c>
      <c r="K150" s="23">
        <f t="shared" ref="K150:K181" si="102">J150-I150+K149</f>
        <v>0</v>
      </c>
      <c r="M150" s="78">
        <v>6</v>
      </c>
      <c r="N150" s="65">
        <f t="shared" ref="N150:N179" si="103">M150</f>
        <v>6</v>
      </c>
      <c r="O150" s="101"/>
      <c r="P150" s="21"/>
      <c r="Q150" s="192">
        <v>6</v>
      </c>
      <c r="R150" s="23">
        <f t="shared" ref="R150:R181" si="104">R149-M150+Q150</f>
        <v>0</v>
      </c>
      <c r="S150" s="52">
        <f t="shared" ref="S150:S181" si="105">S149-M150+N150</f>
        <v>0</v>
      </c>
      <c r="U150" s="51">
        <f t="shared" ref="U150:U179" si="106">C150-I150</f>
        <v>75</v>
      </c>
      <c r="V150" s="23">
        <v>77</v>
      </c>
      <c r="W150" s="23">
        <f t="shared" ref="W150:W181" si="107">V150-U150+W149</f>
        <v>-122</v>
      </c>
      <c r="Y150" s="78">
        <v>66</v>
      </c>
      <c r="Z150" s="62">
        <f t="shared" si="99"/>
        <v>63</v>
      </c>
      <c r="AA150" s="20">
        <v>-9</v>
      </c>
      <c r="AB150" s="21"/>
      <c r="AC150" s="57">
        <v>63</v>
      </c>
      <c r="AD150" s="23">
        <f t="shared" ref="AD150:AD181" si="108">AD149-Y150+AC150</f>
        <v>-108</v>
      </c>
      <c r="AE150" s="23">
        <f t="shared" ref="AE150:AE181" si="109">AE149-Y150+Z150</f>
        <v>-108</v>
      </c>
      <c r="AF150" s="23"/>
      <c r="AG150" s="52">
        <v>25</v>
      </c>
    </row>
    <row r="151" spans="1:35" hidden="1" outlineLevel="1">
      <c r="A151" s="96">
        <v>45749</v>
      </c>
      <c r="B151" s="17" t="s">
        <v>20</v>
      </c>
      <c r="C151" s="101">
        <v>78</v>
      </c>
      <c r="D151" s="100">
        <f t="shared" si="100"/>
        <v>80</v>
      </c>
      <c r="E151" s="22">
        <f t="shared" si="101"/>
        <v>-42</v>
      </c>
      <c r="G151" s="17"/>
      <c r="I151" s="51">
        <f>M153</f>
        <v>6</v>
      </c>
      <c r="J151" s="18">
        <v>6</v>
      </c>
      <c r="K151" s="23">
        <f t="shared" si="102"/>
        <v>0</v>
      </c>
      <c r="M151" s="78">
        <v>3</v>
      </c>
      <c r="N151" s="65">
        <f t="shared" si="103"/>
        <v>3</v>
      </c>
      <c r="O151" s="101"/>
      <c r="P151" s="21"/>
      <c r="Q151" s="192">
        <v>3</v>
      </c>
      <c r="R151" s="23">
        <f t="shared" si="104"/>
        <v>0</v>
      </c>
      <c r="S151" s="52">
        <f t="shared" si="105"/>
        <v>0</v>
      </c>
      <c r="U151" s="51">
        <f t="shared" si="106"/>
        <v>72</v>
      </c>
      <c r="V151" s="23">
        <v>74</v>
      </c>
      <c r="W151" s="23">
        <f t="shared" si="107"/>
        <v>-120</v>
      </c>
      <c r="Y151" s="78">
        <v>51</v>
      </c>
      <c r="Z151" s="62">
        <f t="shared" si="99"/>
        <v>66</v>
      </c>
      <c r="AA151" s="20">
        <v>-9</v>
      </c>
      <c r="AB151" s="21"/>
      <c r="AC151" s="57">
        <v>66</v>
      </c>
      <c r="AD151" s="23">
        <f t="shared" si="108"/>
        <v>-93</v>
      </c>
      <c r="AE151" s="23">
        <f t="shared" si="109"/>
        <v>-93</v>
      </c>
      <c r="AF151" s="23"/>
      <c r="AG151" s="52">
        <v>20</v>
      </c>
    </row>
    <row r="152" spans="1:35" s="12" customFormat="1" hidden="1" outlineLevel="1">
      <c r="A152" s="95">
        <v>45750</v>
      </c>
      <c r="B152" s="25" t="s">
        <v>14</v>
      </c>
      <c r="C152" s="101">
        <v>0</v>
      </c>
      <c r="D152" s="99">
        <f t="shared" si="100"/>
        <v>0</v>
      </c>
      <c r="E152" s="87">
        <f t="shared" si="101"/>
        <v>-42</v>
      </c>
      <c r="G152" s="25"/>
      <c r="I152" s="53">
        <v>0</v>
      </c>
      <c r="J152" s="26"/>
      <c r="K152" s="29">
        <f t="shared" si="102"/>
        <v>0</v>
      </c>
      <c r="M152" s="79"/>
      <c r="N152" s="66"/>
      <c r="O152" s="98"/>
      <c r="P152" s="28"/>
      <c r="Q152" s="230"/>
      <c r="R152" s="29">
        <f t="shared" si="104"/>
        <v>0</v>
      </c>
      <c r="S152" s="54">
        <f t="shared" si="105"/>
        <v>0</v>
      </c>
      <c r="U152" s="53">
        <v>0</v>
      </c>
      <c r="V152" s="29">
        <v>0</v>
      </c>
      <c r="W152" s="29">
        <f t="shared" si="107"/>
        <v>-120</v>
      </c>
      <c r="Y152" s="79"/>
      <c r="Z152" s="63"/>
      <c r="AA152" s="27"/>
      <c r="AB152" s="28"/>
      <c r="AC152" s="43"/>
      <c r="AD152" s="29">
        <f t="shared" si="108"/>
        <v>-93</v>
      </c>
      <c r="AE152" s="29">
        <f t="shared" si="109"/>
        <v>-93</v>
      </c>
      <c r="AF152" s="29"/>
      <c r="AG152" s="54"/>
    </row>
    <row r="153" spans="1:35" hidden="1" outlineLevel="1">
      <c r="A153" s="96">
        <v>45751</v>
      </c>
      <c r="B153" s="17" t="s">
        <v>15</v>
      </c>
      <c r="C153" s="101">
        <v>78</v>
      </c>
      <c r="D153" s="100">
        <f t="shared" si="100"/>
        <v>72</v>
      </c>
      <c r="E153" s="22">
        <f t="shared" si="101"/>
        <v>-48</v>
      </c>
      <c r="G153" s="17"/>
      <c r="I153" s="51">
        <f>IF(M154&lt;&gt;"",N154+O154,IF(M155&lt;&gt;"",N155+O155,IF(M156&lt;&gt;"",N156+O156,IF(M405&lt;&gt;"",N405+O405,IF(M406&lt;&gt;"",N406+O406,IF(M407&lt;&gt;"",N407+O407))))))</f>
        <v>3</v>
      </c>
      <c r="J153" s="18">
        <v>3</v>
      </c>
      <c r="K153" s="23">
        <f t="shared" si="102"/>
        <v>0</v>
      </c>
      <c r="M153" s="78">
        <v>6</v>
      </c>
      <c r="N153" s="65">
        <f t="shared" si="103"/>
        <v>6</v>
      </c>
      <c r="O153" s="101"/>
      <c r="P153" s="21"/>
      <c r="Q153" s="192">
        <v>6</v>
      </c>
      <c r="R153" s="23">
        <f t="shared" si="104"/>
        <v>0</v>
      </c>
      <c r="S153" s="52">
        <f t="shared" si="105"/>
        <v>0</v>
      </c>
      <c r="U153" s="51">
        <f t="shared" si="106"/>
        <v>75</v>
      </c>
      <c r="V153" s="23">
        <v>69</v>
      </c>
      <c r="W153" s="23">
        <f t="shared" si="107"/>
        <v>-126</v>
      </c>
      <c r="Y153" s="78">
        <v>66</v>
      </c>
      <c r="Z153" s="62">
        <f>U151+AA153</f>
        <v>90</v>
      </c>
      <c r="AA153" s="20">
        <v>18</v>
      </c>
      <c r="AB153" s="21"/>
      <c r="AC153" s="57">
        <v>90</v>
      </c>
      <c r="AD153" s="23">
        <f t="shared" si="108"/>
        <v>-69</v>
      </c>
      <c r="AE153" s="23">
        <f t="shared" si="109"/>
        <v>-69</v>
      </c>
      <c r="AF153" s="23"/>
      <c r="AG153" s="52">
        <v>10</v>
      </c>
      <c r="AI153">
        <f>SUM(M149:M153,Y149:Y153)/5</f>
        <v>53.4</v>
      </c>
    </row>
    <row r="154" spans="1:35" s="12" customFormat="1" hidden="1" outlineLevel="1">
      <c r="A154" s="95">
        <v>45752</v>
      </c>
      <c r="B154" s="25" t="s">
        <v>16</v>
      </c>
      <c r="C154" s="98"/>
      <c r="D154" s="99">
        <f t="shared" si="100"/>
        <v>0</v>
      </c>
      <c r="E154" s="87">
        <f t="shared" si="101"/>
        <v>-48</v>
      </c>
      <c r="G154" s="25"/>
      <c r="I154" s="53"/>
      <c r="J154" s="26"/>
      <c r="K154" s="29">
        <f t="shared" si="102"/>
        <v>0</v>
      </c>
      <c r="M154" s="79"/>
      <c r="N154" s="66"/>
      <c r="O154" s="98"/>
      <c r="P154" s="28"/>
      <c r="Q154" s="230"/>
      <c r="R154" s="29">
        <f t="shared" si="104"/>
        <v>0</v>
      </c>
      <c r="S154" s="54">
        <f t="shared" si="105"/>
        <v>0</v>
      </c>
      <c r="U154" s="53"/>
      <c r="V154" s="29"/>
      <c r="W154" s="29">
        <f t="shared" si="107"/>
        <v>-126</v>
      </c>
      <c r="Y154" s="79"/>
      <c r="Z154" s="63"/>
      <c r="AA154" s="27"/>
      <c r="AB154" s="28"/>
      <c r="AC154" s="43"/>
      <c r="AD154" s="29">
        <f t="shared" si="108"/>
        <v>-69</v>
      </c>
      <c r="AE154" s="29">
        <f t="shared" si="109"/>
        <v>-69</v>
      </c>
      <c r="AF154" s="29"/>
      <c r="AG154" s="54"/>
    </row>
    <row r="155" spans="1:35" s="12" customFormat="1" hidden="1" outlineLevel="1" collapsed="1">
      <c r="A155" s="95">
        <v>45753</v>
      </c>
      <c r="B155" s="25" t="s">
        <v>17</v>
      </c>
      <c r="C155" s="98"/>
      <c r="D155" s="99">
        <f t="shared" si="100"/>
        <v>0</v>
      </c>
      <c r="E155" s="87">
        <f t="shared" si="101"/>
        <v>-48</v>
      </c>
      <c r="G155" s="25"/>
      <c r="I155" s="53"/>
      <c r="J155" s="26"/>
      <c r="K155" s="29">
        <f t="shared" si="102"/>
        <v>0</v>
      </c>
      <c r="M155" s="79"/>
      <c r="N155" s="66"/>
      <c r="O155" s="98"/>
      <c r="P155" s="28"/>
      <c r="Q155" s="230"/>
      <c r="R155" s="29">
        <f t="shared" si="104"/>
        <v>0</v>
      </c>
      <c r="S155" s="54">
        <f t="shared" si="105"/>
        <v>0</v>
      </c>
      <c r="U155" s="53"/>
      <c r="V155" s="29"/>
      <c r="W155" s="29">
        <f t="shared" si="107"/>
        <v>-126</v>
      </c>
      <c r="Y155" s="79"/>
      <c r="Z155" s="63"/>
      <c r="AA155" s="27"/>
      <c r="AB155" s="28"/>
      <c r="AC155" s="43"/>
      <c r="AD155" s="29">
        <f t="shared" si="108"/>
        <v>-69</v>
      </c>
      <c r="AE155" s="29">
        <f t="shared" si="109"/>
        <v>-69</v>
      </c>
      <c r="AF155" s="29"/>
      <c r="AG155" s="54"/>
    </row>
    <row r="156" spans="1:35" hidden="1" outlineLevel="1">
      <c r="A156" s="96">
        <v>45754</v>
      </c>
      <c r="B156" s="17" t="s">
        <v>18</v>
      </c>
      <c r="C156" s="101">
        <v>78</v>
      </c>
      <c r="D156" s="100">
        <f t="shared" si="100"/>
        <v>78</v>
      </c>
      <c r="E156" s="22">
        <f t="shared" si="101"/>
        <v>-48</v>
      </c>
      <c r="G156" s="17"/>
      <c r="I156" s="51">
        <f>IF(M157&lt;&gt;"",N157+O157,IF(M158&lt;&gt;"",N158+O158,IF(M159&lt;&gt;"",N159+O159,IF(M408&lt;&gt;"",N408+O408,IF(M409&lt;&gt;"",N409+O409,IF(M410&lt;&gt;"",N410+O410))))))</f>
        <v>6</v>
      </c>
      <c r="J156" s="18">
        <v>6</v>
      </c>
      <c r="K156" s="23">
        <f t="shared" si="102"/>
        <v>0</v>
      </c>
      <c r="M156" s="78">
        <v>3</v>
      </c>
      <c r="N156" s="65">
        <f t="shared" si="103"/>
        <v>3</v>
      </c>
      <c r="O156" s="101"/>
      <c r="P156" s="21"/>
      <c r="Q156" s="192">
        <v>3</v>
      </c>
      <c r="R156" s="23">
        <f t="shared" si="104"/>
        <v>0</v>
      </c>
      <c r="S156" s="52">
        <f t="shared" si="105"/>
        <v>0</v>
      </c>
      <c r="U156" s="51">
        <f t="shared" si="106"/>
        <v>72</v>
      </c>
      <c r="V156" s="23">
        <v>72</v>
      </c>
      <c r="W156" s="23">
        <f t="shared" si="107"/>
        <v>-126</v>
      </c>
      <c r="Y156" s="78">
        <v>21</v>
      </c>
      <c r="Z156" s="62">
        <f t="shared" si="99"/>
        <v>75</v>
      </c>
      <c r="AA156" s="20"/>
      <c r="AB156" s="21"/>
      <c r="AC156" s="57">
        <v>75</v>
      </c>
      <c r="AD156" s="23">
        <f t="shared" si="108"/>
        <v>-15</v>
      </c>
      <c r="AE156" s="23">
        <f t="shared" si="109"/>
        <v>-15</v>
      </c>
      <c r="AF156" s="23"/>
      <c r="AG156" s="52">
        <v>9</v>
      </c>
    </row>
    <row r="157" spans="1:35" hidden="1" outlineLevel="1">
      <c r="A157" s="96">
        <v>45755</v>
      </c>
      <c r="B157" s="17" t="s">
        <v>19</v>
      </c>
      <c r="C157" s="101">
        <v>66</v>
      </c>
      <c r="D157" s="100">
        <f t="shared" si="100"/>
        <v>72</v>
      </c>
      <c r="E157" s="22">
        <f t="shared" si="101"/>
        <v>-42</v>
      </c>
      <c r="G157" s="17"/>
      <c r="I157" s="51">
        <f>IF(M158&lt;&gt;"",N158+O158,IF(M159&lt;&gt;"",N159+O159,IF(M160&lt;&gt;"",N160+O160,IF(M409&lt;&gt;"",N409+O409,IF(M410&lt;&gt;"",N410+O410,IF(M411&lt;&gt;"",N411+O411))))))</f>
        <v>6</v>
      </c>
      <c r="J157" s="18">
        <v>6</v>
      </c>
      <c r="K157" s="23">
        <f t="shared" si="102"/>
        <v>0</v>
      </c>
      <c r="M157" s="78">
        <v>6</v>
      </c>
      <c r="N157" s="65">
        <f t="shared" si="103"/>
        <v>6</v>
      </c>
      <c r="O157" s="101"/>
      <c r="P157" s="21"/>
      <c r="Q157" s="192">
        <v>6</v>
      </c>
      <c r="R157" s="23">
        <f t="shared" si="104"/>
        <v>0</v>
      </c>
      <c r="S157" s="52">
        <f t="shared" si="105"/>
        <v>0</v>
      </c>
      <c r="U157" s="51">
        <f t="shared" si="106"/>
        <v>60</v>
      </c>
      <c r="V157" s="23">
        <v>66</v>
      </c>
      <c r="W157" s="23">
        <f t="shared" si="107"/>
        <v>-120</v>
      </c>
      <c r="Y157" s="78">
        <v>63</v>
      </c>
      <c r="Z157" s="62">
        <f t="shared" si="99"/>
        <v>72</v>
      </c>
      <c r="AA157" s="20"/>
      <c r="AB157" s="21"/>
      <c r="AC157" s="57">
        <v>72</v>
      </c>
      <c r="AD157" s="23">
        <f t="shared" si="108"/>
        <v>-6</v>
      </c>
      <c r="AE157" s="23">
        <f t="shared" si="109"/>
        <v>-6</v>
      </c>
      <c r="AF157" s="23"/>
      <c r="AG157" s="52">
        <v>20</v>
      </c>
    </row>
    <row r="158" spans="1:35" hidden="1" outlineLevel="1">
      <c r="A158" s="96">
        <v>45756</v>
      </c>
      <c r="B158" s="17" t="s">
        <v>20</v>
      </c>
      <c r="C158" s="101">
        <v>66</v>
      </c>
      <c r="D158" s="100">
        <f t="shared" si="100"/>
        <v>69</v>
      </c>
      <c r="E158" s="22">
        <f t="shared" si="101"/>
        <v>-39</v>
      </c>
      <c r="G158" s="17"/>
      <c r="I158" s="51">
        <f>IF(M159&lt;&gt;"",N159+O159,IF(M160&lt;&gt;"",N160+O160,IF(M161&lt;&gt;"",N161+O161,IF(M410&lt;&gt;"",N410+O410,IF(M411&lt;&gt;"",N411+O411,IF(M412&lt;&gt;"",N412+O412))))))</f>
        <v>3</v>
      </c>
      <c r="J158" s="18">
        <v>3</v>
      </c>
      <c r="K158" s="23">
        <f t="shared" si="102"/>
        <v>0</v>
      </c>
      <c r="M158" s="78">
        <v>6</v>
      </c>
      <c r="N158" s="65">
        <f t="shared" si="103"/>
        <v>6</v>
      </c>
      <c r="O158" s="101"/>
      <c r="P158" s="21"/>
      <c r="Q158" s="192">
        <v>6</v>
      </c>
      <c r="R158" s="23">
        <f t="shared" si="104"/>
        <v>0</v>
      </c>
      <c r="S158" s="52">
        <f t="shared" si="105"/>
        <v>0</v>
      </c>
      <c r="U158" s="51">
        <f t="shared" si="106"/>
        <v>63</v>
      </c>
      <c r="V158" s="23">
        <v>66</v>
      </c>
      <c r="W158" s="23">
        <f t="shared" si="107"/>
        <v>-117</v>
      </c>
      <c r="Y158" s="78">
        <v>57</v>
      </c>
      <c r="Z158" s="62">
        <f t="shared" si="99"/>
        <v>60</v>
      </c>
      <c r="AA158" s="20"/>
      <c r="AB158" s="21"/>
      <c r="AC158" s="57">
        <v>60</v>
      </c>
      <c r="AD158" s="23">
        <f t="shared" si="108"/>
        <v>-3</v>
      </c>
      <c r="AE158" s="23">
        <f t="shared" si="109"/>
        <v>-3</v>
      </c>
      <c r="AF158" s="23"/>
      <c r="AG158" s="52">
        <v>20</v>
      </c>
    </row>
    <row r="159" spans="1:35" hidden="1" outlineLevel="1">
      <c r="A159" s="96">
        <v>45757</v>
      </c>
      <c r="B159" s="17" t="s">
        <v>14</v>
      </c>
      <c r="C159" s="101">
        <v>66</v>
      </c>
      <c r="D159" s="100">
        <f t="shared" si="100"/>
        <v>75</v>
      </c>
      <c r="E159" s="22">
        <f t="shared" si="101"/>
        <v>-30</v>
      </c>
      <c r="G159" s="17"/>
      <c r="I159" s="51">
        <f>IF(M160&lt;&gt;"",N160+O160,IF(M161&lt;&gt;"",N161+O161,IF(M162&lt;&gt;"",N162+O162,IF(M411&lt;&gt;"",N411+O411,IF(M412&lt;&gt;"",N412+O412,IF(M413&lt;&gt;"",N413+O413))))))</f>
        <v>3</v>
      </c>
      <c r="J159" s="18">
        <v>3</v>
      </c>
      <c r="K159" s="23">
        <f t="shared" si="102"/>
        <v>0</v>
      </c>
      <c r="M159" s="78">
        <v>3</v>
      </c>
      <c r="N159" s="65">
        <f t="shared" si="103"/>
        <v>3</v>
      </c>
      <c r="O159" s="101"/>
      <c r="P159" s="21"/>
      <c r="Q159" s="192">
        <v>3</v>
      </c>
      <c r="R159" s="23">
        <f t="shared" si="104"/>
        <v>0</v>
      </c>
      <c r="S159" s="52">
        <f t="shared" si="105"/>
        <v>0</v>
      </c>
      <c r="U159" s="51">
        <f t="shared" si="106"/>
        <v>63</v>
      </c>
      <c r="V159" s="23">
        <v>72</v>
      </c>
      <c r="W159" s="23">
        <f t="shared" si="107"/>
        <v>-108</v>
      </c>
      <c r="Y159" s="78">
        <v>54</v>
      </c>
      <c r="Z159" s="62">
        <f t="shared" si="99"/>
        <v>63</v>
      </c>
      <c r="AA159" s="20"/>
      <c r="AB159" s="21"/>
      <c r="AC159" s="57">
        <v>63</v>
      </c>
      <c r="AD159" s="23">
        <f t="shared" si="108"/>
        <v>6</v>
      </c>
      <c r="AE159" s="23">
        <f t="shared" si="109"/>
        <v>6</v>
      </c>
      <c r="AF159" s="23"/>
      <c r="AG159" s="52">
        <v>13</v>
      </c>
    </row>
    <row r="160" spans="1:35" hidden="1" outlineLevel="1">
      <c r="A160" s="96">
        <v>45758</v>
      </c>
      <c r="B160" s="17" t="s">
        <v>15</v>
      </c>
      <c r="C160" s="101">
        <v>66</v>
      </c>
      <c r="D160" s="100">
        <f t="shared" si="100"/>
        <v>66</v>
      </c>
      <c r="E160" s="22">
        <f t="shared" si="101"/>
        <v>-30</v>
      </c>
      <c r="G160" s="17"/>
      <c r="I160" s="51">
        <f>IF(M161&lt;&gt;"",N161+O161,IF(M162&lt;&gt;"",N162+O162,IF(M163&lt;&gt;"",N163+O163,IF(M412&lt;&gt;"",N412+O412,IF(M413&lt;&gt;"",N413+O413,IF(M414&lt;&gt;"",N414+O414))))))</f>
        <v>3</v>
      </c>
      <c r="J160" s="18">
        <v>3</v>
      </c>
      <c r="K160" s="23">
        <f t="shared" si="102"/>
        <v>0</v>
      </c>
      <c r="M160" s="78">
        <v>3</v>
      </c>
      <c r="N160" s="65">
        <f t="shared" si="103"/>
        <v>3</v>
      </c>
      <c r="O160" s="101"/>
      <c r="P160" s="21"/>
      <c r="Q160" s="192">
        <v>3</v>
      </c>
      <c r="R160" s="23">
        <f t="shared" si="104"/>
        <v>0</v>
      </c>
      <c r="S160" s="52">
        <f t="shared" si="105"/>
        <v>0</v>
      </c>
      <c r="U160" s="51">
        <f t="shared" si="106"/>
        <v>63</v>
      </c>
      <c r="V160" s="23">
        <v>63</v>
      </c>
      <c r="W160" s="23">
        <f t="shared" si="107"/>
        <v>-108</v>
      </c>
      <c r="Y160" s="78">
        <v>63</v>
      </c>
      <c r="Z160" s="62">
        <f t="shared" si="99"/>
        <v>63</v>
      </c>
      <c r="AA160" s="20"/>
      <c r="AB160" s="21"/>
      <c r="AC160" s="57">
        <v>63</v>
      </c>
      <c r="AD160" s="23">
        <f t="shared" si="108"/>
        <v>6</v>
      </c>
      <c r="AE160" s="23">
        <f t="shared" si="109"/>
        <v>6</v>
      </c>
      <c r="AF160" s="23"/>
      <c r="AG160" s="52">
        <v>20</v>
      </c>
      <c r="AI160">
        <f>SUM(M156:M160,Y156:Y160)/5</f>
        <v>55.8</v>
      </c>
    </row>
    <row r="161" spans="1:35" s="12" customFormat="1" hidden="1" outlineLevel="1">
      <c r="A161" s="95">
        <v>45759</v>
      </c>
      <c r="B161" s="25" t="s">
        <v>16</v>
      </c>
      <c r="C161" s="98"/>
      <c r="D161" s="99">
        <f t="shared" si="100"/>
        <v>0</v>
      </c>
      <c r="E161" s="87">
        <f t="shared" si="101"/>
        <v>-30</v>
      </c>
      <c r="G161" s="25"/>
      <c r="I161" s="53"/>
      <c r="J161" s="26"/>
      <c r="K161" s="29">
        <f t="shared" si="102"/>
        <v>0</v>
      </c>
      <c r="M161" s="79"/>
      <c r="N161" s="66"/>
      <c r="O161" s="98"/>
      <c r="P161" s="28"/>
      <c r="Q161" s="230"/>
      <c r="R161" s="29">
        <f t="shared" si="104"/>
        <v>0</v>
      </c>
      <c r="S161" s="54">
        <f t="shared" si="105"/>
        <v>0</v>
      </c>
      <c r="U161" s="53"/>
      <c r="V161" s="29"/>
      <c r="W161" s="29">
        <f t="shared" si="107"/>
        <v>-108</v>
      </c>
      <c r="Y161" s="79"/>
      <c r="Z161" s="63"/>
      <c r="AA161" s="27"/>
      <c r="AB161" s="28"/>
      <c r="AC161" s="43"/>
      <c r="AD161" s="29">
        <f t="shared" si="108"/>
        <v>6</v>
      </c>
      <c r="AE161" s="29">
        <f t="shared" si="109"/>
        <v>6</v>
      </c>
      <c r="AF161" s="29"/>
      <c r="AG161" s="54"/>
    </row>
    <row r="162" spans="1:35" s="12" customFormat="1" hidden="1" outlineLevel="1" collapsed="1">
      <c r="A162" s="95">
        <v>45760</v>
      </c>
      <c r="B162" s="25" t="s">
        <v>17</v>
      </c>
      <c r="C162" s="98"/>
      <c r="D162" s="99">
        <f t="shared" si="100"/>
        <v>0</v>
      </c>
      <c r="E162" s="87">
        <f t="shared" si="101"/>
        <v>-30</v>
      </c>
      <c r="G162" s="25"/>
      <c r="I162" s="53"/>
      <c r="J162" s="26"/>
      <c r="K162" s="29">
        <f t="shared" si="102"/>
        <v>0</v>
      </c>
      <c r="M162" s="79"/>
      <c r="N162" s="66"/>
      <c r="O162" s="98"/>
      <c r="P162" s="28"/>
      <c r="Q162" s="230"/>
      <c r="R162" s="29">
        <f t="shared" si="104"/>
        <v>0</v>
      </c>
      <c r="S162" s="54">
        <f t="shared" si="105"/>
        <v>0</v>
      </c>
      <c r="U162" s="53"/>
      <c r="V162" s="29"/>
      <c r="W162" s="29">
        <f t="shared" si="107"/>
        <v>-108</v>
      </c>
      <c r="Y162" s="79"/>
      <c r="Z162" s="63"/>
      <c r="AA162" s="27"/>
      <c r="AB162" s="28"/>
      <c r="AC162" s="43"/>
      <c r="AD162" s="29">
        <f t="shared" si="108"/>
        <v>6</v>
      </c>
      <c r="AE162" s="29">
        <f t="shared" si="109"/>
        <v>6</v>
      </c>
      <c r="AF162" s="29"/>
      <c r="AG162" s="54"/>
    </row>
    <row r="163" spans="1:35" hidden="1" outlineLevel="1">
      <c r="A163" s="96">
        <v>45761</v>
      </c>
      <c r="B163" s="17" t="s">
        <v>18</v>
      </c>
      <c r="C163" s="101">
        <v>60</v>
      </c>
      <c r="D163" s="100">
        <f t="shared" si="100"/>
        <v>69</v>
      </c>
      <c r="E163" s="22">
        <f t="shared" si="101"/>
        <v>-21</v>
      </c>
      <c r="G163" s="17"/>
      <c r="I163" s="51">
        <f>IF(M164&lt;&gt;"",N164+O164,IF(M165&lt;&gt;"",N165+O165,IF(M166&lt;&gt;"",N166+O166,IF(M415&lt;&gt;"",N415+O415,IF(M416&lt;&gt;"",N416+O416,IF(M417&lt;&gt;"",N417+O417))))))</f>
        <v>6</v>
      </c>
      <c r="J163" s="18">
        <v>6</v>
      </c>
      <c r="K163" s="23">
        <f t="shared" si="102"/>
        <v>0</v>
      </c>
      <c r="M163" s="78">
        <v>3</v>
      </c>
      <c r="N163" s="65">
        <f t="shared" si="103"/>
        <v>3</v>
      </c>
      <c r="O163" s="101"/>
      <c r="P163" s="21"/>
      <c r="Q163" s="192">
        <v>3</v>
      </c>
      <c r="R163" s="23">
        <f t="shared" si="104"/>
        <v>0</v>
      </c>
      <c r="S163" s="52">
        <f t="shared" si="105"/>
        <v>0</v>
      </c>
      <c r="U163" s="51">
        <f t="shared" si="106"/>
        <v>54</v>
      </c>
      <c r="V163" s="23">
        <v>63</v>
      </c>
      <c r="W163" s="23">
        <f t="shared" si="107"/>
        <v>-99</v>
      </c>
      <c r="Y163" s="78">
        <v>54</v>
      </c>
      <c r="Z163" s="62">
        <f t="shared" si="99"/>
        <v>63</v>
      </c>
      <c r="AA163" s="20"/>
      <c r="AB163" s="21"/>
      <c r="AC163" s="57">
        <v>63</v>
      </c>
      <c r="AD163" s="23">
        <f t="shared" si="108"/>
        <v>15</v>
      </c>
      <c r="AE163" s="23">
        <f t="shared" si="109"/>
        <v>15</v>
      </c>
      <c r="AF163" s="23"/>
      <c r="AG163" s="52">
        <v>22</v>
      </c>
    </row>
    <row r="164" spans="1:35" hidden="1" outlineLevel="1">
      <c r="A164" s="96">
        <v>45762</v>
      </c>
      <c r="B164" s="17" t="s">
        <v>19</v>
      </c>
      <c r="C164" s="101">
        <v>60</v>
      </c>
      <c r="D164" s="100">
        <f t="shared" si="100"/>
        <v>32</v>
      </c>
      <c r="E164" s="22">
        <f t="shared" si="101"/>
        <v>-49</v>
      </c>
      <c r="G164" s="17"/>
      <c r="I164" s="51">
        <f>IF(M165&lt;&gt;"",N165+O165,IF(M166&lt;&gt;"",N166+O166,IF(M167&lt;&gt;"",N167+O167,IF(M416&lt;&gt;"",N416+O416,IF(M417&lt;&gt;"",N417+O417,IF(M418&lt;&gt;"",N418+O418))))))</f>
        <v>6</v>
      </c>
      <c r="J164" s="18">
        <v>6</v>
      </c>
      <c r="K164" s="23">
        <f t="shared" si="102"/>
        <v>0</v>
      </c>
      <c r="M164" s="78">
        <v>6</v>
      </c>
      <c r="N164" s="65">
        <f t="shared" si="103"/>
        <v>6</v>
      </c>
      <c r="O164" s="101"/>
      <c r="P164" s="21"/>
      <c r="Q164" s="192">
        <v>6</v>
      </c>
      <c r="R164" s="23">
        <f t="shared" si="104"/>
        <v>0</v>
      </c>
      <c r="S164" s="52">
        <f t="shared" si="105"/>
        <v>0</v>
      </c>
      <c r="U164" s="51">
        <f t="shared" si="106"/>
        <v>54</v>
      </c>
      <c r="V164" s="23">
        <v>26</v>
      </c>
      <c r="W164" s="23">
        <f t="shared" si="107"/>
        <v>-127</v>
      </c>
      <c r="Y164" s="78">
        <v>66</v>
      </c>
      <c r="Z164" s="62">
        <f t="shared" si="99"/>
        <v>54</v>
      </c>
      <c r="AA164" s="20"/>
      <c r="AB164" s="21"/>
      <c r="AC164" s="57">
        <v>54</v>
      </c>
      <c r="AD164" s="23">
        <f t="shared" si="108"/>
        <v>3</v>
      </c>
      <c r="AE164" s="23">
        <f t="shared" si="109"/>
        <v>3</v>
      </c>
      <c r="AF164" s="23"/>
      <c r="AG164" s="52">
        <v>0</v>
      </c>
    </row>
    <row r="165" spans="1:35" hidden="1" outlineLevel="1">
      <c r="A165" s="96">
        <v>45763</v>
      </c>
      <c r="B165" s="17" t="s">
        <v>20</v>
      </c>
      <c r="C165" s="101">
        <v>60</v>
      </c>
      <c r="D165" s="100">
        <f t="shared" si="100"/>
        <v>0</v>
      </c>
      <c r="E165" s="22">
        <f t="shared" si="101"/>
        <v>-109</v>
      </c>
      <c r="G165" s="17"/>
      <c r="I165" s="51">
        <f>IF(M166&lt;&gt;"",N166+O166,IF(M167&lt;&gt;"",N167+O167,IF(M168&lt;&gt;"",N168+O168,IF(M417&lt;&gt;"",N417+O417,IF(M418&lt;&gt;"",N418+O418,IF(M419&lt;&gt;"",N419+O419))))))</f>
        <v>-3</v>
      </c>
      <c r="J165" s="18">
        <v>0</v>
      </c>
      <c r="K165" s="23">
        <f t="shared" si="102"/>
        <v>3</v>
      </c>
      <c r="M165" s="78">
        <v>6</v>
      </c>
      <c r="N165" s="65">
        <f t="shared" si="103"/>
        <v>6</v>
      </c>
      <c r="O165" s="101"/>
      <c r="P165" s="21"/>
      <c r="Q165" s="192">
        <v>6</v>
      </c>
      <c r="R165" s="23">
        <f t="shared" si="104"/>
        <v>0</v>
      </c>
      <c r="S165" s="52">
        <f t="shared" si="105"/>
        <v>0</v>
      </c>
      <c r="U165" s="51">
        <f t="shared" si="106"/>
        <v>63</v>
      </c>
      <c r="V165" s="23">
        <v>0</v>
      </c>
      <c r="W165" s="23">
        <f t="shared" si="107"/>
        <v>-190</v>
      </c>
      <c r="Y165" s="78">
        <v>63</v>
      </c>
      <c r="Z165" s="175">
        <v>36</v>
      </c>
      <c r="AA165" s="20">
        <v>-18</v>
      </c>
      <c r="AB165" s="21"/>
      <c r="AC165" s="57">
        <v>36</v>
      </c>
      <c r="AD165" s="23">
        <f t="shared" si="108"/>
        <v>-24</v>
      </c>
      <c r="AE165" s="23">
        <f t="shared" si="109"/>
        <v>-24</v>
      </c>
      <c r="AF165" s="23"/>
      <c r="AG165" s="52">
        <v>20</v>
      </c>
    </row>
    <row r="166" spans="1:35" hidden="1" outlineLevel="1">
      <c r="A166" s="96">
        <v>45764</v>
      </c>
      <c r="B166" s="17" t="s">
        <v>14</v>
      </c>
      <c r="C166" s="101">
        <v>60</v>
      </c>
      <c r="D166" s="100">
        <f t="shared" si="100"/>
        <v>0</v>
      </c>
      <c r="E166" s="22">
        <f t="shared" si="101"/>
        <v>-169</v>
      </c>
      <c r="G166" s="17"/>
      <c r="I166" s="51">
        <f>IF(M167&lt;&gt;"",N167+O167,IF(M168&lt;&gt;"",N168+O168,IF(M169&lt;&gt;"",N169+O169,IF(M418&lt;&gt;"",N418+O418,IF(M419&lt;&gt;"",N419+O419,IF(M420&lt;&gt;"",N420+O420))))))</f>
        <v>-6</v>
      </c>
      <c r="J166" s="18">
        <v>0</v>
      </c>
      <c r="K166" s="23">
        <f t="shared" si="102"/>
        <v>9</v>
      </c>
      <c r="M166" s="78">
        <v>3</v>
      </c>
      <c r="N166" s="175">
        <f>M166+O166</f>
        <v>0</v>
      </c>
      <c r="O166" s="101">
        <v>-3</v>
      </c>
      <c r="P166" s="21"/>
      <c r="Q166" s="192">
        <v>0</v>
      </c>
      <c r="R166" s="23">
        <f t="shared" si="104"/>
        <v>-3</v>
      </c>
      <c r="S166" s="52">
        <f t="shared" si="105"/>
        <v>-3</v>
      </c>
      <c r="U166" s="51">
        <f t="shared" si="106"/>
        <v>66</v>
      </c>
      <c r="V166" s="23"/>
      <c r="W166" s="23">
        <f t="shared" si="107"/>
        <v>-256</v>
      </c>
      <c r="Y166" s="78">
        <v>51</v>
      </c>
      <c r="Z166" s="175">
        <v>0</v>
      </c>
      <c r="AA166" s="20">
        <v>-63</v>
      </c>
      <c r="AB166" s="21"/>
      <c r="AC166" s="57">
        <v>0</v>
      </c>
      <c r="AD166" s="23">
        <f t="shared" si="108"/>
        <v>-75</v>
      </c>
      <c r="AE166" s="23">
        <f t="shared" si="109"/>
        <v>-75</v>
      </c>
      <c r="AF166" s="23"/>
      <c r="AG166" s="52">
        <v>20</v>
      </c>
    </row>
    <row r="167" spans="1:35" hidden="1" outlineLevel="1">
      <c r="A167" s="96">
        <v>45765</v>
      </c>
      <c r="B167" s="17" t="s">
        <v>15</v>
      </c>
      <c r="C167" s="101">
        <v>60</v>
      </c>
      <c r="D167" s="100">
        <f t="shared" si="100"/>
        <v>72</v>
      </c>
      <c r="E167" s="22">
        <f t="shared" si="101"/>
        <v>-157</v>
      </c>
      <c r="G167" s="17"/>
      <c r="I167" s="51">
        <f>IF(M168&lt;&gt;"",N168+O168,IF(M169&lt;&gt;"",N169+O169,IF(M170&lt;&gt;"",N170+O170,IF(M419&lt;&gt;"",N419+O419,IF(M420&lt;&gt;"",N420+O420,IF(M421&lt;&gt;"",N421+O421))))))</f>
        <v>3</v>
      </c>
      <c r="J167" s="18">
        <v>3</v>
      </c>
      <c r="K167" s="23">
        <f t="shared" si="102"/>
        <v>9</v>
      </c>
      <c r="M167" s="78">
        <v>6</v>
      </c>
      <c r="N167" s="175">
        <f>M167+O167</f>
        <v>0</v>
      </c>
      <c r="O167" s="101">
        <v>-6</v>
      </c>
      <c r="P167" s="21"/>
      <c r="Q167" s="192">
        <v>0</v>
      </c>
      <c r="R167" s="23">
        <f t="shared" si="104"/>
        <v>-9</v>
      </c>
      <c r="S167" s="52">
        <f t="shared" si="105"/>
        <v>-9</v>
      </c>
      <c r="U167" s="51">
        <f t="shared" si="106"/>
        <v>57</v>
      </c>
      <c r="V167" s="23">
        <v>69</v>
      </c>
      <c r="W167" s="23">
        <f t="shared" si="107"/>
        <v>-244</v>
      </c>
      <c r="Y167" s="78">
        <v>51</v>
      </c>
      <c r="Z167" s="175">
        <f t="shared" si="99"/>
        <v>0</v>
      </c>
      <c r="AA167" s="20">
        <v>-66</v>
      </c>
      <c r="AB167" s="21"/>
      <c r="AC167" s="57">
        <v>0</v>
      </c>
      <c r="AD167" s="23">
        <f t="shared" si="108"/>
        <v>-126</v>
      </c>
      <c r="AE167" s="23">
        <f t="shared" si="109"/>
        <v>-126</v>
      </c>
      <c r="AF167" s="23"/>
      <c r="AG167" s="52">
        <v>25</v>
      </c>
      <c r="AI167">
        <f>SUM(M163:M167,Y163:Y167)/5</f>
        <v>61.8</v>
      </c>
    </row>
    <row r="168" spans="1:35" s="12" customFormat="1" hidden="1" outlineLevel="1">
      <c r="A168" s="95">
        <v>45766</v>
      </c>
      <c r="B168" s="25" t="s">
        <v>16</v>
      </c>
      <c r="C168" s="98"/>
      <c r="D168" s="99">
        <f t="shared" si="100"/>
        <v>0</v>
      </c>
      <c r="E168" s="87">
        <f t="shared" si="101"/>
        <v>-157</v>
      </c>
      <c r="G168" s="25"/>
      <c r="I168" s="53"/>
      <c r="J168" s="26"/>
      <c r="K168" s="29">
        <f t="shared" si="102"/>
        <v>9</v>
      </c>
      <c r="M168" s="79"/>
      <c r="N168" s="66"/>
      <c r="O168" s="98"/>
      <c r="P168" s="28"/>
      <c r="Q168" s="230"/>
      <c r="R168" s="29">
        <f t="shared" si="104"/>
        <v>-9</v>
      </c>
      <c r="S168" s="54">
        <f t="shared" si="105"/>
        <v>-9</v>
      </c>
      <c r="U168" s="53"/>
      <c r="V168" s="29"/>
      <c r="W168" s="29">
        <f t="shared" si="107"/>
        <v>-244</v>
      </c>
      <c r="Y168" s="79"/>
      <c r="Z168" s="63"/>
      <c r="AA168" s="27"/>
      <c r="AB168" s="28"/>
      <c r="AC168" s="43"/>
      <c r="AD168" s="29">
        <f t="shared" si="108"/>
        <v>-126</v>
      </c>
      <c r="AE168" s="29">
        <f t="shared" si="109"/>
        <v>-126</v>
      </c>
      <c r="AF168" s="29"/>
      <c r="AG168" s="54"/>
    </row>
    <row r="169" spans="1:35" s="12" customFormat="1" hidden="1" outlineLevel="1" collapsed="1">
      <c r="A169" s="95">
        <v>45767</v>
      </c>
      <c r="B169" s="25" t="s">
        <v>17</v>
      </c>
      <c r="C169" s="98"/>
      <c r="D169" s="99">
        <f t="shared" si="100"/>
        <v>0</v>
      </c>
      <c r="E169" s="87">
        <f t="shared" si="101"/>
        <v>-157</v>
      </c>
      <c r="G169" s="25"/>
      <c r="I169" s="53"/>
      <c r="J169" s="26"/>
      <c r="K169" s="29">
        <f t="shared" si="102"/>
        <v>9</v>
      </c>
      <c r="M169" s="79"/>
      <c r="N169" s="66"/>
      <c r="O169" s="98"/>
      <c r="P169" s="28"/>
      <c r="Q169" s="230"/>
      <c r="R169" s="29">
        <f t="shared" si="104"/>
        <v>-9</v>
      </c>
      <c r="S169" s="54">
        <f t="shared" si="105"/>
        <v>-9</v>
      </c>
      <c r="U169" s="53"/>
      <c r="V169" s="29"/>
      <c r="W169" s="29">
        <f t="shared" si="107"/>
        <v>-244</v>
      </c>
      <c r="Y169" s="79"/>
      <c r="Z169" s="63"/>
      <c r="AA169" s="27"/>
      <c r="AB169" s="28"/>
      <c r="AC169" s="43"/>
      <c r="AD169" s="29">
        <f t="shared" si="108"/>
        <v>-126</v>
      </c>
      <c r="AE169" s="29">
        <f t="shared" si="109"/>
        <v>-126</v>
      </c>
      <c r="AF169" s="29"/>
      <c r="AG169" s="54"/>
    </row>
    <row r="170" spans="1:35" hidden="1" outlineLevel="1">
      <c r="A170" s="96">
        <v>45768</v>
      </c>
      <c r="B170" s="17" t="s">
        <v>18</v>
      </c>
      <c r="C170" s="101">
        <v>66</v>
      </c>
      <c r="D170" s="100">
        <f t="shared" si="100"/>
        <v>67</v>
      </c>
      <c r="E170" s="22">
        <f t="shared" si="101"/>
        <v>-156</v>
      </c>
      <c r="G170" s="17"/>
      <c r="I170" s="51">
        <f>IF(M171&lt;&gt;"",N171+O171,IF(M172&lt;&gt;"",N172+O172,IF(M173&lt;&gt;"",N173+O173,IF(M422&lt;&gt;"",N422+O422,IF(M423&lt;&gt;"",N423+O423,IF(M424&lt;&gt;"",N424+O424))))))</f>
        <v>9</v>
      </c>
      <c r="J170" s="18">
        <v>9</v>
      </c>
      <c r="K170" s="23">
        <f t="shared" si="102"/>
        <v>9</v>
      </c>
      <c r="M170" s="78">
        <v>3</v>
      </c>
      <c r="N170" s="65">
        <f t="shared" si="103"/>
        <v>3</v>
      </c>
      <c r="O170" s="101"/>
      <c r="P170" s="21"/>
      <c r="Q170" s="192">
        <v>3</v>
      </c>
      <c r="R170" s="23">
        <f t="shared" si="104"/>
        <v>-9</v>
      </c>
      <c r="S170" s="52">
        <f t="shared" si="105"/>
        <v>-9</v>
      </c>
      <c r="U170" s="51">
        <f t="shared" si="106"/>
        <v>57</v>
      </c>
      <c r="V170" s="23">
        <v>58</v>
      </c>
      <c r="W170" s="23">
        <f t="shared" si="107"/>
        <v>-243</v>
      </c>
      <c r="Y170" s="78">
        <v>45</v>
      </c>
      <c r="Z170" s="62">
        <f t="shared" si="99"/>
        <v>57</v>
      </c>
      <c r="AA170" s="20"/>
      <c r="AB170" s="21"/>
      <c r="AC170" s="57">
        <v>57</v>
      </c>
      <c r="AD170" s="23">
        <f t="shared" si="108"/>
        <v>-114</v>
      </c>
      <c r="AE170" s="23">
        <f t="shared" si="109"/>
        <v>-114</v>
      </c>
      <c r="AF170" s="23"/>
      <c r="AG170" s="52">
        <v>25</v>
      </c>
    </row>
    <row r="171" spans="1:35" hidden="1" outlineLevel="1">
      <c r="A171" s="96">
        <v>45769</v>
      </c>
      <c r="B171" s="17" t="s">
        <v>19</v>
      </c>
      <c r="C171" s="101">
        <v>66</v>
      </c>
      <c r="D171" s="100">
        <f t="shared" si="100"/>
        <v>0</v>
      </c>
      <c r="E171" s="22">
        <f t="shared" si="101"/>
        <v>-222</v>
      </c>
      <c r="G171" s="17"/>
      <c r="I171" s="51">
        <f>IF(M172&lt;&gt;"",N172+O172,IF(M173&lt;&gt;"",N173+O173,IF(M174&lt;&gt;"",N174+O174,IF(M423&lt;&gt;"",N423+O423,IF(M424&lt;&gt;"",N424+O424,IF(M425&lt;&gt;"",N425+O425))))))</f>
        <v>6</v>
      </c>
      <c r="J171" s="18"/>
      <c r="K171" s="23">
        <f t="shared" si="102"/>
        <v>3</v>
      </c>
      <c r="M171" s="78">
        <v>9</v>
      </c>
      <c r="N171" s="65">
        <f t="shared" si="103"/>
        <v>9</v>
      </c>
      <c r="O171" s="101"/>
      <c r="P171" s="21"/>
      <c r="Q171" s="192">
        <v>9</v>
      </c>
      <c r="R171" s="23">
        <f t="shared" si="104"/>
        <v>-9</v>
      </c>
      <c r="S171" s="52">
        <f t="shared" si="105"/>
        <v>-9</v>
      </c>
      <c r="U171" s="51">
        <f t="shared" si="106"/>
        <v>60</v>
      </c>
      <c r="V171" s="23"/>
      <c r="W171" s="23">
        <f t="shared" si="107"/>
        <v>-303</v>
      </c>
      <c r="Y171" s="78">
        <v>66</v>
      </c>
      <c r="Z171" s="62">
        <f t="shared" si="99"/>
        <v>57</v>
      </c>
      <c r="AA171" s="20"/>
      <c r="AB171" s="21"/>
      <c r="AC171" s="57">
        <v>57</v>
      </c>
      <c r="AD171" s="23">
        <f t="shared" si="108"/>
        <v>-123</v>
      </c>
      <c r="AE171" s="23">
        <f t="shared" si="109"/>
        <v>-123</v>
      </c>
      <c r="AF171" s="23"/>
      <c r="AG171" s="52">
        <v>25</v>
      </c>
    </row>
    <row r="172" spans="1:35" hidden="1" outlineLevel="1">
      <c r="A172" s="96">
        <v>45770</v>
      </c>
      <c r="B172" s="17" t="s">
        <v>20</v>
      </c>
      <c r="C172" s="101">
        <v>66</v>
      </c>
      <c r="D172" s="100">
        <f t="shared" si="100"/>
        <v>0</v>
      </c>
      <c r="E172" s="22">
        <f t="shared" si="101"/>
        <v>-288</v>
      </c>
      <c r="G172" s="17"/>
      <c r="I172" s="51">
        <f>IF(M173&lt;&gt;"",N173+O173,IF(M174&lt;&gt;"",N174+O174,IF(M175&lt;&gt;"",N175+O175,IF(M424&lt;&gt;"",N424+O424,IF(M425&lt;&gt;"",N425+O425,IF(M426&lt;&gt;"",N426+O426))))))</f>
        <v>0</v>
      </c>
      <c r="J172" s="18"/>
      <c r="K172" s="23">
        <f t="shared" si="102"/>
        <v>3</v>
      </c>
      <c r="M172" s="78">
        <v>6</v>
      </c>
      <c r="N172" s="65">
        <f t="shared" si="103"/>
        <v>6</v>
      </c>
      <c r="O172" s="101"/>
      <c r="P172" s="21"/>
      <c r="Q172" s="192">
        <v>6</v>
      </c>
      <c r="R172" s="23">
        <f t="shared" si="104"/>
        <v>-9</v>
      </c>
      <c r="S172" s="52">
        <f t="shared" si="105"/>
        <v>-9</v>
      </c>
      <c r="U172" s="51">
        <f t="shared" si="106"/>
        <v>66</v>
      </c>
      <c r="V172" s="23"/>
      <c r="W172" s="23">
        <f t="shared" si="107"/>
        <v>-369</v>
      </c>
      <c r="Y172" s="78">
        <v>36</v>
      </c>
      <c r="Z172" s="62">
        <f t="shared" si="99"/>
        <v>60</v>
      </c>
      <c r="AA172" s="20"/>
      <c r="AB172" s="21"/>
      <c r="AC172" s="57">
        <v>60</v>
      </c>
      <c r="AD172" s="23">
        <f t="shared" si="108"/>
        <v>-99</v>
      </c>
      <c r="AE172" s="23">
        <f t="shared" si="109"/>
        <v>-99</v>
      </c>
      <c r="AF172" s="23"/>
      <c r="AG172" s="52">
        <v>20</v>
      </c>
    </row>
    <row r="173" spans="1:35" hidden="1" outlineLevel="1">
      <c r="A173" s="96">
        <v>45771</v>
      </c>
      <c r="B173" s="17" t="s">
        <v>14</v>
      </c>
      <c r="C173" s="101">
        <v>66</v>
      </c>
      <c r="D173" s="100">
        <f t="shared" si="100"/>
        <v>0</v>
      </c>
      <c r="E173" s="22">
        <f t="shared" si="101"/>
        <v>-354</v>
      </c>
      <c r="G173" s="17"/>
      <c r="I173" s="51">
        <f>IF(M174&lt;&gt;"",N174+O174,IF(M175&lt;&gt;"",N175+O175,IF(M176&lt;&gt;"",N176+O176,IF(M425&lt;&gt;"",N425+O425,IF(M426&lt;&gt;"",N426+O426,IF(M427&lt;&gt;"",N427+O427))))))</f>
        <v>9</v>
      </c>
      <c r="J173" s="18"/>
      <c r="K173" s="23">
        <f t="shared" si="102"/>
        <v>-6</v>
      </c>
      <c r="M173" s="78">
        <v>0</v>
      </c>
      <c r="N173" s="65">
        <f t="shared" si="103"/>
        <v>0</v>
      </c>
      <c r="O173" s="101"/>
      <c r="P173" s="21"/>
      <c r="Q173" s="192">
        <v>3</v>
      </c>
      <c r="R173" s="23">
        <f t="shared" si="104"/>
        <v>-6</v>
      </c>
      <c r="S173" s="52">
        <f t="shared" si="105"/>
        <v>-9</v>
      </c>
      <c r="U173" s="51">
        <f t="shared" si="106"/>
        <v>57</v>
      </c>
      <c r="V173" s="23"/>
      <c r="W173" s="23">
        <f t="shared" si="107"/>
        <v>-426</v>
      </c>
      <c r="Y173" s="78">
        <v>6</v>
      </c>
      <c r="Z173" s="62">
        <f t="shared" si="99"/>
        <v>66</v>
      </c>
      <c r="AA173" s="20"/>
      <c r="AB173" s="21"/>
      <c r="AC173" s="57">
        <v>63</v>
      </c>
      <c r="AD173" s="23">
        <f t="shared" si="108"/>
        <v>-42</v>
      </c>
      <c r="AE173" s="23">
        <f t="shared" si="109"/>
        <v>-39</v>
      </c>
      <c r="AF173" s="23"/>
      <c r="AG173" s="52">
        <v>25</v>
      </c>
    </row>
    <row r="174" spans="1:35" hidden="1" outlineLevel="1">
      <c r="A174" s="96">
        <v>45772</v>
      </c>
      <c r="B174" s="17" t="s">
        <v>15</v>
      </c>
      <c r="C174" s="101">
        <v>66</v>
      </c>
      <c r="D174" s="100">
        <f t="shared" si="100"/>
        <v>0</v>
      </c>
      <c r="E174" s="22">
        <f t="shared" si="101"/>
        <v>-420</v>
      </c>
      <c r="G174" s="17"/>
      <c r="I174" s="51">
        <f>IF(M175&lt;&gt;"",N175+O175,IF(M176&lt;&gt;"",N176+O176,IF(M177&lt;&gt;"",N177+O177,IF(M426&lt;&gt;"",N426+O426,IF(M427&lt;&gt;"",N427+O427,IF(M428&lt;&gt;"",N428+O428))))))</f>
        <v>9</v>
      </c>
      <c r="J174" s="18"/>
      <c r="K174" s="23">
        <f t="shared" si="102"/>
        <v>-15</v>
      </c>
      <c r="M174" s="78">
        <v>9</v>
      </c>
      <c r="N174" s="65">
        <f t="shared" si="103"/>
        <v>9</v>
      </c>
      <c r="O174" s="101"/>
      <c r="P174" s="21"/>
      <c r="Q174" s="192">
        <v>9</v>
      </c>
      <c r="R174" s="23">
        <f t="shared" si="104"/>
        <v>-6</v>
      </c>
      <c r="S174" s="52">
        <f t="shared" si="105"/>
        <v>-9</v>
      </c>
      <c r="U174" s="51">
        <f t="shared" si="106"/>
        <v>57</v>
      </c>
      <c r="V174" s="23"/>
      <c r="W174" s="23">
        <f t="shared" si="107"/>
        <v>-483</v>
      </c>
      <c r="Y174" s="78">
        <v>33</v>
      </c>
      <c r="Z174" s="62">
        <f t="shared" si="99"/>
        <v>57</v>
      </c>
      <c r="AA174" s="20"/>
      <c r="AB174" s="21"/>
      <c r="AC174" s="57">
        <v>57</v>
      </c>
      <c r="AD174" s="23">
        <f t="shared" si="108"/>
        <v>-18</v>
      </c>
      <c r="AE174" s="23">
        <f t="shared" si="109"/>
        <v>-15</v>
      </c>
      <c r="AF174" s="23"/>
      <c r="AG174" s="52">
        <v>25</v>
      </c>
      <c r="AI174">
        <f>SUM(M170:M174,Y170:Y174)/COUNT(Y170:Y174)</f>
        <v>42.6</v>
      </c>
    </row>
    <row r="175" spans="1:35" s="12" customFormat="1" hidden="1" outlineLevel="1">
      <c r="A175" s="95">
        <v>45773</v>
      </c>
      <c r="B175" s="25" t="s">
        <v>16</v>
      </c>
      <c r="C175" s="98"/>
      <c r="D175" s="99">
        <f t="shared" si="100"/>
        <v>0</v>
      </c>
      <c r="E175" s="87">
        <f t="shared" si="101"/>
        <v>-420</v>
      </c>
      <c r="G175" s="25"/>
      <c r="I175" s="53"/>
      <c r="J175" s="26"/>
      <c r="K175" s="29">
        <f t="shared" si="102"/>
        <v>-15</v>
      </c>
      <c r="M175" s="79"/>
      <c r="N175" s="66"/>
      <c r="O175" s="98"/>
      <c r="P175" s="28"/>
      <c r="Q175" s="230"/>
      <c r="R175" s="29">
        <f t="shared" si="104"/>
        <v>-6</v>
      </c>
      <c r="S175" s="54">
        <f t="shared" si="105"/>
        <v>-9</v>
      </c>
      <c r="U175" s="53"/>
      <c r="V175" s="29"/>
      <c r="W175" s="29">
        <f t="shared" si="107"/>
        <v>-483</v>
      </c>
      <c r="Y175" s="79"/>
      <c r="Z175" s="63"/>
      <c r="AA175" s="27"/>
      <c r="AB175" s="28"/>
      <c r="AC175" s="43"/>
      <c r="AD175" s="29">
        <f t="shared" si="108"/>
        <v>-18</v>
      </c>
      <c r="AE175" s="29">
        <f t="shared" si="109"/>
        <v>-15</v>
      </c>
      <c r="AF175" s="29"/>
      <c r="AG175" s="54"/>
    </row>
    <row r="176" spans="1:35" s="12" customFormat="1" hidden="1" outlineLevel="1">
      <c r="A176" s="95">
        <v>45774</v>
      </c>
      <c r="B176" s="25" t="s">
        <v>17</v>
      </c>
      <c r="C176" s="98"/>
      <c r="D176" s="99">
        <f t="shared" si="100"/>
        <v>0</v>
      </c>
      <c r="E176" s="87">
        <f t="shared" si="101"/>
        <v>-420</v>
      </c>
      <c r="G176" s="25"/>
      <c r="I176" s="53"/>
      <c r="J176" s="26"/>
      <c r="K176" s="29">
        <f t="shared" si="102"/>
        <v>-15</v>
      </c>
      <c r="M176" s="79"/>
      <c r="N176" s="66"/>
      <c r="O176" s="98"/>
      <c r="P176" s="28"/>
      <c r="Q176" s="230"/>
      <c r="R176" s="29">
        <f t="shared" si="104"/>
        <v>-6</v>
      </c>
      <c r="S176" s="54">
        <f t="shared" si="105"/>
        <v>-9</v>
      </c>
      <c r="U176" s="53"/>
      <c r="V176" s="29"/>
      <c r="W176" s="29">
        <f t="shared" si="107"/>
        <v>-483</v>
      </c>
      <c r="Y176" s="79"/>
      <c r="Z176" s="63"/>
      <c r="AA176" s="27"/>
      <c r="AB176" s="28"/>
      <c r="AC176" s="43"/>
      <c r="AD176" s="29">
        <f t="shared" si="108"/>
        <v>-18</v>
      </c>
      <c r="AE176" s="29">
        <f t="shared" si="109"/>
        <v>-15</v>
      </c>
      <c r="AF176" s="29"/>
      <c r="AG176" s="54"/>
    </row>
    <row r="177" spans="1:36" hidden="1" outlineLevel="1">
      <c r="A177" s="96">
        <v>45775</v>
      </c>
      <c r="B177" s="17" t="s">
        <v>18</v>
      </c>
      <c r="C177" s="101">
        <v>72</v>
      </c>
      <c r="D177" s="100">
        <f t="shared" si="100"/>
        <v>0</v>
      </c>
      <c r="E177" s="22">
        <f t="shared" si="101"/>
        <v>-492</v>
      </c>
      <c r="G177" s="17"/>
      <c r="I177" s="51">
        <f>IF(M178&lt;&gt;"",N178+O178,IF(M179&lt;&gt;"",N179+O179,IF(M180&lt;&gt;"",N180+O180,IF(M429&lt;&gt;"",N429+O429,IF(M430&lt;&gt;"",N430+O430,IF(M431&lt;&gt;"",N431+O431))))))</f>
        <v>15</v>
      </c>
      <c r="J177" s="18"/>
      <c r="K177" s="23">
        <f t="shared" si="102"/>
        <v>-30</v>
      </c>
      <c r="M177" s="78">
        <v>9</v>
      </c>
      <c r="N177" s="65">
        <f t="shared" si="103"/>
        <v>9</v>
      </c>
      <c r="O177" s="101"/>
      <c r="P177" s="21"/>
      <c r="Q177" s="192">
        <v>9</v>
      </c>
      <c r="R177" s="23">
        <f t="shared" si="104"/>
        <v>-6</v>
      </c>
      <c r="S177" s="52">
        <f t="shared" si="105"/>
        <v>-9</v>
      </c>
      <c r="U177" s="51">
        <f t="shared" si="106"/>
        <v>57</v>
      </c>
      <c r="V177" s="23"/>
      <c r="W177" s="23">
        <f t="shared" si="107"/>
        <v>-540</v>
      </c>
      <c r="Y177" s="78">
        <v>75</v>
      </c>
      <c r="Z177" s="62">
        <f t="shared" si="99"/>
        <v>57</v>
      </c>
      <c r="AA177" s="20"/>
      <c r="AB177" s="21"/>
      <c r="AC177" s="57">
        <v>57</v>
      </c>
      <c r="AD177" s="23">
        <f t="shared" si="108"/>
        <v>-36</v>
      </c>
      <c r="AE177" s="23">
        <f t="shared" si="109"/>
        <v>-33</v>
      </c>
      <c r="AF177" s="23"/>
      <c r="AG177" s="52">
        <v>0</v>
      </c>
    </row>
    <row r="178" spans="1:36" hidden="1" outlineLevel="1">
      <c r="A178" s="96">
        <v>45776</v>
      </c>
      <c r="B178" s="17" t="s">
        <v>19</v>
      </c>
      <c r="C178" s="101">
        <v>72</v>
      </c>
      <c r="D178" s="100">
        <f t="shared" si="100"/>
        <v>0</v>
      </c>
      <c r="E178" s="22">
        <f t="shared" si="101"/>
        <v>-564</v>
      </c>
      <c r="G178" s="17"/>
      <c r="I178" s="51">
        <f>IF(M179&lt;&gt;"",N179+O179,IF(M180&lt;&gt;"",N180+O180,IF(M181&lt;&gt;"",N181+O181,IF(M430&lt;&gt;"",N430+O430,IF(M431&lt;&gt;"",N431+O431,IF(M432&lt;&gt;"",N432+O432))))))</f>
        <v>9</v>
      </c>
      <c r="J178" s="18"/>
      <c r="K178" s="23">
        <f t="shared" si="102"/>
        <v>-39</v>
      </c>
      <c r="M178" s="78">
        <v>15</v>
      </c>
      <c r="N178" s="65">
        <f t="shared" si="103"/>
        <v>15</v>
      </c>
      <c r="O178" s="101"/>
      <c r="P178" s="21"/>
      <c r="Q178" s="192">
        <v>15</v>
      </c>
      <c r="R178" s="23">
        <f t="shared" si="104"/>
        <v>-6</v>
      </c>
      <c r="S178" s="52">
        <f t="shared" si="105"/>
        <v>-9</v>
      </c>
      <c r="U178" s="51">
        <f t="shared" si="106"/>
        <v>63</v>
      </c>
      <c r="V178" s="23"/>
      <c r="W178" s="23">
        <f t="shared" si="107"/>
        <v>-603</v>
      </c>
      <c r="Y178" s="78">
        <v>72</v>
      </c>
      <c r="Z178" s="62">
        <f t="shared" si="99"/>
        <v>57</v>
      </c>
      <c r="AA178" s="20"/>
      <c r="AB178" s="21"/>
      <c r="AC178" s="57">
        <v>57</v>
      </c>
      <c r="AD178" s="23">
        <f t="shared" si="108"/>
        <v>-51</v>
      </c>
      <c r="AE178" s="23">
        <f t="shared" si="109"/>
        <v>-48</v>
      </c>
      <c r="AF178" s="23"/>
      <c r="AG178" s="52">
        <v>0</v>
      </c>
    </row>
    <row r="179" spans="1:36" hidden="1" outlineLevel="1">
      <c r="A179" s="96">
        <v>45777</v>
      </c>
      <c r="B179" s="17" t="s">
        <v>20</v>
      </c>
      <c r="C179" s="281"/>
      <c r="D179" s="100">
        <f t="shared" si="100"/>
        <v>0</v>
      </c>
      <c r="E179" s="22">
        <f t="shared" si="101"/>
        <v>-564</v>
      </c>
      <c r="G179" s="17"/>
      <c r="I179" s="284">
        <v>0</v>
      </c>
      <c r="J179" s="18"/>
      <c r="K179" s="23">
        <f t="shared" si="102"/>
        <v>-39</v>
      </c>
      <c r="M179" s="78">
        <v>9</v>
      </c>
      <c r="N179" s="65">
        <f t="shared" si="103"/>
        <v>9</v>
      </c>
      <c r="O179" s="101"/>
      <c r="P179" s="21"/>
      <c r="Q179" s="192">
        <v>9</v>
      </c>
      <c r="R179" s="23">
        <f t="shared" si="104"/>
        <v>-6</v>
      </c>
      <c r="S179" s="52">
        <f t="shared" si="105"/>
        <v>-9</v>
      </c>
      <c r="U179" s="284">
        <f t="shared" si="106"/>
        <v>0</v>
      </c>
      <c r="V179" s="23"/>
      <c r="W179" s="23">
        <f t="shared" si="107"/>
        <v>-603</v>
      </c>
      <c r="Y179" s="78">
        <v>0</v>
      </c>
      <c r="Z179" s="62">
        <f t="shared" si="99"/>
        <v>63</v>
      </c>
      <c r="AA179" s="20"/>
      <c r="AB179" s="21"/>
      <c r="AC179" s="57">
        <v>63</v>
      </c>
      <c r="AD179" s="23">
        <f t="shared" si="108"/>
        <v>12</v>
      </c>
      <c r="AE179" s="23">
        <f t="shared" si="109"/>
        <v>15</v>
      </c>
      <c r="AF179" s="23"/>
      <c r="AG179" s="52">
        <f>25</f>
        <v>25</v>
      </c>
      <c r="AI179">
        <f>SUM(M177:M179,Y177:Y179)/COUNT(Y177:Y179)</f>
        <v>60</v>
      </c>
    </row>
    <row r="180" spans="1:36" s="12" customFormat="1" hidden="1" outlineLevel="1">
      <c r="A180" s="95">
        <v>45778</v>
      </c>
      <c r="B180" s="25" t="s">
        <v>14</v>
      </c>
      <c r="C180" s="98"/>
      <c r="D180" s="99">
        <f t="shared" si="100"/>
        <v>0</v>
      </c>
      <c r="E180" s="87">
        <f t="shared" si="101"/>
        <v>-564</v>
      </c>
      <c r="G180" s="25"/>
      <c r="I180" s="53"/>
      <c r="J180" s="26"/>
      <c r="K180" s="29">
        <f t="shared" si="102"/>
        <v>-39</v>
      </c>
      <c r="M180" s="79"/>
      <c r="N180" s="66"/>
      <c r="O180" s="98"/>
      <c r="P180" s="28"/>
      <c r="Q180" s="230"/>
      <c r="R180" s="29">
        <f t="shared" si="104"/>
        <v>-6</v>
      </c>
      <c r="S180" s="54">
        <f t="shared" si="105"/>
        <v>-9</v>
      </c>
      <c r="U180" s="53"/>
      <c r="V180" s="29"/>
      <c r="W180" s="29">
        <f t="shared" si="107"/>
        <v>-603</v>
      </c>
      <c r="Y180" s="79"/>
      <c r="Z180" s="63"/>
      <c r="AA180" s="27"/>
      <c r="AB180" s="28"/>
      <c r="AC180" s="43"/>
      <c r="AD180" s="29">
        <f t="shared" si="108"/>
        <v>12</v>
      </c>
      <c r="AE180" s="29">
        <f t="shared" si="109"/>
        <v>15</v>
      </c>
      <c r="AF180" s="29"/>
      <c r="AG180" s="54"/>
    </row>
    <row r="181" spans="1:36" s="12" customFormat="1" hidden="1" outlineLevel="1">
      <c r="A181" s="95">
        <v>45779</v>
      </c>
      <c r="B181" s="25" t="s">
        <v>15</v>
      </c>
      <c r="C181" s="98"/>
      <c r="D181" s="99">
        <f t="shared" si="100"/>
        <v>0</v>
      </c>
      <c r="E181" s="87">
        <f t="shared" si="101"/>
        <v>-564</v>
      </c>
      <c r="G181" s="25"/>
      <c r="I181" s="53"/>
      <c r="J181" s="26"/>
      <c r="K181" s="29">
        <f t="shared" si="102"/>
        <v>-39</v>
      </c>
      <c r="M181" s="79"/>
      <c r="N181" s="66"/>
      <c r="O181" s="98"/>
      <c r="P181" s="28"/>
      <c r="Q181" s="230"/>
      <c r="R181" s="29">
        <f t="shared" si="104"/>
        <v>-6</v>
      </c>
      <c r="S181" s="54">
        <f t="shared" si="105"/>
        <v>-9</v>
      </c>
      <c r="U181" s="53"/>
      <c r="V181" s="29"/>
      <c r="W181" s="29">
        <f t="shared" si="107"/>
        <v>-603</v>
      </c>
      <c r="Y181" s="79"/>
      <c r="Z181" s="63"/>
      <c r="AA181" s="27"/>
      <c r="AB181" s="28"/>
      <c r="AC181" s="43"/>
      <c r="AD181" s="29">
        <f t="shared" si="108"/>
        <v>12</v>
      </c>
      <c r="AE181" s="29">
        <f t="shared" si="109"/>
        <v>15</v>
      </c>
      <c r="AF181" s="29"/>
      <c r="AG181" s="54"/>
    </row>
    <row r="182" spans="1:36" s="12" customFormat="1" hidden="1" outlineLevel="1">
      <c r="A182" s="95">
        <v>45780</v>
      </c>
      <c r="B182" s="25" t="s">
        <v>16</v>
      </c>
      <c r="C182" s="98"/>
      <c r="D182" s="99">
        <f t="shared" ref="D182:D213" si="110">J182+V182</f>
        <v>0</v>
      </c>
      <c r="E182" s="87">
        <f t="shared" ref="E182:E213" si="111">E181-C182+D182</f>
        <v>-564</v>
      </c>
      <c r="G182" s="25"/>
      <c r="I182" s="53"/>
      <c r="J182" s="26"/>
      <c r="K182" s="29">
        <f t="shared" ref="K182:K213" si="112">J182-I182+K181</f>
        <v>-39</v>
      </c>
      <c r="M182" s="79"/>
      <c r="N182" s="66"/>
      <c r="O182" s="98"/>
      <c r="P182" s="28"/>
      <c r="Q182" s="230"/>
      <c r="R182" s="29">
        <f t="shared" ref="R182:R213" si="113">R181-M182+Q182</f>
        <v>-6</v>
      </c>
      <c r="S182" s="54">
        <f t="shared" ref="S182:S213" si="114">S181-M182+N182</f>
        <v>-9</v>
      </c>
      <c r="U182" s="53"/>
      <c r="V182" s="29"/>
      <c r="W182" s="29">
        <f t="shared" ref="W182:W213" si="115">V182-U182+W181</f>
        <v>-603</v>
      </c>
      <c r="Y182" s="79"/>
      <c r="Z182" s="63"/>
      <c r="AA182" s="27"/>
      <c r="AB182" s="28"/>
      <c r="AC182" s="43"/>
      <c r="AD182" s="29">
        <f t="shared" ref="AD182:AD213" si="116">AD181-Y182+AC182</f>
        <v>12</v>
      </c>
      <c r="AE182" s="29">
        <f t="shared" ref="AE182:AE213" si="117">AE181-Y182+Z182</f>
        <v>15</v>
      </c>
      <c r="AF182" s="29"/>
      <c r="AG182" s="54"/>
    </row>
    <row r="183" spans="1:36" s="12" customFormat="1" hidden="1" outlineLevel="1">
      <c r="A183" s="95">
        <v>45781</v>
      </c>
      <c r="B183" s="25" t="s">
        <v>17</v>
      </c>
      <c r="C183" s="98"/>
      <c r="D183" s="99">
        <f t="shared" si="110"/>
        <v>0</v>
      </c>
      <c r="E183" s="87">
        <f t="shared" si="111"/>
        <v>-564</v>
      </c>
      <c r="G183" s="25"/>
      <c r="I183" s="53"/>
      <c r="J183" s="26"/>
      <c r="K183" s="29">
        <f t="shared" si="112"/>
        <v>-39</v>
      </c>
      <c r="M183" s="79"/>
      <c r="N183" s="66"/>
      <c r="O183" s="98"/>
      <c r="P183" s="28"/>
      <c r="Q183" s="230"/>
      <c r="R183" s="29">
        <f t="shared" si="113"/>
        <v>-6</v>
      </c>
      <c r="S183" s="54">
        <f t="shared" si="114"/>
        <v>-9</v>
      </c>
      <c r="U183" s="53"/>
      <c r="V183" s="29"/>
      <c r="W183" s="29">
        <f t="shared" si="115"/>
        <v>-603</v>
      </c>
      <c r="Y183" s="79"/>
      <c r="Z183" s="63"/>
      <c r="AA183" s="27"/>
      <c r="AB183" s="28"/>
      <c r="AC183" s="43"/>
      <c r="AD183" s="29">
        <f t="shared" si="116"/>
        <v>12</v>
      </c>
      <c r="AE183" s="29">
        <f t="shared" si="117"/>
        <v>15</v>
      </c>
      <c r="AF183" s="29"/>
      <c r="AG183" s="54"/>
    </row>
    <row r="184" spans="1:36" s="12" customFormat="1" hidden="1" outlineLevel="1" collapsed="1">
      <c r="A184" s="95">
        <v>45782</v>
      </c>
      <c r="B184" s="25" t="s">
        <v>18</v>
      </c>
      <c r="C184" s="98"/>
      <c r="D184" s="99">
        <f t="shared" si="110"/>
        <v>0</v>
      </c>
      <c r="E184" s="87">
        <f t="shared" si="111"/>
        <v>-564</v>
      </c>
      <c r="G184" s="25"/>
      <c r="I184" s="53"/>
      <c r="J184" s="26"/>
      <c r="K184" s="29">
        <f t="shared" si="112"/>
        <v>-39</v>
      </c>
      <c r="M184" s="79"/>
      <c r="N184" s="66"/>
      <c r="O184" s="98"/>
      <c r="P184" s="28"/>
      <c r="Q184" s="230"/>
      <c r="R184" s="29">
        <f t="shared" si="113"/>
        <v>-6</v>
      </c>
      <c r="S184" s="54">
        <f t="shared" si="114"/>
        <v>-9</v>
      </c>
      <c r="U184" s="53"/>
      <c r="V184" s="29"/>
      <c r="W184" s="29">
        <f t="shared" si="115"/>
        <v>-603</v>
      </c>
      <c r="Y184" s="79"/>
      <c r="Z184" s="63"/>
      <c r="AA184" s="27"/>
      <c r="AB184" s="28"/>
      <c r="AC184" s="43"/>
      <c r="AD184" s="29">
        <f t="shared" si="116"/>
        <v>12</v>
      </c>
      <c r="AE184" s="29">
        <f t="shared" si="117"/>
        <v>15</v>
      </c>
      <c r="AF184" s="29"/>
      <c r="AG184" s="54"/>
    </row>
    <row r="185" spans="1:36" s="12" customFormat="1" hidden="1" outlineLevel="1">
      <c r="A185" s="95">
        <v>45783</v>
      </c>
      <c r="B185" s="25" t="s">
        <v>19</v>
      </c>
      <c r="C185" s="101">
        <v>66</v>
      </c>
      <c r="D185" s="99">
        <f t="shared" si="110"/>
        <v>0</v>
      </c>
      <c r="E185" s="87">
        <f t="shared" si="111"/>
        <v>-630</v>
      </c>
      <c r="G185" s="25"/>
      <c r="I185" s="51">
        <f>IF(M186&lt;&gt;"",N186,IF(M187&lt;&gt;"",N187,IF(M188&lt;&gt;"",N188,IF(M437&lt;&gt;"",N437,IF(M438&lt;&gt;"",N438,IF(M439&lt;&gt;"",N439))))))</f>
        <v>18</v>
      </c>
      <c r="J185" s="18"/>
      <c r="K185" s="29">
        <f t="shared" si="112"/>
        <v>-57</v>
      </c>
      <c r="M185" s="79"/>
      <c r="N185" s="66"/>
      <c r="O185" s="98"/>
      <c r="P185" s="28"/>
      <c r="Q185" s="230"/>
      <c r="R185" s="29">
        <f t="shared" si="113"/>
        <v>-6</v>
      </c>
      <c r="S185" s="54">
        <f t="shared" si="114"/>
        <v>-9</v>
      </c>
      <c r="U185" s="51">
        <f t="shared" ref="U185:U188" si="118">C185-I185</f>
        <v>48</v>
      </c>
      <c r="V185" s="23"/>
      <c r="W185" s="29">
        <f t="shared" si="115"/>
        <v>-651</v>
      </c>
      <c r="Y185" s="79"/>
      <c r="Z185" s="63"/>
      <c r="AA185" s="27"/>
      <c r="AB185" s="28"/>
      <c r="AC185" s="43"/>
      <c r="AD185" s="29">
        <f t="shared" si="116"/>
        <v>12</v>
      </c>
      <c r="AE185" s="29">
        <f t="shared" si="117"/>
        <v>15</v>
      </c>
      <c r="AF185" s="29"/>
      <c r="AG185" s="54"/>
    </row>
    <row r="186" spans="1:36" hidden="1" outlineLevel="1">
      <c r="A186" s="96">
        <v>45784</v>
      </c>
      <c r="B186" s="17" t="s">
        <v>20</v>
      </c>
      <c r="C186" s="101">
        <v>72</v>
      </c>
      <c r="D186" s="100">
        <f t="shared" si="110"/>
        <v>0</v>
      </c>
      <c r="E186" s="22">
        <f t="shared" si="111"/>
        <v>-702</v>
      </c>
      <c r="G186" s="17"/>
      <c r="I186" s="51">
        <f>IF(M187&lt;&gt;"",N187,IF(M188&lt;&gt;"",N188,IF(M189&lt;&gt;"",N189,IF(M438&lt;&gt;"",N438,IF(M439&lt;&gt;"",N439,IF(M440&lt;&gt;"",N440))))))</f>
        <v>9</v>
      </c>
      <c r="J186" s="18"/>
      <c r="K186" s="23">
        <f t="shared" si="112"/>
        <v>-66</v>
      </c>
      <c r="M186" s="78">
        <v>18</v>
      </c>
      <c r="N186" s="65">
        <f>M186+O186</f>
        <v>18</v>
      </c>
      <c r="O186" s="101"/>
      <c r="P186" s="21"/>
      <c r="Q186" s="192">
        <v>18</v>
      </c>
      <c r="R186" s="285">
        <v>-6</v>
      </c>
      <c r="S186" s="286">
        <v>-6</v>
      </c>
      <c r="U186" s="51">
        <f t="shared" si="118"/>
        <v>63</v>
      </c>
      <c r="V186" s="23"/>
      <c r="W186" s="23">
        <f t="shared" si="115"/>
        <v>-714</v>
      </c>
      <c r="Y186" s="78">
        <v>69</v>
      </c>
      <c r="Z186" s="62">
        <f t="shared" ref="Z186:Z213" si="119">IF(U185&lt;&gt;"",U185+AA186,IF(U184&lt;&gt;"",U184+AA186,IF(U183&lt;&gt;"",U183+AA186,IF(U182&lt;&gt;"",U182+AA186,IF(U181&lt;&gt;"",U181+AA186,IF(U180&lt;&gt;"",U180+AA186,IF(U179&lt;&gt;"",U179+AA186)))))))</f>
        <v>48</v>
      </c>
      <c r="AA186" s="20"/>
      <c r="AB186" s="21"/>
      <c r="AC186" s="57">
        <v>48</v>
      </c>
      <c r="AD186" s="285">
        <v>-9</v>
      </c>
      <c r="AE186" s="285">
        <v>-9</v>
      </c>
      <c r="AF186" s="23"/>
      <c r="AG186" s="52">
        <v>10</v>
      </c>
      <c r="AJ186" s="1">
        <v>9</v>
      </c>
    </row>
    <row r="187" spans="1:36" hidden="1" outlineLevel="1">
      <c r="A187" s="96">
        <v>45785</v>
      </c>
      <c r="B187" s="17" t="s">
        <v>14</v>
      </c>
      <c r="C187" s="101">
        <v>72</v>
      </c>
      <c r="D187" s="100">
        <f t="shared" si="110"/>
        <v>0</v>
      </c>
      <c r="E187" s="22">
        <f t="shared" si="111"/>
        <v>-774</v>
      </c>
      <c r="G187" s="17"/>
      <c r="I187" s="51">
        <f>IF(M188&lt;&gt;"",N188,IF(M189&lt;&gt;"",N189,IF(M190&lt;&gt;"",N190,IF(M439&lt;&gt;"",N439,IF(M440&lt;&gt;"",N440,IF(M441&lt;&gt;"",N441))))))</f>
        <v>0</v>
      </c>
      <c r="J187" s="18"/>
      <c r="K187" s="23">
        <f t="shared" si="112"/>
        <v>-66</v>
      </c>
      <c r="M187" s="78">
        <v>9</v>
      </c>
      <c r="N187" s="65">
        <f t="shared" ref="N187:N188" si="120">M187+O187</f>
        <v>9</v>
      </c>
      <c r="O187" s="101"/>
      <c r="P187" s="21"/>
      <c r="Q187" s="192">
        <v>9</v>
      </c>
      <c r="R187" s="23">
        <f t="shared" si="113"/>
        <v>-6</v>
      </c>
      <c r="S187" s="52">
        <f t="shared" si="114"/>
        <v>-6</v>
      </c>
      <c r="U187" s="51">
        <f t="shared" si="118"/>
        <v>72</v>
      </c>
      <c r="V187" s="23"/>
      <c r="W187" s="23">
        <f t="shared" si="115"/>
        <v>-786</v>
      </c>
      <c r="Y187" s="78">
        <v>51</v>
      </c>
      <c r="Z187" s="62">
        <f t="shared" si="119"/>
        <v>63</v>
      </c>
      <c r="AA187" s="20"/>
      <c r="AB187" s="21"/>
      <c r="AC187" s="57">
        <v>63</v>
      </c>
      <c r="AD187" s="23">
        <f t="shared" si="116"/>
        <v>3</v>
      </c>
      <c r="AE187" s="23">
        <f t="shared" si="117"/>
        <v>3</v>
      </c>
      <c r="AF187" s="23"/>
      <c r="AG187" s="52">
        <v>15</v>
      </c>
    </row>
    <row r="188" spans="1:36" hidden="1" outlineLevel="1">
      <c r="A188" s="96">
        <v>45786</v>
      </c>
      <c r="B188" s="17" t="s">
        <v>15</v>
      </c>
      <c r="C188" s="101">
        <v>72</v>
      </c>
      <c r="D188" s="100">
        <f t="shared" si="110"/>
        <v>0</v>
      </c>
      <c r="E188" s="22">
        <f t="shared" si="111"/>
        <v>-846</v>
      </c>
      <c r="G188" s="17"/>
      <c r="I188" s="51">
        <f>IF(M189&lt;&gt;"",N189,IF(M190&lt;&gt;"",N190,IF(M191&lt;&gt;"",N191,IF(M440&lt;&gt;"",N440,IF(M441&lt;&gt;"",N441,IF(M442&lt;&gt;"",N442))))))</f>
        <v>6</v>
      </c>
      <c r="J188" s="18"/>
      <c r="K188" s="23">
        <f t="shared" si="112"/>
        <v>-72</v>
      </c>
      <c r="M188" s="78">
        <v>0</v>
      </c>
      <c r="N188" s="65">
        <f t="shared" si="120"/>
        <v>0</v>
      </c>
      <c r="O188" s="101"/>
      <c r="P188" s="21"/>
      <c r="Q188" s="192">
        <v>0</v>
      </c>
      <c r="R188" s="23">
        <f t="shared" si="113"/>
        <v>-6</v>
      </c>
      <c r="S188" s="52">
        <f t="shared" si="114"/>
        <v>-6</v>
      </c>
      <c r="U188" s="51">
        <f t="shared" si="118"/>
        <v>66</v>
      </c>
      <c r="V188" s="23"/>
      <c r="W188" s="23">
        <f t="shared" si="115"/>
        <v>-852</v>
      </c>
      <c r="Y188" s="78">
        <v>66</v>
      </c>
      <c r="Z188" s="62">
        <f t="shared" si="119"/>
        <v>72</v>
      </c>
      <c r="AA188" s="20"/>
      <c r="AB188" s="21"/>
      <c r="AC188" s="57">
        <v>72</v>
      </c>
      <c r="AD188" s="23">
        <f t="shared" si="116"/>
        <v>9</v>
      </c>
      <c r="AE188" s="23">
        <f t="shared" si="117"/>
        <v>9</v>
      </c>
      <c r="AF188" s="23"/>
      <c r="AG188" s="52">
        <v>20</v>
      </c>
      <c r="AI188">
        <f>SUM(M186:M188,Y186:Y188)/COUNT(Y186:Y188)</f>
        <v>71</v>
      </c>
    </row>
    <row r="189" spans="1:36" s="12" customFormat="1" hidden="1" outlineLevel="1">
      <c r="A189" s="95">
        <v>45787</v>
      </c>
      <c r="B189" s="25" t="s">
        <v>16</v>
      </c>
      <c r="C189" s="98"/>
      <c r="D189" s="99">
        <f t="shared" si="110"/>
        <v>0</v>
      </c>
      <c r="E189" s="87">
        <f t="shared" si="111"/>
        <v>-846</v>
      </c>
      <c r="G189" s="25"/>
      <c r="I189" s="53"/>
      <c r="J189" s="26"/>
      <c r="K189" s="29">
        <f t="shared" si="112"/>
        <v>-72</v>
      </c>
      <c r="M189" s="79"/>
      <c r="N189" s="66"/>
      <c r="O189" s="98"/>
      <c r="P189" s="28"/>
      <c r="Q189" s="230"/>
      <c r="R189" s="29">
        <f t="shared" si="113"/>
        <v>-6</v>
      </c>
      <c r="S189" s="54">
        <f t="shared" si="114"/>
        <v>-6</v>
      </c>
      <c r="U189" s="53"/>
      <c r="V189" s="29"/>
      <c r="W189" s="29">
        <f t="shared" si="115"/>
        <v>-852</v>
      </c>
      <c r="Y189" s="79"/>
      <c r="Z189" s="63"/>
      <c r="AA189" s="27"/>
      <c r="AB189" s="28"/>
      <c r="AC189" s="43"/>
      <c r="AD189" s="29">
        <f t="shared" si="116"/>
        <v>9</v>
      </c>
      <c r="AE189" s="29">
        <f t="shared" si="117"/>
        <v>9</v>
      </c>
      <c r="AF189" s="29"/>
      <c r="AG189" s="54"/>
    </row>
    <row r="190" spans="1:36" s="12" customFormat="1" hidden="1" outlineLevel="1" collapsed="1">
      <c r="A190" s="95">
        <v>45788</v>
      </c>
      <c r="B190" s="25" t="s">
        <v>17</v>
      </c>
      <c r="C190" s="98"/>
      <c r="D190" s="99">
        <f t="shared" si="110"/>
        <v>0</v>
      </c>
      <c r="E190" s="87">
        <f t="shared" si="111"/>
        <v>-846</v>
      </c>
      <c r="G190" s="25"/>
      <c r="I190" s="53"/>
      <c r="J190" s="26"/>
      <c r="K190" s="29">
        <f t="shared" si="112"/>
        <v>-72</v>
      </c>
      <c r="M190" s="79"/>
      <c r="N190" s="66"/>
      <c r="O190" s="98"/>
      <c r="P190" s="28"/>
      <c r="Q190" s="230"/>
      <c r="R190" s="29">
        <f t="shared" si="113"/>
        <v>-6</v>
      </c>
      <c r="S190" s="54">
        <f t="shared" si="114"/>
        <v>-6</v>
      </c>
      <c r="U190" s="53"/>
      <c r="V190" s="29"/>
      <c r="W190" s="29">
        <f t="shared" si="115"/>
        <v>-852</v>
      </c>
      <c r="Y190" s="79"/>
      <c r="Z190" s="63"/>
      <c r="AA190" s="27"/>
      <c r="AB190" s="28"/>
      <c r="AC190" s="43"/>
      <c r="AD190" s="29">
        <f t="shared" si="116"/>
        <v>9</v>
      </c>
      <c r="AE190" s="29">
        <f t="shared" si="117"/>
        <v>9</v>
      </c>
      <c r="AF190" s="29"/>
      <c r="AG190" s="54"/>
    </row>
    <row r="191" spans="1:36" hidden="1" outlineLevel="1">
      <c r="A191" s="96">
        <v>45789</v>
      </c>
      <c r="B191" s="17" t="s">
        <v>18</v>
      </c>
      <c r="C191" s="101">
        <v>60</v>
      </c>
      <c r="D191" s="100">
        <f t="shared" si="110"/>
        <v>0</v>
      </c>
      <c r="E191" s="22">
        <f t="shared" si="111"/>
        <v>-906</v>
      </c>
      <c r="G191" s="17"/>
      <c r="I191" s="51">
        <f>IF(M192&lt;&gt;"",N192,IF(M193&lt;&gt;"",N193,IF(M194&lt;&gt;"",N194,IF(M443&lt;&gt;"",N443,IF(M444&lt;&gt;"",N444,IF(M445&lt;&gt;"",N445))))))</f>
        <v>0</v>
      </c>
      <c r="J191" s="18"/>
      <c r="K191" s="23">
        <f t="shared" si="112"/>
        <v>-72</v>
      </c>
      <c r="M191" s="78">
        <v>0</v>
      </c>
      <c r="N191" s="65">
        <f t="shared" ref="N191:N195" si="121">M191+O191</f>
        <v>6</v>
      </c>
      <c r="O191" s="101">
        <v>6</v>
      </c>
      <c r="P191" s="21"/>
      <c r="Q191" s="192">
        <v>6</v>
      </c>
      <c r="R191" s="23">
        <f t="shared" si="113"/>
        <v>0</v>
      </c>
      <c r="S191" s="52">
        <f t="shared" si="114"/>
        <v>0</v>
      </c>
      <c r="U191" s="51">
        <f t="shared" ref="U191:U195" si="122">C191-I191</f>
        <v>60</v>
      </c>
      <c r="V191" s="23"/>
      <c r="W191" s="23">
        <f t="shared" si="115"/>
        <v>-912</v>
      </c>
      <c r="Y191" s="78">
        <v>63</v>
      </c>
      <c r="Z191" s="62">
        <f t="shared" si="119"/>
        <v>66</v>
      </c>
      <c r="AA191" s="20"/>
      <c r="AB191" s="21"/>
      <c r="AC191" s="57">
        <v>66</v>
      </c>
      <c r="AD191" s="23">
        <f t="shared" si="116"/>
        <v>12</v>
      </c>
      <c r="AE191" s="23">
        <f t="shared" si="117"/>
        <v>12</v>
      </c>
      <c r="AF191" s="23"/>
      <c r="AG191" s="52">
        <f>10+25</f>
        <v>35</v>
      </c>
    </row>
    <row r="192" spans="1:36" hidden="1" outlineLevel="1">
      <c r="A192" s="96">
        <v>45790</v>
      </c>
      <c r="B192" s="17" t="s">
        <v>19</v>
      </c>
      <c r="C192" s="101">
        <v>60</v>
      </c>
      <c r="D192" s="100">
        <f t="shared" si="110"/>
        <v>0</v>
      </c>
      <c r="E192" s="22">
        <f t="shared" si="111"/>
        <v>-966</v>
      </c>
      <c r="G192" s="17"/>
      <c r="I192" s="51">
        <f>IF(M193&lt;&gt;"",N193,IF(M194&lt;&gt;"",N194,IF(M195&lt;&gt;"",N195,IF(M444&lt;&gt;"",N444,IF(M445&lt;&gt;"",N445,IF(M446&lt;&gt;"",N446))))))</f>
        <v>6</v>
      </c>
      <c r="J192" s="18"/>
      <c r="K192" s="23">
        <f t="shared" si="112"/>
        <v>-78</v>
      </c>
      <c r="M192" s="78">
        <v>0</v>
      </c>
      <c r="N192" s="65">
        <f t="shared" si="121"/>
        <v>0</v>
      </c>
      <c r="O192" s="101"/>
      <c r="P192" s="21"/>
      <c r="Q192" s="192">
        <v>0</v>
      </c>
      <c r="R192" s="23">
        <f t="shared" si="113"/>
        <v>0</v>
      </c>
      <c r="S192" s="52">
        <f t="shared" si="114"/>
        <v>0</v>
      </c>
      <c r="U192" s="51">
        <f t="shared" si="122"/>
        <v>54</v>
      </c>
      <c r="V192" s="23"/>
      <c r="W192" s="23">
        <f t="shared" si="115"/>
        <v>-966</v>
      </c>
      <c r="Y192" s="78">
        <v>54</v>
      </c>
      <c r="Z192" s="62">
        <f t="shared" si="119"/>
        <v>60</v>
      </c>
      <c r="AA192" s="20"/>
      <c r="AB192" s="21"/>
      <c r="AC192" s="57">
        <v>60</v>
      </c>
      <c r="AD192" s="23">
        <f t="shared" si="116"/>
        <v>18</v>
      </c>
      <c r="AE192" s="23">
        <f t="shared" si="117"/>
        <v>18</v>
      </c>
      <c r="AF192" s="23"/>
      <c r="AG192" s="52">
        <f>15+25</f>
        <v>40</v>
      </c>
      <c r="AJ192" s="292" t="s">
        <v>69</v>
      </c>
    </row>
    <row r="193" spans="1:35" hidden="1" outlineLevel="1">
      <c r="A193" s="96">
        <v>45791</v>
      </c>
      <c r="B193" s="17" t="s">
        <v>20</v>
      </c>
      <c r="C193" s="101">
        <v>60</v>
      </c>
      <c r="D193" s="100">
        <f t="shared" si="110"/>
        <v>0</v>
      </c>
      <c r="E193" s="22">
        <f t="shared" si="111"/>
        <v>-1026</v>
      </c>
      <c r="G193" s="17"/>
      <c r="I193" s="51">
        <f>IF(M194&lt;&gt;"",N194,IF(M195&lt;&gt;"",N195,IF(M196&lt;&gt;"",N196,IF(M445&lt;&gt;"",N445,IF(M446&lt;&gt;"",N446,IF(M447&lt;&gt;"",N447))))))</f>
        <v>6</v>
      </c>
      <c r="J193" s="18"/>
      <c r="K193" s="23">
        <f t="shared" si="112"/>
        <v>-84</v>
      </c>
      <c r="M193" s="78">
        <v>0</v>
      </c>
      <c r="N193" s="65">
        <f t="shared" si="121"/>
        <v>6</v>
      </c>
      <c r="O193" s="101">
        <v>6</v>
      </c>
      <c r="P193" s="21"/>
      <c r="Q193" s="192">
        <v>6</v>
      </c>
      <c r="R193" s="23">
        <f t="shared" si="113"/>
        <v>6</v>
      </c>
      <c r="S193" s="52">
        <f t="shared" si="114"/>
        <v>6</v>
      </c>
      <c r="U193" s="51">
        <f t="shared" si="122"/>
        <v>54</v>
      </c>
      <c r="V193" s="23"/>
      <c r="W193" s="23">
        <f t="shared" si="115"/>
        <v>-1020</v>
      </c>
      <c r="Y193" s="78">
        <v>66</v>
      </c>
      <c r="Z193" s="62">
        <f t="shared" si="119"/>
        <v>54</v>
      </c>
      <c r="AA193" s="20"/>
      <c r="AB193" s="21"/>
      <c r="AC193" s="57">
        <v>54</v>
      </c>
      <c r="AD193" s="23">
        <f t="shared" si="116"/>
        <v>6</v>
      </c>
      <c r="AE193" s="23">
        <f t="shared" si="117"/>
        <v>6</v>
      </c>
      <c r="AF193" s="23"/>
      <c r="AG193" s="52">
        <v>25</v>
      </c>
    </row>
    <row r="194" spans="1:35" hidden="1" outlineLevel="1">
      <c r="A194" s="96">
        <v>45792</v>
      </c>
      <c r="B194" s="17" t="s">
        <v>14</v>
      </c>
      <c r="C194" s="101">
        <v>60</v>
      </c>
      <c r="D194" s="100">
        <f t="shared" si="110"/>
        <v>0</v>
      </c>
      <c r="E194" s="22">
        <f t="shared" si="111"/>
        <v>-1086</v>
      </c>
      <c r="G194" s="17"/>
      <c r="I194" s="51">
        <f>IF(M195&lt;&gt;"",N195,IF(M196&lt;&gt;"",N196,IF(M197&lt;&gt;"",N197,IF(M446&lt;&gt;"",N446,IF(M447&lt;&gt;"",N447,IF(M448&lt;&gt;"",N448))))))</f>
        <v>0</v>
      </c>
      <c r="J194" s="18"/>
      <c r="K194" s="23">
        <f t="shared" si="112"/>
        <v>-84</v>
      </c>
      <c r="M194" s="78">
        <v>0</v>
      </c>
      <c r="N194" s="65">
        <f t="shared" si="121"/>
        <v>6</v>
      </c>
      <c r="O194" s="101">
        <v>6</v>
      </c>
      <c r="P194" s="21"/>
      <c r="Q194" s="192">
        <v>6</v>
      </c>
      <c r="R194" s="23">
        <f t="shared" si="113"/>
        <v>12</v>
      </c>
      <c r="S194" s="52">
        <f t="shared" si="114"/>
        <v>12</v>
      </c>
      <c r="U194" s="51">
        <f t="shared" si="122"/>
        <v>60</v>
      </c>
      <c r="V194" s="23"/>
      <c r="W194" s="23">
        <f t="shared" si="115"/>
        <v>-1080</v>
      </c>
      <c r="Y194" s="78">
        <v>66</v>
      </c>
      <c r="Z194" s="62">
        <f t="shared" si="119"/>
        <v>54</v>
      </c>
      <c r="AA194" s="20"/>
      <c r="AB194" s="21"/>
      <c r="AC194" s="57">
        <v>54</v>
      </c>
      <c r="AD194" s="23">
        <f t="shared" si="116"/>
        <v>-6</v>
      </c>
      <c r="AE194" s="23">
        <f t="shared" si="117"/>
        <v>-6</v>
      </c>
      <c r="AF194" s="23"/>
      <c r="AG194" s="52">
        <f>5+32</f>
        <v>37</v>
      </c>
    </row>
    <row r="195" spans="1:35" hidden="1" outlineLevel="1">
      <c r="A195" s="96">
        <v>45793</v>
      </c>
      <c r="B195" s="17" t="s">
        <v>15</v>
      </c>
      <c r="C195" s="101">
        <v>60</v>
      </c>
      <c r="D195" s="100">
        <f t="shared" si="110"/>
        <v>0</v>
      </c>
      <c r="E195" s="22">
        <f t="shared" si="111"/>
        <v>-1146</v>
      </c>
      <c r="G195" s="17"/>
      <c r="I195" s="51">
        <f>IF(M196&lt;&gt;"",N196,IF(M197&lt;&gt;"",N197,IF(M198&lt;&gt;"",N198,IF(M447&lt;&gt;"",N447,IF(M448&lt;&gt;"",N448,IF(M449&lt;&gt;"",N449))))))</f>
        <v>0</v>
      </c>
      <c r="J195" s="18"/>
      <c r="K195" s="23">
        <f t="shared" si="112"/>
        <v>-84</v>
      </c>
      <c r="M195" s="78">
        <v>0</v>
      </c>
      <c r="N195" s="65">
        <f t="shared" si="121"/>
        <v>0</v>
      </c>
      <c r="O195" s="101"/>
      <c r="P195" s="21"/>
      <c r="Q195" s="192">
        <v>0</v>
      </c>
      <c r="R195" s="23">
        <f t="shared" si="113"/>
        <v>12</v>
      </c>
      <c r="S195" s="52">
        <f t="shared" si="114"/>
        <v>12</v>
      </c>
      <c r="U195" s="51">
        <f t="shared" si="122"/>
        <v>60</v>
      </c>
      <c r="V195" s="23"/>
      <c r="W195" s="23">
        <f t="shared" si="115"/>
        <v>-1140</v>
      </c>
      <c r="Y195" s="78">
        <v>51</v>
      </c>
      <c r="Z195" s="62">
        <f t="shared" si="119"/>
        <v>60</v>
      </c>
      <c r="AA195" s="20"/>
      <c r="AB195" s="21"/>
      <c r="AC195" s="57">
        <v>60</v>
      </c>
      <c r="AD195" s="23">
        <f t="shared" si="116"/>
        <v>3</v>
      </c>
      <c r="AE195" s="23">
        <f t="shared" si="117"/>
        <v>3</v>
      </c>
      <c r="AF195" s="23"/>
      <c r="AG195" s="52">
        <f>20+5</f>
        <v>25</v>
      </c>
      <c r="AI195">
        <f>SUM(M191:M195,Y191:Y195)/COUNT(Y191:Y195)</f>
        <v>60</v>
      </c>
    </row>
    <row r="196" spans="1:35" s="12" customFormat="1" hidden="1" outlineLevel="1">
      <c r="A196" s="95">
        <v>45794</v>
      </c>
      <c r="B196" s="25" t="s">
        <v>16</v>
      </c>
      <c r="C196" s="98"/>
      <c r="D196" s="99">
        <f t="shared" si="110"/>
        <v>0</v>
      </c>
      <c r="E196" s="87">
        <f t="shared" si="111"/>
        <v>-1146</v>
      </c>
      <c r="G196" s="25"/>
      <c r="I196" s="53"/>
      <c r="J196" s="26"/>
      <c r="K196" s="29">
        <f t="shared" si="112"/>
        <v>-84</v>
      </c>
      <c r="M196" s="79"/>
      <c r="N196" s="66"/>
      <c r="O196" s="98"/>
      <c r="P196" s="28"/>
      <c r="Q196" s="230"/>
      <c r="R196" s="29">
        <f t="shared" si="113"/>
        <v>12</v>
      </c>
      <c r="S196" s="54">
        <f t="shared" si="114"/>
        <v>12</v>
      </c>
      <c r="U196" s="53"/>
      <c r="V196" s="29"/>
      <c r="W196" s="29">
        <f t="shared" si="115"/>
        <v>-1140</v>
      </c>
      <c r="Y196" s="79"/>
      <c r="Z196" s="63"/>
      <c r="AA196" s="27"/>
      <c r="AB196" s="28"/>
      <c r="AC196" s="43"/>
      <c r="AD196" s="29">
        <f t="shared" si="116"/>
        <v>3</v>
      </c>
      <c r="AE196" s="29">
        <f t="shared" si="117"/>
        <v>3</v>
      </c>
      <c r="AF196" s="29"/>
      <c r="AG196" s="54"/>
    </row>
    <row r="197" spans="1:35" s="12" customFormat="1" hidden="1" outlineLevel="1" collapsed="1">
      <c r="A197" s="95">
        <v>45795</v>
      </c>
      <c r="B197" s="25" t="s">
        <v>17</v>
      </c>
      <c r="C197" s="98"/>
      <c r="D197" s="99">
        <f t="shared" si="110"/>
        <v>0</v>
      </c>
      <c r="E197" s="87">
        <f t="shared" si="111"/>
        <v>-1146</v>
      </c>
      <c r="G197" s="25"/>
      <c r="I197" s="53"/>
      <c r="J197" s="26"/>
      <c r="K197" s="29">
        <f t="shared" si="112"/>
        <v>-84</v>
      </c>
      <c r="M197" s="79"/>
      <c r="N197" s="66"/>
      <c r="O197" s="98"/>
      <c r="P197" s="28"/>
      <c r="Q197" s="230"/>
      <c r="R197" s="29">
        <f t="shared" si="113"/>
        <v>12</v>
      </c>
      <c r="S197" s="54">
        <f t="shared" si="114"/>
        <v>12</v>
      </c>
      <c r="U197" s="53"/>
      <c r="V197" s="29"/>
      <c r="W197" s="29">
        <f t="shared" si="115"/>
        <v>-1140</v>
      </c>
      <c r="Y197" s="79"/>
      <c r="Z197" s="63"/>
      <c r="AA197" s="27"/>
      <c r="AB197" s="28"/>
      <c r="AC197" s="43"/>
      <c r="AD197" s="29">
        <f t="shared" si="116"/>
        <v>3</v>
      </c>
      <c r="AE197" s="29">
        <f t="shared" si="117"/>
        <v>3</v>
      </c>
      <c r="AF197" s="29"/>
      <c r="AG197" s="54"/>
    </row>
    <row r="198" spans="1:35" hidden="1" outlineLevel="1">
      <c r="A198" s="96">
        <v>45796</v>
      </c>
      <c r="B198" s="17" t="s">
        <v>18</v>
      </c>
      <c r="C198" s="101">
        <v>54</v>
      </c>
      <c r="D198" s="100">
        <f t="shared" si="110"/>
        <v>0</v>
      </c>
      <c r="E198" s="22">
        <f t="shared" si="111"/>
        <v>-1200</v>
      </c>
      <c r="G198" s="17"/>
      <c r="I198" s="51">
        <f>IF(M199&lt;&gt;"",N199,IF(M200&lt;&gt;"",N200,IF(M201&lt;&gt;"",N201,IF(M450&lt;&gt;"",N450,IF(M451&lt;&gt;"",N451,IF(M452&lt;&gt;"",N452))))))</f>
        <v>0</v>
      </c>
      <c r="J198" s="18"/>
      <c r="K198" s="23">
        <f t="shared" si="112"/>
        <v>-84</v>
      </c>
      <c r="M198" s="78">
        <v>6</v>
      </c>
      <c r="N198" s="65">
        <f t="shared" ref="N198:N202" si="123">M198+O198</f>
        <v>0</v>
      </c>
      <c r="O198" s="101">
        <v>-6</v>
      </c>
      <c r="P198" s="21"/>
      <c r="Q198" s="192">
        <v>0</v>
      </c>
      <c r="R198" s="23">
        <f t="shared" si="113"/>
        <v>6</v>
      </c>
      <c r="S198" s="52">
        <f t="shared" si="114"/>
        <v>6</v>
      </c>
      <c r="U198" s="51">
        <f t="shared" ref="U198:U202" si="124">C198-I198</f>
        <v>54</v>
      </c>
      <c r="V198" s="23"/>
      <c r="W198" s="23">
        <f t="shared" si="115"/>
        <v>-1194</v>
      </c>
      <c r="Y198" s="78">
        <v>72</v>
      </c>
      <c r="Z198" s="62">
        <f t="shared" si="119"/>
        <v>60</v>
      </c>
      <c r="AA198" s="20"/>
      <c r="AB198" s="21"/>
      <c r="AC198" s="57">
        <v>60</v>
      </c>
      <c r="AD198" s="23">
        <f t="shared" si="116"/>
        <v>-9</v>
      </c>
      <c r="AE198" s="23">
        <f t="shared" si="117"/>
        <v>-9</v>
      </c>
      <c r="AF198" s="23"/>
      <c r="AG198" s="52">
        <v>25</v>
      </c>
    </row>
    <row r="199" spans="1:35" hidden="1" outlineLevel="1">
      <c r="A199" s="96">
        <v>45797</v>
      </c>
      <c r="B199" s="17" t="s">
        <v>19</v>
      </c>
      <c r="C199" s="101">
        <v>54</v>
      </c>
      <c r="D199" s="100">
        <f t="shared" si="110"/>
        <v>0</v>
      </c>
      <c r="E199" s="22">
        <f t="shared" si="111"/>
        <v>-1254</v>
      </c>
      <c r="G199" s="17"/>
      <c r="I199" s="51">
        <f>IF(M200&lt;&gt;"",N200,IF(M201&lt;&gt;"",N201,IF(M202&lt;&gt;"",N202,IF(M451&lt;&gt;"",N451,IF(M452&lt;&gt;"",N452,IF(M453&lt;&gt;"",N453))))))</f>
        <v>3</v>
      </c>
      <c r="J199" s="18"/>
      <c r="K199" s="23">
        <f t="shared" si="112"/>
        <v>-87</v>
      </c>
      <c r="M199" s="78">
        <v>3</v>
      </c>
      <c r="N199" s="65">
        <f t="shared" si="123"/>
        <v>0</v>
      </c>
      <c r="O199" s="101">
        <v>-3</v>
      </c>
      <c r="P199" s="21"/>
      <c r="Q199" s="192">
        <v>0</v>
      </c>
      <c r="R199" s="23">
        <f t="shared" si="113"/>
        <v>3</v>
      </c>
      <c r="S199" s="52">
        <f t="shared" si="114"/>
        <v>3</v>
      </c>
      <c r="U199" s="51">
        <f t="shared" si="124"/>
        <v>51</v>
      </c>
      <c r="V199" s="23"/>
      <c r="W199" s="23">
        <f t="shared" si="115"/>
        <v>-1245</v>
      </c>
      <c r="Y199" s="78">
        <v>54</v>
      </c>
      <c r="Z199" s="62">
        <f t="shared" si="119"/>
        <v>54</v>
      </c>
      <c r="AA199" s="20"/>
      <c r="AB199" s="21"/>
      <c r="AC199" s="57">
        <v>54</v>
      </c>
      <c r="AD199" s="23">
        <f t="shared" si="116"/>
        <v>-9</v>
      </c>
      <c r="AE199" s="23">
        <f t="shared" si="117"/>
        <v>-9</v>
      </c>
      <c r="AF199" s="23"/>
      <c r="AG199" s="52">
        <v>20</v>
      </c>
    </row>
    <row r="200" spans="1:35" hidden="1" outlineLevel="1">
      <c r="A200" s="96">
        <v>45798</v>
      </c>
      <c r="B200" s="17" t="s">
        <v>20</v>
      </c>
      <c r="C200" s="101">
        <v>54</v>
      </c>
      <c r="D200" s="100">
        <f t="shared" si="110"/>
        <v>0</v>
      </c>
      <c r="E200" s="22">
        <f t="shared" si="111"/>
        <v>-1308</v>
      </c>
      <c r="G200" s="17"/>
      <c r="I200" s="51">
        <f>IF(M201&lt;&gt;"",N201,IF(M202&lt;&gt;"",N202,IF(M203&lt;&gt;"",N203,IF(M452&lt;&gt;"",N452,IF(M453&lt;&gt;"",N453,IF(M454&lt;&gt;"",N454))))))</f>
        <v>9</v>
      </c>
      <c r="J200" s="18"/>
      <c r="K200" s="23">
        <f t="shared" si="112"/>
        <v>-96</v>
      </c>
      <c r="M200" s="78">
        <v>6</v>
      </c>
      <c r="N200" s="65">
        <f t="shared" si="123"/>
        <v>3</v>
      </c>
      <c r="O200" s="101">
        <v>-3</v>
      </c>
      <c r="P200" s="21"/>
      <c r="Q200" s="192">
        <v>3</v>
      </c>
      <c r="R200" s="23">
        <f t="shared" si="113"/>
        <v>0</v>
      </c>
      <c r="S200" s="52">
        <f t="shared" si="114"/>
        <v>0</v>
      </c>
      <c r="U200" s="51">
        <f t="shared" si="124"/>
        <v>45</v>
      </c>
      <c r="V200" s="23"/>
      <c r="W200" s="23">
        <f t="shared" si="115"/>
        <v>-1290</v>
      </c>
      <c r="Y200" s="78">
        <v>72</v>
      </c>
      <c r="Z200" s="62">
        <f t="shared" si="119"/>
        <v>51</v>
      </c>
      <c r="AA200" s="20"/>
      <c r="AB200" s="21"/>
      <c r="AC200" s="57">
        <v>51</v>
      </c>
      <c r="AD200" s="23">
        <f t="shared" si="116"/>
        <v>-30</v>
      </c>
      <c r="AE200" s="23">
        <f t="shared" si="117"/>
        <v>-30</v>
      </c>
      <c r="AF200" s="23"/>
      <c r="AG200" s="52">
        <v>30</v>
      </c>
    </row>
    <row r="201" spans="1:35" hidden="1" outlineLevel="1">
      <c r="A201" s="96">
        <v>45799</v>
      </c>
      <c r="B201" s="17" t="s">
        <v>14</v>
      </c>
      <c r="C201" s="101">
        <v>54</v>
      </c>
      <c r="D201" s="100">
        <f t="shared" si="110"/>
        <v>0</v>
      </c>
      <c r="E201" s="22">
        <f t="shared" si="111"/>
        <v>-1362</v>
      </c>
      <c r="G201" s="17"/>
      <c r="I201" s="51">
        <f>IF(M202&lt;&gt;"",N202,IF(M203&lt;&gt;"",N203,IF(M204&lt;&gt;"",N204,IF(M453&lt;&gt;"",N453,IF(M454&lt;&gt;"",N454,IF(M455&lt;&gt;"",N455))))))</f>
        <v>0</v>
      </c>
      <c r="J201" s="18"/>
      <c r="K201" s="23">
        <f t="shared" si="112"/>
        <v>-96</v>
      </c>
      <c r="M201" s="78">
        <v>9</v>
      </c>
      <c r="N201" s="65">
        <f t="shared" si="123"/>
        <v>9</v>
      </c>
      <c r="O201" s="101"/>
      <c r="P201" s="21"/>
      <c r="Q201" s="192">
        <v>9</v>
      </c>
      <c r="R201" s="23">
        <f t="shared" si="113"/>
        <v>0</v>
      </c>
      <c r="S201" s="52">
        <f t="shared" si="114"/>
        <v>0</v>
      </c>
      <c r="U201" s="51">
        <f t="shared" si="124"/>
        <v>54</v>
      </c>
      <c r="V201" s="23"/>
      <c r="W201" s="23">
        <f t="shared" si="115"/>
        <v>-1344</v>
      </c>
      <c r="Y201" s="78">
        <v>63</v>
      </c>
      <c r="Z201" s="62">
        <f t="shared" si="119"/>
        <v>45</v>
      </c>
      <c r="AA201" s="20"/>
      <c r="AB201" s="21"/>
      <c r="AC201" s="57">
        <v>45</v>
      </c>
      <c r="AD201" s="23">
        <f t="shared" si="116"/>
        <v>-48</v>
      </c>
      <c r="AE201" s="23">
        <f t="shared" si="117"/>
        <v>-48</v>
      </c>
      <c r="AF201" s="23"/>
      <c r="AG201" s="52">
        <v>25</v>
      </c>
    </row>
    <row r="202" spans="1:35" hidden="1" outlineLevel="1">
      <c r="A202" s="96">
        <v>45800</v>
      </c>
      <c r="B202" s="17" t="s">
        <v>15</v>
      </c>
      <c r="C202" s="101">
        <v>60</v>
      </c>
      <c r="D202" s="100">
        <f t="shared" si="110"/>
        <v>0</v>
      </c>
      <c r="E202" s="22">
        <f t="shared" si="111"/>
        <v>-1422</v>
      </c>
      <c r="G202" s="17"/>
      <c r="I202" s="51">
        <f>IF(M203&lt;&gt;"",N203,IF(M204&lt;&gt;"",N204,IF(M205&lt;&gt;"",N205,IF(M454&lt;&gt;"",N454,IF(M455&lt;&gt;"",N455,IF(M456&lt;&gt;"",N456))))))</f>
        <v>0</v>
      </c>
      <c r="J202" s="18"/>
      <c r="K202" s="23">
        <f t="shared" si="112"/>
        <v>-96</v>
      </c>
      <c r="M202" s="78">
        <v>0</v>
      </c>
      <c r="N202" s="65">
        <f t="shared" si="123"/>
        <v>0</v>
      </c>
      <c r="O202" s="101"/>
      <c r="P202" s="21"/>
      <c r="Q202" s="192">
        <v>0</v>
      </c>
      <c r="R202" s="23">
        <f t="shared" si="113"/>
        <v>0</v>
      </c>
      <c r="S202" s="52">
        <f t="shared" si="114"/>
        <v>0</v>
      </c>
      <c r="U202" s="51">
        <f t="shared" si="124"/>
        <v>60</v>
      </c>
      <c r="V202" s="23"/>
      <c r="W202" s="23">
        <f t="shared" si="115"/>
        <v>-1404</v>
      </c>
      <c r="Y202" s="78">
        <v>72</v>
      </c>
      <c r="Z202" s="62">
        <f t="shared" si="119"/>
        <v>54</v>
      </c>
      <c r="AA202" s="20"/>
      <c r="AB202" s="21"/>
      <c r="AC202" s="57">
        <v>54</v>
      </c>
      <c r="AD202" s="23">
        <f t="shared" si="116"/>
        <v>-66</v>
      </c>
      <c r="AE202" s="23">
        <f t="shared" si="117"/>
        <v>-66</v>
      </c>
      <c r="AF202" s="23"/>
      <c r="AG202" s="52">
        <v>22</v>
      </c>
      <c r="AI202">
        <f>SUM(M198:M202,Y198:Y202)/COUNT(Y198:Y202)</f>
        <v>71.400000000000006</v>
      </c>
    </row>
    <row r="203" spans="1:35" s="12" customFormat="1" hidden="1" outlineLevel="1">
      <c r="A203" s="95">
        <v>45801</v>
      </c>
      <c r="B203" s="25" t="s">
        <v>16</v>
      </c>
      <c r="C203" s="98"/>
      <c r="D203" s="99">
        <f t="shared" si="110"/>
        <v>0</v>
      </c>
      <c r="E203" s="87">
        <f t="shared" si="111"/>
        <v>-1422</v>
      </c>
      <c r="G203" s="25"/>
      <c r="I203" s="53"/>
      <c r="J203" s="26"/>
      <c r="K203" s="29">
        <f t="shared" si="112"/>
        <v>-96</v>
      </c>
      <c r="M203" s="79"/>
      <c r="N203" s="66"/>
      <c r="O203" s="98"/>
      <c r="P203" s="28"/>
      <c r="Q203" s="230"/>
      <c r="R203" s="29">
        <f t="shared" si="113"/>
        <v>0</v>
      </c>
      <c r="S203" s="54">
        <f t="shared" si="114"/>
        <v>0</v>
      </c>
      <c r="U203" s="53"/>
      <c r="V203" s="29"/>
      <c r="W203" s="29">
        <f t="shared" si="115"/>
        <v>-1404</v>
      </c>
      <c r="Y203" s="79"/>
      <c r="Z203" s="63"/>
      <c r="AA203" s="27"/>
      <c r="AB203" s="28"/>
      <c r="AC203" s="43"/>
      <c r="AD203" s="29">
        <f t="shared" si="116"/>
        <v>-66</v>
      </c>
      <c r="AE203" s="29">
        <f t="shared" si="117"/>
        <v>-66</v>
      </c>
      <c r="AF203" s="29"/>
      <c r="AG203" s="54"/>
    </row>
    <row r="204" spans="1:35" s="12" customFormat="1" hidden="1" outlineLevel="1" collapsed="1">
      <c r="A204" s="95">
        <v>45802</v>
      </c>
      <c r="B204" s="25" t="s">
        <v>17</v>
      </c>
      <c r="C204" s="98"/>
      <c r="D204" s="99">
        <f t="shared" si="110"/>
        <v>0</v>
      </c>
      <c r="E204" s="87">
        <f t="shared" si="111"/>
        <v>-1422</v>
      </c>
      <c r="G204" s="25"/>
      <c r="I204" s="53"/>
      <c r="J204" s="26"/>
      <c r="K204" s="29">
        <f t="shared" si="112"/>
        <v>-96</v>
      </c>
      <c r="M204" s="79"/>
      <c r="N204" s="66"/>
      <c r="O204" s="98"/>
      <c r="P204" s="28"/>
      <c r="Q204" s="230"/>
      <c r="R204" s="29">
        <f t="shared" si="113"/>
        <v>0</v>
      </c>
      <c r="S204" s="54">
        <f t="shared" si="114"/>
        <v>0</v>
      </c>
      <c r="U204" s="53"/>
      <c r="V204" s="29"/>
      <c r="W204" s="29">
        <f t="shared" si="115"/>
        <v>-1404</v>
      </c>
      <c r="Y204" s="79"/>
      <c r="Z204" s="63"/>
      <c r="AA204" s="27"/>
      <c r="AB204" s="28"/>
      <c r="AC204" s="43"/>
      <c r="AD204" s="29">
        <f t="shared" si="116"/>
        <v>-66</v>
      </c>
      <c r="AE204" s="29">
        <f t="shared" si="117"/>
        <v>-66</v>
      </c>
      <c r="AF204" s="29"/>
      <c r="AG204" s="54"/>
    </row>
    <row r="205" spans="1:35" hidden="1" outlineLevel="1">
      <c r="A205" s="96">
        <v>45803</v>
      </c>
      <c r="B205" s="17" t="s">
        <v>18</v>
      </c>
      <c r="C205" s="101">
        <v>63</v>
      </c>
      <c r="D205" s="100">
        <f t="shared" si="110"/>
        <v>0</v>
      </c>
      <c r="E205" s="22">
        <f t="shared" si="111"/>
        <v>-1485</v>
      </c>
      <c r="G205" s="17"/>
      <c r="I205" s="51">
        <f>IF(M206&lt;&gt;"",N206,IF(M207&lt;&gt;"",N207,IF(M208&lt;&gt;"",N208,IF(M457&lt;&gt;"",N457,IF(M458&lt;&gt;"",N458,IF(M459&lt;&gt;"",N459))))))</f>
        <v>3</v>
      </c>
      <c r="J205" s="18"/>
      <c r="K205" s="23">
        <f t="shared" si="112"/>
        <v>-99</v>
      </c>
      <c r="M205" s="78">
        <v>0</v>
      </c>
      <c r="N205" s="65">
        <f t="shared" ref="N205:N209" si="125">M205+O205</f>
        <v>0</v>
      </c>
      <c r="O205" s="101"/>
      <c r="P205" s="21"/>
      <c r="Q205" s="192">
        <v>0</v>
      </c>
      <c r="R205" s="23">
        <f t="shared" si="113"/>
        <v>0</v>
      </c>
      <c r="S205" s="52">
        <f t="shared" si="114"/>
        <v>0</v>
      </c>
      <c r="U205" s="51">
        <f t="shared" ref="U205:U209" si="126">C205-I205</f>
        <v>60</v>
      </c>
      <c r="V205" s="23"/>
      <c r="W205" s="23">
        <f t="shared" si="115"/>
        <v>-1464</v>
      </c>
      <c r="Y205" s="78">
        <v>39</v>
      </c>
      <c r="Z205" s="62">
        <f t="shared" si="119"/>
        <v>60</v>
      </c>
      <c r="AA205" s="20"/>
      <c r="AB205" s="21"/>
      <c r="AC205" s="57">
        <v>60</v>
      </c>
      <c r="AD205" s="23">
        <f t="shared" si="116"/>
        <v>-45</v>
      </c>
      <c r="AE205" s="23">
        <f t="shared" si="117"/>
        <v>-45</v>
      </c>
      <c r="AF205" s="23"/>
      <c r="AG205" s="52">
        <v>19</v>
      </c>
    </row>
    <row r="206" spans="1:35" hidden="1" outlineLevel="1">
      <c r="A206" s="96">
        <v>45804</v>
      </c>
      <c r="B206" s="17" t="s">
        <v>19</v>
      </c>
      <c r="C206" s="101">
        <v>66</v>
      </c>
      <c r="D206" s="100">
        <f t="shared" si="110"/>
        <v>0</v>
      </c>
      <c r="E206" s="22">
        <f t="shared" si="111"/>
        <v>-1551</v>
      </c>
      <c r="G206" s="17"/>
      <c r="I206" s="51">
        <f>IF(M207&lt;&gt;"",N207,IF(M208&lt;&gt;"",N208,IF(M209&lt;&gt;"",N209,IF(M458&lt;&gt;"",N458,IF(M459&lt;&gt;"",N459,IF(M460&lt;&gt;"",N460))))))</f>
        <v>3</v>
      </c>
      <c r="J206" s="18"/>
      <c r="K206" s="23">
        <f t="shared" si="112"/>
        <v>-102</v>
      </c>
      <c r="M206" s="78">
        <v>3</v>
      </c>
      <c r="N206" s="65">
        <f t="shared" si="125"/>
        <v>3</v>
      </c>
      <c r="O206" s="101"/>
      <c r="P206" s="21"/>
      <c r="Q206" s="192">
        <v>3</v>
      </c>
      <c r="R206" s="23">
        <f t="shared" si="113"/>
        <v>0</v>
      </c>
      <c r="S206" s="52">
        <f t="shared" si="114"/>
        <v>0</v>
      </c>
      <c r="U206" s="51">
        <f t="shared" si="126"/>
        <v>63</v>
      </c>
      <c r="V206" s="23"/>
      <c r="W206" s="23">
        <f t="shared" si="115"/>
        <v>-1527</v>
      </c>
      <c r="Y206" s="78">
        <v>0</v>
      </c>
      <c r="Z206" s="62">
        <f t="shared" si="119"/>
        <v>60</v>
      </c>
      <c r="AA206" s="20"/>
      <c r="AB206" s="21"/>
      <c r="AC206" s="57">
        <v>60</v>
      </c>
      <c r="AD206" s="23">
        <f t="shared" si="116"/>
        <v>15</v>
      </c>
      <c r="AE206" s="23">
        <f t="shared" si="117"/>
        <v>15</v>
      </c>
      <c r="AF206" s="23"/>
      <c r="AG206" s="52">
        <v>25</v>
      </c>
    </row>
    <row r="207" spans="1:35" hidden="1" outlineLevel="1">
      <c r="A207" s="96">
        <v>45805</v>
      </c>
      <c r="B207" s="17" t="s">
        <v>20</v>
      </c>
      <c r="C207" s="101">
        <v>66</v>
      </c>
      <c r="D207" s="100">
        <f t="shared" si="110"/>
        <v>0</v>
      </c>
      <c r="E207" s="22">
        <f t="shared" si="111"/>
        <v>-1617</v>
      </c>
      <c r="G207" s="17"/>
      <c r="I207" s="51">
        <f>IF(M208&lt;&gt;"",N208,IF(M209&lt;&gt;"",N209,IF(M210&lt;&gt;"",N210,IF(M459&lt;&gt;"",N459,IF(M460&lt;&gt;"",N460,IF(M461&lt;&gt;"",N461))))))</f>
        <v>3</v>
      </c>
      <c r="J207" s="18"/>
      <c r="K207" s="23">
        <f t="shared" si="112"/>
        <v>-105</v>
      </c>
      <c r="M207" s="78">
        <v>3</v>
      </c>
      <c r="N207" s="65">
        <f t="shared" si="125"/>
        <v>3</v>
      </c>
      <c r="O207" s="101"/>
      <c r="P207" s="21"/>
      <c r="Q207" s="192">
        <v>3</v>
      </c>
      <c r="R207" s="23">
        <f t="shared" si="113"/>
        <v>0</v>
      </c>
      <c r="S207" s="52">
        <f t="shared" si="114"/>
        <v>0</v>
      </c>
      <c r="U207" s="51">
        <f t="shared" si="126"/>
        <v>63</v>
      </c>
      <c r="V207" s="23"/>
      <c r="W207" s="23">
        <f t="shared" si="115"/>
        <v>-1590</v>
      </c>
      <c r="Y207" s="78">
        <v>72</v>
      </c>
      <c r="Z207" s="62">
        <f t="shared" si="119"/>
        <v>63</v>
      </c>
      <c r="AA207" s="20"/>
      <c r="AB207" s="21"/>
      <c r="AC207" s="57">
        <v>63</v>
      </c>
      <c r="AD207" s="23">
        <f t="shared" si="116"/>
        <v>6</v>
      </c>
      <c r="AE207" s="23">
        <f t="shared" si="117"/>
        <v>6</v>
      </c>
      <c r="AF207" s="23"/>
      <c r="AG207" s="52">
        <v>25</v>
      </c>
    </row>
    <row r="208" spans="1:35" hidden="1" outlineLevel="1">
      <c r="A208" s="96">
        <v>45806</v>
      </c>
      <c r="B208" s="17" t="s">
        <v>14</v>
      </c>
      <c r="C208" s="101">
        <v>0</v>
      </c>
      <c r="D208" s="100">
        <f t="shared" si="110"/>
        <v>0</v>
      </c>
      <c r="E208" s="22">
        <f t="shared" si="111"/>
        <v>-1617</v>
      </c>
      <c r="G208" s="17"/>
      <c r="I208" s="51">
        <f>IF(M209&lt;&gt;"",N209,IF(M210&lt;&gt;"",N210,IF(M211&lt;&gt;"",N211,IF(M460&lt;&gt;"",N460,IF(M461&lt;&gt;"",N461,IF(M462&lt;&gt;"",N462))))))</f>
        <v>0</v>
      </c>
      <c r="J208" s="18"/>
      <c r="K208" s="23">
        <f t="shared" si="112"/>
        <v>-105</v>
      </c>
      <c r="M208" s="78">
        <v>3</v>
      </c>
      <c r="N208" s="65">
        <f t="shared" si="125"/>
        <v>3</v>
      </c>
      <c r="O208" s="101"/>
      <c r="P208" s="21"/>
      <c r="Q208" s="192">
        <v>3</v>
      </c>
      <c r="R208" s="23">
        <f t="shared" si="113"/>
        <v>0</v>
      </c>
      <c r="S208" s="52">
        <f t="shared" si="114"/>
        <v>0</v>
      </c>
      <c r="U208" s="51">
        <f t="shared" si="126"/>
        <v>0</v>
      </c>
      <c r="V208" s="23"/>
      <c r="W208" s="23">
        <f t="shared" si="115"/>
        <v>-1590</v>
      </c>
      <c r="Y208" s="78">
        <v>0</v>
      </c>
      <c r="Z208" s="62">
        <f t="shared" si="119"/>
        <v>63</v>
      </c>
      <c r="AA208" s="20"/>
      <c r="AB208" s="21"/>
      <c r="AC208" s="57">
        <v>63</v>
      </c>
      <c r="AD208" s="23">
        <f t="shared" si="116"/>
        <v>69</v>
      </c>
      <c r="AE208" s="23">
        <f t="shared" si="117"/>
        <v>69</v>
      </c>
      <c r="AF208" s="23"/>
      <c r="AG208" s="52">
        <v>16</v>
      </c>
    </row>
    <row r="209" spans="1:35" hidden="1" outlineLevel="1">
      <c r="A209" s="96">
        <v>45807</v>
      </c>
      <c r="B209" s="17" t="s">
        <v>15</v>
      </c>
      <c r="C209" s="101">
        <v>63</v>
      </c>
      <c r="D209" s="100">
        <f t="shared" si="110"/>
        <v>0</v>
      </c>
      <c r="E209" s="22">
        <f t="shared" si="111"/>
        <v>-1680</v>
      </c>
      <c r="G209" s="17"/>
      <c r="I209" s="51">
        <f>IF(M210&lt;&gt;"",N210,IF(M211&lt;&gt;"",N211,IF(M212&lt;&gt;"",N212,IF(M461&lt;&gt;"",N461,IF(M462&lt;&gt;"",N462,IF(M463&lt;&gt;"",N463))))))</f>
        <v>3</v>
      </c>
      <c r="J209" s="18"/>
      <c r="K209" s="23">
        <f t="shared" si="112"/>
        <v>-108</v>
      </c>
      <c r="M209" s="297">
        <v>0</v>
      </c>
      <c r="N209" s="293">
        <f t="shared" si="125"/>
        <v>0</v>
      </c>
      <c r="O209" s="294"/>
      <c r="P209" s="290"/>
      <c r="Q209" s="295"/>
      <c r="R209" s="23">
        <f t="shared" si="113"/>
        <v>0</v>
      </c>
      <c r="S209" s="52">
        <f t="shared" si="114"/>
        <v>0</v>
      </c>
      <c r="U209" s="51">
        <f t="shared" si="126"/>
        <v>60</v>
      </c>
      <c r="V209" s="23"/>
      <c r="W209" s="23">
        <f t="shared" si="115"/>
        <v>-1650</v>
      </c>
      <c r="Y209" s="297">
        <v>0</v>
      </c>
      <c r="Z209" s="77">
        <f t="shared" si="119"/>
        <v>0</v>
      </c>
      <c r="AA209" s="289"/>
      <c r="AB209" s="290"/>
      <c r="AC209" s="291"/>
      <c r="AD209" s="23">
        <f t="shared" si="116"/>
        <v>69</v>
      </c>
      <c r="AE209" s="23">
        <f t="shared" si="117"/>
        <v>69</v>
      </c>
      <c r="AF209" s="23"/>
      <c r="AG209" s="52">
        <v>0</v>
      </c>
      <c r="AI209">
        <f>SUM(M205:M209,Y205:Y209)/COUNT(Y205:Y209)</f>
        <v>24</v>
      </c>
    </row>
    <row r="210" spans="1:35" s="12" customFormat="1" hidden="1" outlineLevel="1">
      <c r="A210" s="95">
        <v>45808</v>
      </c>
      <c r="B210" s="25" t="s">
        <v>16</v>
      </c>
      <c r="C210" s="98"/>
      <c r="D210" s="99">
        <f t="shared" si="110"/>
        <v>0</v>
      </c>
      <c r="E210" s="87">
        <f t="shared" si="111"/>
        <v>-1680</v>
      </c>
      <c r="G210" s="25"/>
      <c r="I210" s="53"/>
      <c r="J210" s="26"/>
      <c r="K210" s="29">
        <f t="shared" si="112"/>
        <v>-108</v>
      </c>
      <c r="M210" s="79"/>
      <c r="N210" s="66"/>
      <c r="O210" s="98"/>
      <c r="P210" s="28"/>
      <c r="Q210" s="230"/>
      <c r="R210" s="29">
        <f t="shared" si="113"/>
        <v>0</v>
      </c>
      <c r="S210" s="54">
        <f t="shared" si="114"/>
        <v>0</v>
      </c>
      <c r="U210" s="53"/>
      <c r="V210" s="29"/>
      <c r="W210" s="29">
        <f t="shared" si="115"/>
        <v>-1650</v>
      </c>
      <c r="Y210" s="79"/>
      <c r="Z210" s="63"/>
      <c r="AA210" s="27"/>
      <c r="AB210" s="28"/>
      <c r="AC210" s="43"/>
      <c r="AD210" s="29">
        <f t="shared" si="116"/>
        <v>69</v>
      </c>
      <c r="AE210" s="29">
        <f t="shared" si="117"/>
        <v>69</v>
      </c>
      <c r="AF210" s="29"/>
      <c r="AG210" s="54"/>
    </row>
    <row r="211" spans="1:35" s="12" customFormat="1" hidden="1" outlineLevel="1" collapsed="1">
      <c r="A211" s="95">
        <v>45809</v>
      </c>
      <c r="B211" s="25" t="s">
        <v>17</v>
      </c>
      <c r="C211" s="98"/>
      <c r="D211" s="99">
        <f t="shared" si="110"/>
        <v>0</v>
      </c>
      <c r="E211" s="87">
        <f t="shared" si="111"/>
        <v>-1680</v>
      </c>
      <c r="G211" s="25"/>
      <c r="I211" s="53"/>
      <c r="J211" s="26"/>
      <c r="K211" s="29">
        <f t="shared" si="112"/>
        <v>-108</v>
      </c>
      <c r="M211" s="79"/>
      <c r="N211" s="66"/>
      <c r="O211" s="98"/>
      <c r="P211" s="28"/>
      <c r="Q211" s="230"/>
      <c r="R211" s="29">
        <f t="shared" si="113"/>
        <v>0</v>
      </c>
      <c r="S211" s="54">
        <f t="shared" si="114"/>
        <v>0</v>
      </c>
      <c r="U211" s="53"/>
      <c r="V211" s="29"/>
      <c r="W211" s="29">
        <f t="shared" si="115"/>
        <v>-1650</v>
      </c>
      <c r="Y211" s="79"/>
      <c r="Z211" s="63"/>
      <c r="AA211" s="27"/>
      <c r="AB211" s="28"/>
      <c r="AC211" s="43"/>
      <c r="AD211" s="29">
        <f t="shared" si="116"/>
        <v>69</v>
      </c>
      <c r="AE211" s="29">
        <f t="shared" si="117"/>
        <v>69</v>
      </c>
      <c r="AF211" s="29"/>
      <c r="AG211" s="54"/>
    </row>
    <row r="212" spans="1:35" hidden="1" outlineLevel="1">
      <c r="A212" s="96">
        <v>45810</v>
      </c>
      <c r="B212" s="17" t="s">
        <v>18</v>
      </c>
      <c r="C212" s="18">
        <v>69</v>
      </c>
      <c r="D212" s="100">
        <f t="shared" si="110"/>
        <v>0</v>
      </c>
      <c r="E212" s="22">
        <f t="shared" si="111"/>
        <v>-1749</v>
      </c>
      <c r="G212" s="17"/>
      <c r="I212" s="51">
        <f>IF(M213&lt;&gt;"",N213,IF(M214&lt;&gt;"",N214,IF(M215&lt;&gt;"",N215,IF(M464&lt;&gt;"",N464,IF(M465&lt;&gt;"",N465,IF(M466&lt;&gt;"",N466))))))</f>
        <v>3</v>
      </c>
      <c r="J212" s="18"/>
      <c r="K212" s="23">
        <f t="shared" si="112"/>
        <v>-111</v>
      </c>
      <c r="M212" s="78">
        <v>3</v>
      </c>
      <c r="N212" s="65">
        <f t="shared" ref="N212:N216" si="127">M212+O212</f>
        <v>3</v>
      </c>
      <c r="O212" s="101"/>
      <c r="P212" s="21"/>
      <c r="Q212" s="192">
        <v>3</v>
      </c>
      <c r="R212" s="23">
        <f t="shared" si="113"/>
        <v>0</v>
      </c>
      <c r="S212" s="52">
        <f t="shared" si="114"/>
        <v>0</v>
      </c>
      <c r="U212" s="51">
        <f t="shared" ref="U212:U216" si="128">C212-I212</f>
        <v>66</v>
      </c>
      <c r="V212" s="23"/>
      <c r="W212" s="23">
        <f t="shared" si="115"/>
        <v>-1716</v>
      </c>
      <c r="Y212" s="78">
        <v>135</v>
      </c>
      <c r="Z212" s="62">
        <f t="shared" si="119"/>
        <v>60</v>
      </c>
      <c r="AA212" s="20"/>
      <c r="AB212" s="21"/>
      <c r="AC212" s="57">
        <v>60</v>
      </c>
      <c r="AD212" s="23">
        <f t="shared" si="116"/>
        <v>-6</v>
      </c>
      <c r="AE212" s="23">
        <f t="shared" si="117"/>
        <v>-6</v>
      </c>
      <c r="AF212" s="23"/>
      <c r="AG212" s="52">
        <v>17</v>
      </c>
    </row>
    <row r="213" spans="1:35" hidden="1" outlineLevel="1">
      <c r="A213" s="96">
        <v>45811</v>
      </c>
      <c r="B213" s="17" t="s">
        <v>19</v>
      </c>
      <c r="C213" s="18">
        <v>69</v>
      </c>
      <c r="D213" s="100">
        <f t="shared" si="110"/>
        <v>0</v>
      </c>
      <c r="E213" s="22">
        <f t="shared" si="111"/>
        <v>-1818</v>
      </c>
      <c r="G213" s="17"/>
      <c r="I213" s="51">
        <f>IF(M214&lt;&gt;"",N214,IF(M215&lt;&gt;"",N215,IF(M216&lt;&gt;"",N216,IF(M465&lt;&gt;"",N465,IF(M466&lt;&gt;"",N466,IF(M467&lt;&gt;"",N467))))))</f>
        <v>6</v>
      </c>
      <c r="J213" s="18"/>
      <c r="K213" s="23">
        <f t="shared" si="112"/>
        <v>-117</v>
      </c>
      <c r="M213" s="78">
        <v>3</v>
      </c>
      <c r="N213" s="65">
        <f t="shared" si="127"/>
        <v>3</v>
      </c>
      <c r="O213" s="101"/>
      <c r="P213" s="21"/>
      <c r="Q213" s="192">
        <v>3</v>
      </c>
      <c r="R213" s="23">
        <f t="shared" si="113"/>
        <v>0</v>
      </c>
      <c r="S213" s="52">
        <f t="shared" si="114"/>
        <v>0</v>
      </c>
      <c r="U213" s="51">
        <f t="shared" si="128"/>
        <v>63</v>
      </c>
      <c r="V213" s="23"/>
      <c r="W213" s="23">
        <f t="shared" si="115"/>
        <v>-1779</v>
      </c>
      <c r="Y213" s="78">
        <v>36</v>
      </c>
      <c r="Z213" s="62">
        <f t="shared" si="119"/>
        <v>66</v>
      </c>
      <c r="AA213" s="20"/>
      <c r="AB213" s="21"/>
      <c r="AC213" s="57">
        <v>66</v>
      </c>
      <c r="AD213" s="23">
        <f t="shared" si="116"/>
        <v>24</v>
      </c>
      <c r="AE213" s="23">
        <f t="shared" si="117"/>
        <v>24</v>
      </c>
      <c r="AF213" s="23"/>
      <c r="AG213" s="52">
        <v>20</v>
      </c>
    </row>
    <row r="214" spans="1:35" hidden="1" outlineLevel="1">
      <c r="A214" s="96">
        <v>45812</v>
      </c>
      <c r="B214" s="17" t="s">
        <v>20</v>
      </c>
      <c r="C214" s="18">
        <v>69</v>
      </c>
      <c r="D214" s="100">
        <f t="shared" ref="D214:D245" si="129">J214+V214</f>
        <v>0</v>
      </c>
      <c r="E214" s="22">
        <f t="shared" ref="E214:E245" si="130">E213-C214+D214</f>
        <v>-1887</v>
      </c>
      <c r="G214" s="17"/>
      <c r="I214" s="51">
        <f>IF(M215&lt;&gt;"",N215,IF(M216&lt;&gt;"",N216,IF(M217&lt;&gt;"",N217,IF(M466&lt;&gt;"",N466,IF(M467&lt;&gt;"",N467,IF(M468&lt;&gt;"",N468))))))</f>
        <v>3</v>
      </c>
      <c r="J214" s="18"/>
      <c r="K214" s="23">
        <f t="shared" ref="K214:K245" si="131">J214-I214+K213</f>
        <v>-120</v>
      </c>
      <c r="M214" s="78">
        <v>6</v>
      </c>
      <c r="N214" s="65">
        <f t="shared" si="127"/>
        <v>6</v>
      </c>
      <c r="O214" s="101"/>
      <c r="P214" s="21"/>
      <c r="Q214" s="192">
        <v>6</v>
      </c>
      <c r="R214" s="23">
        <f t="shared" ref="R214:R245" si="132">R213-M214+Q214</f>
        <v>0</v>
      </c>
      <c r="S214" s="52">
        <f t="shared" ref="S214:S245" si="133">S213-M214+N214</f>
        <v>0</v>
      </c>
      <c r="U214" s="51">
        <f t="shared" si="128"/>
        <v>66</v>
      </c>
      <c r="V214" s="23"/>
      <c r="W214" s="23">
        <f t="shared" ref="W214:W245" si="134">V214-U214+W213</f>
        <v>-1845</v>
      </c>
      <c r="Y214" s="78">
        <v>63</v>
      </c>
      <c r="Z214" s="62">
        <f t="shared" ref="Z214:Z244" si="135">IF(U213&lt;&gt;"",U213+AA214,IF(U212&lt;&gt;"",U212+AA214,IF(U211&lt;&gt;"",U211+AA214,IF(U210&lt;&gt;"",U210+AA214,IF(U209&lt;&gt;"",U209+AA214,IF(U208&lt;&gt;"",U208+AA214,IF(U207&lt;&gt;"",U207+AA214)))))))</f>
        <v>63</v>
      </c>
      <c r="AA214" s="20"/>
      <c r="AB214" s="21"/>
      <c r="AC214" s="57">
        <v>63</v>
      </c>
      <c r="AD214" s="23">
        <f t="shared" ref="AD214:AD245" si="136">AD213-Y214+AC214</f>
        <v>24</v>
      </c>
      <c r="AE214" s="23">
        <f t="shared" ref="AE214:AE245" si="137">AE213-Y214+Z214</f>
        <v>24</v>
      </c>
      <c r="AF214" s="23"/>
      <c r="AG214" s="52">
        <v>20</v>
      </c>
    </row>
    <row r="215" spans="1:35" hidden="1" outlineLevel="1">
      <c r="A215" s="96">
        <v>45813</v>
      </c>
      <c r="B215" s="17" t="s">
        <v>14</v>
      </c>
      <c r="C215" s="18">
        <v>69</v>
      </c>
      <c r="D215" s="100">
        <f t="shared" si="129"/>
        <v>0</v>
      </c>
      <c r="E215" s="22">
        <f t="shared" si="130"/>
        <v>-1956</v>
      </c>
      <c r="G215" s="17"/>
      <c r="I215" s="51">
        <f>IF(M216&lt;&gt;"",N216,IF(M217&lt;&gt;"",N217,IF(M218&lt;&gt;"",N218,IF(M467&lt;&gt;"",N467,IF(M468&lt;&gt;"",N468,IF(M469&lt;&gt;"",N469))))))</f>
        <v>3</v>
      </c>
      <c r="J215" s="18"/>
      <c r="K215" s="23">
        <f t="shared" si="131"/>
        <v>-123</v>
      </c>
      <c r="M215" s="78">
        <v>3</v>
      </c>
      <c r="N215" s="65">
        <f t="shared" si="127"/>
        <v>3</v>
      </c>
      <c r="O215" s="101"/>
      <c r="P215" s="21"/>
      <c r="Q215" s="192">
        <v>3</v>
      </c>
      <c r="R215" s="23">
        <f t="shared" si="132"/>
        <v>0</v>
      </c>
      <c r="S215" s="52">
        <f t="shared" si="133"/>
        <v>0</v>
      </c>
      <c r="U215" s="51">
        <f t="shared" si="128"/>
        <v>66</v>
      </c>
      <c r="V215" s="23"/>
      <c r="W215" s="23">
        <f t="shared" si="134"/>
        <v>-1911</v>
      </c>
      <c r="Y215" s="78">
        <v>87</v>
      </c>
      <c r="Z215" s="62">
        <f t="shared" si="135"/>
        <v>66</v>
      </c>
      <c r="AA215" s="20"/>
      <c r="AB215" s="21"/>
      <c r="AC215" s="57">
        <v>66</v>
      </c>
      <c r="AD215" s="23">
        <f t="shared" si="136"/>
        <v>3</v>
      </c>
      <c r="AE215" s="23">
        <f t="shared" si="137"/>
        <v>3</v>
      </c>
      <c r="AF215" s="23"/>
      <c r="AG215" s="52">
        <v>20</v>
      </c>
    </row>
    <row r="216" spans="1:35" hidden="1" outlineLevel="1">
      <c r="A216" s="96">
        <v>45814</v>
      </c>
      <c r="B216" s="17" t="s">
        <v>15</v>
      </c>
      <c r="C216" s="18">
        <v>69</v>
      </c>
      <c r="D216" s="100">
        <f t="shared" si="129"/>
        <v>0</v>
      </c>
      <c r="E216" s="22">
        <f t="shared" si="130"/>
        <v>-2025</v>
      </c>
      <c r="G216" s="17"/>
      <c r="I216" s="51">
        <f>IF(M217&lt;&gt;"",N217,IF(M218&lt;&gt;"",N218,IF(M219&lt;&gt;"",N219,IF(M468&lt;&gt;"",N468,IF(M469&lt;&gt;"",N469,IF(M470&lt;&gt;"",N470))))))</f>
        <v>3</v>
      </c>
      <c r="J216" s="18"/>
      <c r="K216" s="23">
        <f t="shared" si="131"/>
        <v>-126</v>
      </c>
      <c r="M216" s="78">
        <v>3</v>
      </c>
      <c r="N216" s="65">
        <f t="shared" si="127"/>
        <v>3</v>
      </c>
      <c r="O216" s="101"/>
      <c r="P216" s="21"/>
      <c r="Q216" s="192">
        <v>3</v>
      </c>
      <c r="R216" s="23">
        <f t="shared" si="132"/>
        <v>0</v>
      </c>
      <c r="S216" s="52">
        <f t="shared" si="133"/>
        <v>0</v>
      </c>
      <c r="U216" s="51">
        <f t="shared" si="128"/>
        <v>66</v>
      </c>
      <c r="V216" s="23"/>
      <c r="W216" s="23">
        <f t="shared" si="134"/>
        <v>-1977</v>
      </c>
      <c r="Y216" s="78">
        <v>30</v>
      </c>
      <c r="Z216" s="62">
        <f t="shared" si="135"/>
        <v>66</v>
      </c>
      <c r="AA216" s="20"/>
      <c r="AB216" s="21"/>
      <c r="AC216" s="57">
        <v>66</v>
      </c>
      <c r="AD216" s="23">
        <f t="shared" si="136"/>
        <v>39</v>
      </c>
      <c r="AE216" s="23">
        <f t="shared" si="137"/>
        <v>39</v>
      </c>
      <c r="AF216" s="23"/>
      <c r="AG216" s="52">
        <v>15</v>
      </c>
      <c r="AI216">
        <f>SUM(M212:M216,Y212:Y216)/COUNT(Y212:Y216)</f>
        <v>73.8</v>
      </c>
    </row>
    <row r="217" spans="1:35" s="12" customFormat="1" hidden="1" outlineLevel="1">
      <c r="A217" s="95">
        <v>45815</v>
      </c>
      <c r="B217" s="25" t="s">
        <v>16</v>
      </c>
      <c r="C217" s="98"/>
      <c r="D217" s="99">
        <f t="shared" si="129"/>
        <v>0</v>
      </c>
      <c r="E217" s="87">
        <f t="shared" si="130"/>
        <v>-2025</v>
      </c>
      <c r="G217" s="25"/>
      <c r="I217" s="53"/>
      <c r="J217" s="26"/>
      <c r="K217" s="29">
        <f t="shared" si="131"/>
        <v>-126</v>
      </c>
      <c r="M217" s="79"/>
      <c r="N217" s="66"/>
      <c r="O217" s="98"/>
      <c r="P217" s="28"/>
      <c r="Q217" s="230"/>
      <c r="R217" s="29">
        <f t="shared" si="132"/>
        <v>0</v>
      </c>
      <c r="S217" s="54">
        <f t="shared" si="133"/>
        <v>0</v>
      </c>
      <c r="U217" s="53"/>
      <c r="V217" s="29"/>
      <c r="W217" s="29">
        <f t="shared" si="134"/>
        <v>-1977</v>
      </c>
      <c r="Y217" s="79"/>
      <c r="Z217" s="63"/>
      <c r="AA217" s="27"/>
      <c r="AB217" s="28"/>
      <c r="AC217" s="43"/>
      <c r="AD217" s="29">
        <f t="shared" si="136"/>
        <v>39</v>
      </c>
      <c r="AE217" s="29">
        <f t="shared" si="137"/>
        <v>39</v>
      </c>
      <c r="AF217" s="29"/>
      <c r="AG217" s="54"/>
    </row>
    <row r="218" spans="1:35" s="12" customFormat="1" hidden="1" outlineLevel="1" collapsed="1">
      <c r="A218" s="95">
        <v>45816</v>
      </c>
      <c r="B218" s="25" t="s">
        <v>17</v>
      </c>
      <c r="C218" s="98"/>
      <c r="D218" s="99">
        <f t="shared" si="129"/>
        <v>0</v>
      </c>
      <c r="E218" s="87">
        <f t="shared" si="130"/>
        <v>-2025</v>
      </c>
      <c r="G218" s="25"/>
      <c r="I218" s="53"/>
      <c r="J218" s="26"/>
      <c r="K218" s="29">
        <f t="shared" si="131"/>
        <v>-126</v>
      </c>
      <c r="M218" s="79"/>
      <c r="N218" s="66"/>
      <c r="O218" s="98"/>
      <c r="P218" s="28"/>
      <c r="Q218" s="230"/>
      <c r="R218" s="29">
        <f t="shared" si="132"/>
        <v>0</v>
      </c>
      <c r="S218" s="54">
        <f t="shared" si="133"/>
        <v>0</v>
      </c>
      <c r="U218" s="53"/>
      <c r="V218" s="29"/>
      <c r="W218" s="29">
        <f t="shared" si="134"/>
        <v>-1977</v>
      </c>
      <c r="Y218" s="79"/>
      <c r="Z218" s="63"/>
      <c r="AA218" s="27"/>
      <c r="AB218" s="28"/>
      <c r="AC218" s="43"/>
      <c r="AD218" s="29">
        <f t="shared" si="136"/>
        <v>39</v>
      </c>
      <c r="AE218" s="29">
        <f t="shared" si="137"/>
        <v>39</v>
      </c>
      <c r="AF218" s="29"/>
      <c r="AG218" s="54"/>
    </row>
    <row r="219" spans="1:35" hidden="1" outlineLevel="1">
      <c r="A219" s="96">
        <v>45817</v>
      </c>
      <c r="B219" s="17" t="s">
        <v>18</v>
      </c>
      <c r="C219" s="18">
        <v>66</v>
      </c>
      <c r="D219" s="100">
        <f t="shared" si="129"/>
        <v>0</v>
      </c>
      <c r="E219" s="22">
        <f t="shared" si="130"/>
        <v>-2091</v>
      </c>
      <c r="G219" s="17"/>
      <c r="I219" s="51">
        <f>IF(M220&lt;&gt;"",N220,IF(M221&lt;&gt;"",N221,IF(M222&lt;&gt;"",N222,IF(M471&lt;&gt;"",N471,IF(M472&lt;&gt;"",N472,IF(M473&lt;&gt;"",N473))))))</f>
        <v>3</v>
      </c>
      <c r="J219" s="18"/>
      <c r="K219" s="23">
        <f t="shared" si="131"/>
        <v>-129</v>
      </c>
      <c r="M219" s="78">
        <v>3</v>
      </c>
      <c r="N219" s="65">
        <f t="shared" ref="N219:N223" si="138">M219+O219</f>
        <v>3</v>
      </c>
      <c r="O219" s="101"/>
      <c r="P219" s="21"/>
      <c r="Q219" s="192">
        <v>3</v>
      </c>
      <c r="R219" s="23">
        <f t="shared" si="132"/>
        <v>0</v>
      </c>
      <c r="S219" s="52">
        <f t="shared" si="133"/>
        <v>0</v>
      </c>
      <c r="U219" s="51">
        <f t="shared" ref="U219:U223" si="139">C219-I219</f>
        <v>63</v>
      </c>
      <c r="V219" s="23"/>
      <c r="W219" s="23">
        <f t="shared" si="134"/>
        <v>-2040</v>
      </c>
      <c r="Y219" s="78">
        <v>111</v>
      </c>
      <c r="Z219" s="62">
        <f t="shared" si="135"/>
        <v>66</v>
      </c>
      <c r="AA219" s="20"/>
      <c r="AB219" s="21"/>
      <c r="AC219" s="57">
        <v>66</v>
      </c>
      <c r="AD219" s="23">
        <f t="shared" si="136"/>
        <v>-6</v>
      </c>
      <c r="AE219" s="23">
        <f t="shared" si="137"/>
        <v>-6</v>
      </c>
      <c r="AF219" s="23"/>
      <c r="AG219" s="52">
        <v>0</v>
      </c>
    </row>
    <row r="220" spans="1:35" hidden="1" outlineLevel="1">
      <c r="A220" s="96">
        <v>45818</v>
      </c>
      <c r="B220" s="17" t="s">
        <v>19</v>
      </c>
      <c r="C220" s="18">
        <v>69</v>
      </c>
      <c r="D220" s="100">
        <f t="shared" si="129"/>
        <v>0</v>
      </c>
      <c r="E220" s="22">
        <f t="shared" si="130"/>
        <v>-2160</v>
      </c>
      <c r="G220" s="17"/>
      <c r="I220" s="51">
        <f>IF(M221&lt;&gt;"",N221,IF(M222&lt;&gt;"",N222,IF(M223&lt;&gt;"",N223,IF(M472&lt;&gt;"",N472,IF(M473&lt;&gt;"",N473,IF(M474&lt;&gt;"",N474))))))</f>
        <v>3</v>
      </c>
      <c r="J220" s="18"/>
      <c r="K220" s="23">
        <f t="shared" si="131"/>
        <v>-132</v>
      </c>
      <c r="M220" s="78">
        <v>3</v>
      </c>
      <c r="N220" s="65">
        <f t="shared" si="138"/>
        <v>3</v>
      </c>
      <c r="O220" s="101"/>
      <c r="P220" s="21"/>
      <c r="Q220" s="192">
        <v>3</v>
      </c>
      <c r="R220" s="23">
        <f t="shared" si="132"/>
        <v>0</v>
      </c>
      <c r="S220" s="52">
        <f t="shared" si="133"/>
        <v>0</v>
      </c>
      <c r="U220" s="51">
        <f t="shared" si="139"/>
        <v>66</v>
      </c>
      <c r="V220" s="23"/>
      <c r="W220" s="23">
        <f t="shared" si="134"/>
        <v>-2106</v>
      </c>
      <c r="Y220" s="78">
        <v>57</v>
      </c>
      <c r="Z220" s="62">
        <f t="shared" si="135"/>
        <v>63</v>
      </c>
      <c r="AA220" s="20"/>
      <c r="AB220" s="21"/>
      <c r="AC220" s="57">
        <v>63</v>
      </c>
      <c r="AD220" s="23">
        <f t="shared" si="136"/>
        <v>0</v>
      </c>
      <c r="AE220" s="23">
        <f t="shared" si="137"/>
        <v>0</v>
      </c>
      <c r="AF220" s="23"/>
      <c r="AG220" s="52">
        <v>25</v>
      </c>
    </row>
    <row r="221" spans="1:35" hidden="1" outlineLevel="1">
      <c r="A221" s="96">
        <v>45819</v>
      </c>
      <c r="B221" s="17" t="s">
        <v>20</v>
      </c>
      <c r="C221" s="18">
        <v>69</v>
      </c>
      <c r="D221" s="100">
        <f t="shared" si="129"/>
        <v>0</v>
      </c>
      <c r="E221" s="22">
        <f t="shared" si="130"/>
        <v>-2229</v>
      </c>
      <c r="G221" s="17"/>
      <c r="I221" s="51">
        <f>IF(M222&lt;&gt;"",N222,IF(M223&lt;&gt;"",N223,IF(M224&lt;&gt;"",N224,IF(M473&lt;&gt;"",N473,IF(M474&lt;&gt;"",N474,IF(M475&lt;&gt;"",N475))))))</f>
        <v>3</v>
      </c>
      <c r="J221" s="18"/>
      <c r="K221" s="23">
        <f t="shared" si="131"/>
        <v>-135</v>
      </c>
      <c r="M221" s="78">
        <v>3</v>
      </c>
      <c r="N221" s="65">
        <f t="shared" si="138"/>
        <v>3</v>
      </c>
      <c r="O221" s="101"/>
      <c r="P221" s="21"/>
      <c r="Q221" s="192">
        <v>3</v>
      </c>
      <c r="R221" s="23">
        <f t="shared" si="132"/>
        <v>0</v>
      </c>
      <c r="S221" s="52">
        <f t="shared" si="133"/>
        <v>0</v>
      </c>
      <c r="U221" s="51">
        <f t="shared" si="139"/>
        <v>66</v>
      </c>
      <c r="V221" s="23"/>
      <c r="W221" s="23">
        <f t="shared" si="134"/>
        <v>-2172</v>
      </c>
      <c r="Y221" s="78">
        <v>57</v>
      </c>
      <c r="Z221" s="62">
        <f t="shared" si="135"/>
        <v>66</v>
      </c>
      <c r="AA221" s="20"/>
      <c r="AB221" s="21"/>
      <c r="AC221" s="57">
        <v>66</v>
      </c>
      <c r="AD221" s="23">
        <f t="shared" si="136"/>
        <v>9</v>
      </c>
      <c r="AE221" s="23">
        <f t="shared" si="137"/>
        <v>9</v>
      </c>
      <c r="AF221" s="23"/>
      <c r="AG221" s="52">
        <v>20</v>
      </c>
    </row>
    <row r="222" spans="1:35" hidden="1" outlineLevel="1">
      <c r="A222" s="96">
        <v>45820</v>
      </c>
      <c r="B222" s="17" t="s">
        <v>14</v>
      </c>
      <c r="C222" s="18">
        <v>69</v>
      </c>
      <c r="D222" s="100">
        <f t="shared" si="129"/>
        <v>0</v>
      </c>
      <c r="E222" s="22">
        <f t="shared" si="130"/>
        <v>-2298</v>
      </c>
      <c r="G222" s="17"/>
      <c r="I222" s="51">
        <f>IF(M223&lt;&gt;"",N223,IF(M224&lt;&gt;"",N224,IF(M225&lt;&gt;"",N225,IF(M474&lt;&gt;"",N474,IF(M475&lt;&gt;"",N475,IF(M476&lt;&gt;"",N476))))))</f>
        <v>3</v>
      </c>
      <c r="J222" s="18"/>
      <c r="K222" s="23">
        <f t="shared" si="131"/>
        <v>-138</v>
      </c>
      <c r="M222" s="78">
        <v>3</v>
      </c>
      <c r="N222" s="65">
        <f t="shared" si="138"/>
        <v>3</v>
      </c>
      <c r="O222" s="101"/>
      <c r="P222" s="21"/>
      <c r="Q222" s="192">
        <v>3</v>
      </c>
      <c r="R222" s="23">
        <f t="shared" si="132"/>
        <v>0</v>
      </c>
      <c r="S222" s="52">
        <f t="shared" si="133"/>
        <v>0</v>
      </c>
      <c r="U222" s="51">
        <f t="shared" si="139"/>
        <v>66</v>
      </c>
      <c r="V222" s="23"/>
      <c r="W222" s="23">
        <f t="shared" si="134"/>
        <v>-2238</v>
      </c>
      <c r="Y222" s="78">
        <v>75</v>
      </c>
      <c r="Z222" s="62">
        <f t="shared" si="135"/>
        <v>66</v>
      </c>
      <c r="AA222" s="20"/>
      <c r="AB222" s="21"/>
      <c r="AC222" s="57">
        <v>66</v>
      </c>
      <c r="AD222" s="23">
        <f t="shared" si="136"/>
        <v>0</v>
      </c>
      <c r="AE222" s="23">
        <f t="shared" si="137"/>
        <v>0</v>
      </c>
      <c r="AF222" s="23"/>
      <c r="AG222" s="52">
        <v>20</v>
      </c>
    </row>
    <row r="223" spans="1:35" hidden="1" outlineLevel="1">
      <c r="A223" s="96">
        <v>45821</v>
      </c>
      <c r="B223" s="17" t="s">
        <v>15</v>
      </c>
      <c r="C223" s="18">
        <v>69</v>
      </c>
      <c r="D223" s="100">
        <f t="shared" si="129"/>
        <v>0</v>
      </c>
      <c r="E223" s="22">
        <f t="shared" si="130"/>
        <v>-2367</v>
      </c>
      <c r="G223" s="17"/>
      <c r="I223" s="51">
        <f>IF(M224&lt;&gt;"",N224,IF(M225&lt;&gt;"",N225,IF(M226&lt;&gt;"",N226,IF(M475&lt;&gt;"",N475,IF(M476&lt;&gt;"",N476,IF(M477&lt;&gt;"",N477))))))</f>
        <v>3</v>
      </c>
      <c r="J223" s="18"/>
      <c r="K223" s="23">
        <f t="shared" si="131"/>
        <v>-141</v>
      </c>
      <c r="M223" s="78">
        <v>3</v>
      </c>
      <c r="N223" s="65">
        <f t="shared" si="138"/>
        <v>3</v>
      </c>
      <c r="O223" s="101"/>
      <c r="P223" s="21"/>
      <c r="Q223" s="192">
        <v>3</v>
      </c>
      <c r="R223" s="23">
        <f t="shared" si="132"/>
        <v>0</v>
      </c>
      <c r="S223" s="52">
        <f t="shared" si="133"/>
        <v>0</v>
      </c>
      <c r="U223" s="51">
        <f t="shared" si="139"/>
        <v>66</v>
      </c>
      <c r="V223" s="23"/>
      <c r="W223" s="23">
        <f t="shared" si="134"/>
        <v>-2304</v>
      </c>
      <c r="Y223" s="78">
        <v>60</v>
      </c>
      <c r="Z223" s="62">
        <f t="shared" si="135"/>
        <v>66</v>
      </c>
      <c r="AA223" s="20"/>
      <c r="AB223" s="21"/>
      <c r="AC223" s="57">
        <v>66</v>
      </c>
      <c r="AD223" s="23">
        <f t="shared" si="136"/>
        <v>6</v>
      </c>
      <c r="AE223" s="23">
        <f t="shared" si="137"/>
        <v>6</v>
      </c>
      <c r="AF223" s="23"/>
      <c r="AG223" s="52">
        <f>13+25</f>
        <v>38</v>
      </c>
      <c r="AI223">
        <f>SUM(M219:M223,Y219:Y223)/COUNT(Y219:Y223)</f>
        <v>75</v>
      </c>
    </row>
    <row r="224" spans="1:35" s="12" customFormat="1" hidden="1" outlineLevel="1">
      <c r="A224" s="95">
        <v>45822</v>
      </c>
      <c r="B224" s="25" t="s">
        <v>16</v>
      </c>
      <c r="C224" s="98"/>
      <c r="D224" s="99">
        <f t="shared" si="129"/>
        <v>0</v>
      </c>
      <c r="E224" s="87">
        <f t="shared" si="130"/>
        <v>-2367</v>
      </c>
      <c r="G224" s="25"/>
      <c r="I224" s="53"/>
      <c r="J224" s="26"/>
      <c r="K224" s="29">
        <f t="shared" si="131"/>
        <v>-141</v>
      </c>
      <c r="M224" s="79"/>
      <c r="N224" s="66"/>
      <c r="O224" s="98"/>
      <c r="P224" s="28"/>
      <c r="Q224" s="230"/>
      <c r="R224" s="29">
        <f t="shared" si="132"/>
        <v>0</v>
      </c>
      <c r="S224" s="54">
        <f t="shared" si="133"/>
        <v>0</v>
      </c>
      <c r="U224" s="53"/>
      <c r="V224" s="29"/>
      <c r="W224" s="29">
        <f t="shared" si="134"/>
        <v>-2304</v>
      </c>
      <c r="Y224" s="79"/>
      <c r="Z224" s="63"/>
      <c r="AA224" s="27"/>
      <c r="AB224" s="28"/>
      <c r="AC224" s="43"/>
      <c r="AD224" s="29">
        <f t="shared" si="136"/>
        <v>6</v>
      </c>
      <c r="AE224" s="29">
        <f t="shared" si="137"/>
        <v>6</v>
      </c>
      <c r="AF224" s="29"/>
      <c r="AG224" s="54"/>
    </row>
    <row r="225" spans="1:35" s="12" customFormat="1" hidden="1" outlineLevel="1" collapsed="1">
      <c r="A225" s="95">
        <v>45823</v>
      </c>
      <c r="B225" s="25" t="s">
        <v>17</v>
      </c>
      <c r="C225" s="98"/>
      <c r="D225" s="99">
        <f t="shared" si="129"/>
        <v>0</v>
      </c>
      <c r="E225" s="87">
        <f t="shared" si="130"/>
        <v>-2367</v>
      </c>
      <c r="G225" s="25"/>
      <c r="I225" s="53"/>
      <c r="J225" s="26"/>
      <c r="K225" s="29">
        <f t="shared" si="131"/>
        <v>-141</v>
      </c>
      <c r="M225" s="79"/>
      <c r="N225" s="66"/>
      <c r="O225" s="98"/>
      <c r="P225" s="28"/>
      <c r="Q225" s="230"/>
      <c r="R225" s="29">
        <f t="shared" si="132"/>
        <v>0</v>
      </c>
      <c r="S225" s="54">
        <f t="shared" si="133"/>
        <v>0</v>
      </c>
      <c r="U225" s="53"/>
      <c r="V225" s="29"/>
      <c r="W225" s="29">
        <f t="shared" si="134"/>
        <v>-2304</v>
      </c>
      <c r="Y225" s="79"/>
      <c r="Z225" s="63"/>
      <c r="AA225" s="27"/>
      <c r="AB225" s="28"/>
      <c r="AC225" s="43"/>
      <c r="AD225" s="29">
        <f t="shared" si="136"/>
        <v>6</v>
      </c>
      <c r="AE225" s="29">
        <f t="shared" si="137"/>
        <v>6</v>
      </c>
      <c r="AF225" s="29"/>
      <c r="AG225" s="54"/>
    </row>
    <row r="226" spans="1:35" hidden="1" outlineLevel="1">
      <c r="A226" s="96">
        <v>45824</v>
      </c>
      <c r="B226" s="17" t="s">
        <v>18</v>
      </c>
      <c r="C226" s="18">
        <f>63</f>
        <v>63</v>
      </c>
      <c r="D226" s="100">
        <f t="shared" si="129"/>
        <v>0</v>
      </c>
      <c r="E226" s="22">
        <f t="shared" si="130"/>
        <v>-2430</v>
      </c>
      <c r="G226" s="17"/>
      <c r="I226" s="51">
        <f>IF(M227&lt;&gt;"",N227,IF(M228&lt;&gt;"",N228,IF(M229&lt;&gt;"",N229,IF(M478&lt;&gt;"",N478,IF(M479&lt;&gt;"",N479,IF(M480&lt;&gt;"",N480))))))</f>
        <v>3</v>
      </c>
      <c r="J226" s="18"/>
      <c r="K226" s="23">
        <f t="shared" si="131"/>
        <v>-144</v>
      </c>
      <c r="M226" s="78">
        <v>3</v>
      </c>
      <c r="N226" s="65">
        <f t="shared" ref="N226:N230" si="140">M226+O226</f>
        <v>3</v>
      </c>
      <c r="O226" s="101"/>
      <c r="P226" s="21"/>
      <c r="Q226" s="192">
        <v>3</v>
      </c>
      <c r="R226" s="23">
        <f t="shared" si="132"/>
        <v>0</v>
      </c>
      <c r="S226" s="52">
        <f t="shared" si="133"/>
        <v>0</v>
      </c>
      <c r="U226" s="51">
        <f t="shared" ref="U226:U230" si="141">C226-I226</f>
        <v>60</v>
      </c>
      <c r="V226" s="23"/>
      <c r="W226" s="23">
        <f t="shared" si="134"/>
        <v>-2364</v>
      </c>
      <c r="Y226" s="78">
        <v>72</v>
      </c>
      <c r="Z226" s="62">
        <f t="shared" si="135"/>
        <v>66</v>
      </c>
      <c r="AA226" s="20"/>
      <c r="AB226" s="21"/>
      <c r="AC226" s="57">
        <v>66</v>
      </c>
      <c r="AD226" s="23">
        <f t="shared" si="136"/>
        <v>0</v>
      </c>
      <c r="AE226" s="23">
        <f t="shared" si="137"/>
        <v>0</v>
      </c>
      <c r="AF226" s="23"/>
      <c r="AG226" s="52">
        <v>25</v>
      </c>
    </row>
    <row r="227" spans="1:35" hidden="1" outlineLevel="1">
      <c r="A227" s="96">
        <v>45825</v>
      </c>
      <c r="B227" s="17" t="s">
        <v>19</v>
      </c>
      <c r="C227" s="18">
        <v>0</v>
      </c>
      <c r="D227" s="100">
        <f t="shared" si="129"/>
        <v>0</v>
      </c>
      <c r="E227" s="22">
        <f t="shared" si="130"/>
        <v>-2430</v>
      </c>
      <c r="G227" s="17"/>
      <c r="I227" s="51">
        <f>IF(M228&lt;&gt;"",N228,IF(M229&lt;&gt;"",N229,IF(M230&lt;&gt;"",N230,IF(M479&lt;&gt;"",N479,IF(M480&lt;&gt;"",N480,IF(M481&lt;&gt;"",N481))))))</f>
        <v>0</v>
      </c>
      <c r="J227" s="18"/>
      <c r="K227" s="23">
        <f t="shared" si="131"/>
        <v>-144</v>
      </c>
      <c r="M227" s="78">
        <v>3</v>
      </c>
      <c r="N227" s="65">
        <f t="shared" si="140"/>
        <v>3</v>
      </c>
      <c r="O227" s="101">
        <v>0</v>
      </c>
      <c r="P227" s="21"/>
      <c r="Q227" s="192">
        <v>3</v>
      </c>
      <c r="R227" s="23">
        <f t="shared" si="132"/>
        <v>0</v>
      </c>
      <c r="S227" s="52">
        <f t="shared" si="133"/>
        <v>0</v>
      </c>
      <c r="U227" s="51">
        <v>0</v>
      </c>
      <c r="V227" s="23"/>
      <c r="W227" s="23">
        <f t="shared" si="134"/>
        <v>-2364</v>
      </c>
      <c r="Y227" s="78">
        <v>57</v>
      </c>
      <c r="Z227" s="62">
        <f t="shared" si="135"/>
        <v>60</v>
      </c>
      <c r="AA227" s="20"/>
      <c r="AB227" s="21"/>
      <c r="AC227" s="57">
        <v>57</v>
      </c>
      <c r="AD227" s="23">
        <f t="shared" si="136"/>
        <v>0</v>
      </c>
      <c r="AE227" s="23">
        <f t="shared" si="137"/>
        <v>3</v>
      </c>
      <c r="AF227" s="23"/>
      <c r="AG227" s="52">
        <v>25</v>
      </c>
    </row>
    <row r="228" spans="1:35" hidden="1" outlineLevel="1">
      <c r="A228" s="96">
        <v>45826</v>
      </c>
      <c r="B228" s="17" t="s">
        <v>20</v>
      </c>
      <c r="C228" s="18">
        <f>66-12</f>
        <v>54</v>
      </c>
      <c r="D228" s="100">
        <f t="shared" si="129"/>
        <v>0</v>
      </c>
      <c r="E228" s="22">
        <f t="shared" si="130"/>
        <v>-2484</v>
      </c>
      <c r="G228" s="17"/>
      <c r="I228" s="51">
        <f>IF(M229&lt;&gt;"",N229,IF(M230&lt;&gt;"",N230,IF(M231&lt;&gt;"",N231,IF(M480&lt;&gt;"",N480,IF(M481&lt;&gt;"",N481,IF(M482&lt;&gt;"",N482))))))</f>
        <v>3</v>
      </c>
      <c r="J228" s="18"/>
      <c r="K228" s="23">
        <f t="shared" si="131"/>
        <v>-147</v>
      </c>
      <c r="M228" s="78">
        <v>3</v>
      </c>
      <c r="N228" s="65">
        <v>0</v>
      </c>
      <c r="O228" s="101"/>
      <c r="P228" s="21"/>
      <c r="Q228" s="192">
        <v>0</v>
      </c>
      <c r="R228" s="23">
        <f t="shared" si="132"/>
        <v>-3</v>
      </c>
      <c r="S228" s="52">
        <f t="shared" si="133"/>
        <v>-3</v>
      </c>
      <c r="U228" s="51">
        <f t="shared" si="141"/>
        <v>51</v>
      </c>
      <c r="V228" s="23"/>
      <c r="W228" s="23">
        <f t="shared" si="134"/>
        <v>-2415</v>
      </c>
      <c r="Y228" s="78">
        <v>0</v>
      </c>
      <c r="Z228" s="62">
        <f t="shared" si="135"/>
        <v>0</v>
      </c>
      <c r="AA228" s="20"/>
      <c r="AB228" s="21"/>
      <c r="AC228" s="57">
        <v>0</v>
      </c>
      <c r="AD228" s="23">
        <f t="shared" si="136"/>
        <v>0</v>
      </c>
      <c r="AE228" s="23">
        <f t="shared" si="137"/>
        <v>3</v>
      </c>
      <c r="AF228" s="23"/>
      <c r="AG228" s="52">
        <v>25</v>
      </c>
    </row>
    <row r="229" spans="1:35" hidden="1" outlineLevel="1">
      <c r="A229" s="96">
        <v>45827</v>
      </c>
      <c r="B229" s="17" t="s">
        <v>14</v>
      </c>
      <c r="C229" s="18">
        <v>66</v>
      </c>
      <c r="D229" s="100">
        <f t="shared" si="129"/>
        <v>0</v>
      </c>
      <c r="E229" s="22">
        <f t="shared" si="130"/>
        <v>-2550</v>
      </c>
      <c r="G229" s="17"/>
      <c r="I229" s="51">
        <f>IF(M230&lt;&gt;"",N230,IF(M231&lt;&gt;"",N231,IF(M232&lt;&gt;"",N232,IF(M481&lt;&gt;"",N481,IF(M482&lt;&gt;"",N482,IF(M483&lt;&gt;"",N483))))))</f>
        <v>3</v>
      </c>
      <c r="J229" s="18"/>
      <c r="K229" s="23">
        <f t="shared" si="131"/>
        <v>-150</v>
      </c>
      <c r="M229" s="78">
        <v>3</v>
      </c>
      <c r="N229" s="65">
        <f t="shared" si="140"/>
        <v>3</v>
      </c>
      <c r="O229" s="101"/>
      <c r="P229" s="21"/>
      <c r="Q229" s="192">
        <v>3</v>
      </c>
      <c r="R229" s="23">
        <f t="shared" si="132"/>
        <v>-3</v>
      </c>
      <c r="S229" s="52">
        <f t="shared" si="133"/>
        <v>-3</v>
      </c>
      <c r="U229" s="51">
        <f t="shared" si="141"/>
        <v>63</v>
      </c>
      <c r="V229" s="23"/>
      <c r="W229" s="23">
        <f t="shared" si="134"/>
        <v>-2478</v>
      </c>
      <c r="Y229" s="78">
        <v>48</v>
      </c>
      <c r="Z229" s="62">
        <f t="shared" si="135"/>
        <v>51</v>
      </c>
      <c r="AA229" s="20"/>
      <c r="AB229" s="21"/>
      <c r="AC229" s="57">
        <v>51</v>
      </c>
      <c r="AD229" s="23">
        <f t="shared" si="136"/>
        <v>3</v>
      </c>
      <c r="AE229" s="23">
        <f t="shared" si="137"/>
        <v>6</v>
      </c>
      <c r="AF229" s="23"/>
      <c r="AG229" s="52">
        <v>15</v>
      </c>
    </row>
    <row r="230" spans="1:35" hidden="1" outlineLevel="1">
      <c r="A230" s="96">
        <v>45828</v>
      </c>
      <c r="B230" s="17" t="s">
        <v>15</v>
      </c>
      <c r="C230" s="18">
        <v>66</v>
      </c>
      <c r="D230" s="100">
        <f t="shared" si="129"/>
        <v>0</v>
      </c>
      <c r="E230" s="22">
        <f t="shared" si="130"/>
        <v>-2616</v>
      </c>
      <c r="G230" s="17"/>
      <c r="I230" s="51">
        <f>IF(M231&lt;&gt;"",N231,IF(M232&lt;&gt;"",N232,IF(M233&lt;&gt;"",N233,IF(M482&lt;&gt;"",N482,IF(M483&lt;&gt;"",N483,IF(M484&lt;&gt;"",N484))))))</f>
        <v>3</v>
      </c>
      <c r="J230" s="18"/>
      <c r="K230" s="23">
        <f t="shared" si="131"/>
        <v>-153</v>
      </c>
      <c r="M230" s="78">
        <v>3</v>
      </c>
      <c r="N230" s="65">
        <f t="shared" si="140"/>
        <v>3</v>
      </c>
      <c r="O230" s="101"/>
      <c r="P230" s="21"/>
      <c r="Q230" s="192">
        <v>3</v>
      </c>
      <c r="R230" s="23">
        <f t="shared" si="132"/>
        <v>-3</v>
      </c>
      <c r="S230" s="52">
        <f t="shared" si="133"/>
        <v>-3</v>
      </c>
      <c r="U230" s="51">
        <f t="shared" si="141"/>
        <v>63</v>
      </c>
      <c r="V230" s="23"/>
      <c r="W230" s="23">
        <f t="shared" si="134"/>
        <v>-2541</v>
      </c>
      <c r="Y230" s="78">
        <v>57</v>
      </c>
      <c r="Z230" s="62">
        <f t="shared" si="135"/>
        <v>63</v>
      </c>
      <c r="AA230" s="20"/>
      <c r="AB230" s="21"/>
      <c r="AC230" s="57">
        <v>63</v>
      </c>
      <c r="AD230" s="23">
        <f t="shared" si="136"/>
        <v>9</v>
      </c>
      <c r="AE230" s="23">
        <f t="shared" si="137"/>
        <v>12</v>
      </c>
      <c r="AF230" s="23"/>
      <c r="AG230" s="52">
        <v>30</v>
      </c>
      <c r="AI230">
        <f>SUM(M226:M230,Y226:Y230)/COUNT(Y226:Y230)</f>
        <v>49.8</v>
      </c>
    </row>
    <row r="231" spans="1:35" s="12" customFormat="1" hidden="1" outlineLevel="1">
      <c r="A231" s="95">
        <v>45829</v>
      </c>
      <c r="B231" s="25" t="s">
        <v>16</v>
      </c>
      <c r="C231" s="98"/>
      <c r="D231" s="99">
        <f t="shared" si="129"/>
        <v>0</v>
      </c>
      <c r="E231" s="87">
        <f t="shared" si="130"/>
        <v>-2616</v>
      </c>
      <c r="G231" s="25"/>
      <c r="I231" s="53"/>
      <c r="J231" s="26"/>
      <c r="K231" s="29">
        <f t="shared" si="131"/>
        <v>-153</v>
      </c>
      <c r="M231" s="79"/>
      <c r="N231" s="66"/>
      <c r="O231" s="98"/>
      <c r="P231" s="28"/>
      <c r="Q231" s="230"/>
      <c r="R231" s="29">
        <f t="shared" si="132"/>
        <v>-3</v>
      </c>
      <c r="S231" s="54">
        <f t="shared" si="133"/>
        <v>-3</v>
      </c>
      <c r="U231" s="53"/>
      <c r="V231" s="29"/>
      <c r="W231" s="29">
        <f t="shared" si="134"/>
        <v>-2541</v>
      </c>
      <c r="Y231" s="79"/>
      <c r="Z231" s="63"/>
      <c r="AA231" s="27"/>
      <c r="AB231" s="28"/>
      <c r="AC231" s="43"/>
      <c r="AD231" s="29">
        <f t="shared" si="136"/>
        <v>9</v>
      </c>
      <c r="AE231" s="29">
        <f t="shared" si="137"/>
        <v>12</v>
      </c>
      <c r="AF231" s="29"/>
      <c r="AG231" s="54"/>
    </row>
    <row r="232" spans="1:35" s="12" customFormat="1" hidden="1" outlineLevel="1" collapsed="1">
      <c r="A232" s="95">
        <v>45830</v>
      </c>
      <c r="B232" s="25" t="s">
        <v>17</v>
      </c>
      <c r="C232" s="98"/>
      <c r="D232" s="99">
        <f t="shared" si="129"/>
        <v>0</v>
      </c>
      <c r="E232" s="87">
        <f t="shared" si="130"/>
        <v>-2616</v>
      </c>
      <c r="G232" s="25"/>
      <c r="I232" s="53"/>
      <c r="J232" s="26"/>
      <c r="K232" s="29">
        <f t="shared" si="131"/>
        <v>-153</v>
      </c>
      <c r="M232" s="79"/>
      <c r="N232" s="66"/>
      <c r="O232" s="98"/>
      <c r="P232" s="28"/>
      <c r="Q232" s="230"/>
      <c r="R232" s="29">
        <f t="shared" si="132"/>
        <v>-3</v>
      </c>
      <c r="S232" s="54">
        <f t="shared" si="133"/>
        <v>-3</v>
      </c>
      <c r="U232" s="53"/>
      <c r="V232" s="29"/>
      <c r="W232" s="29">
        <f t="shared" si="134"/>
        <v>-2541</v>
      </c>
      <c r="Y232" s="79"/>
      <c r="Z232" s="63"/>
      <c r="AA232" s="27"/>
      <c r="AB232" s="28"/>
      <c r="AC232" s="43"/>
      <c r="AD232" s="29">
        <f t="shared" si="136"/>
        <v>9</v>
      </c>
      <c r="AE232" s="29">
        <f t="shared" si="137"/>
        <v>12</v>
      </c>
      <c r="AF232" s="29"/>
      <c r="AG232" s="54"/>
    </row>
    <row r="233" spans="1:35" hidden="1" outlineLevel="1">
      <c r="A233" s="96">
        <v>45831</v>
      </c>
      <c r="B233" s="17" t="s">
        <v>18</v>
      </c>
      <c r="C233" s="18">
        <v>66</v>
      </c>
      <c r="D233" s="100">
        <f t="shared" si="129"/>
        <v>0</v>
      </c>
      <c r="E233" s="22">
        <f t="shared" si="130"/>
        <v>-2682</v>
      </c>
      <c r="G233" s="17"/>
      <c r="I233" s="51">
        <f>IF(M234&lt;&gt;"",N234,IF(M235&lt;&gt;"",N235,IF(M236&lt;&gt;"",N236,IF(M485&lt;&gt;"",N485,IF(M486&lt;&gt;"",N486,IF(M487&lt;&gt;"",N487))))))</f>
        <v>6</v>
      </c>
      <c r="J233" s="18"/>
      <c r="K233" s="23">
        <f t="shared" si="131"/>
        <v>-159</v>
      </c>
      <c r="M233" s="78">
        <v>3</v>
      </c>
      <c r="N233" s="65">
        <f t="shared" ref="N233:N237" si="142">M233+O233</f>
        <v>3</v>
      </c>
      <c r="O233" s="101"/>
      <c r="P233" s="21"/>
      <c r="Q233" s="192">
        <v>3</v>
      </c>
      <c r="R233" s="23">
        <f t="shared" si="132"/>
        <v>-3</v>
      </c>
      <c r="S233" s="52">
        <f t="shared" si="133"/>
        <v>-3</v>
      </c>
      <c r="U233" s="51">
        <f t="shared" ref="U233:U237" si="143">C233-I233</f>
        <v>60</v>
      </c>
      <c r="V233" s="23"/>
      <c r="W233" s="23">
        <f t="shared" si="134"/>
        <v>-2601</v>
      </c>
      <c r="Y233" s="78">
        <v>72</v>
      </c>
      <c r="Z233" s="62">
        <f t="shared" si="135"/>
        <v>63</v>
      </c>
      <c r="AA233" s="20"/>
      <c r="AB233" s="21"/>
      <c r="AC233" s="57">
        <v>63</v>
      </c>
      <c r="AD233" s="23">
        <f t="shared" si="136"/>
        <v>0</v>
      </c>
      <c r="AE233" s="23">
        <f t="shared" si="137"/>
        <v>3</v>
      </c>
      <c r="AF233" s="23"/>
      <c r="AG233" s="52">
        <v>24</v>
      </c>
    </row>
    <row r="234" spans="1:35" hidden="1" outlineLevel="1">
      <c r="A234" s="96">
        <v>45832</v>
      </c>
      <c r="B234" s="17" t="s">
        <v>19</v>
      </c>
      <c r="C234" s="18">
        <v>66</v>
      </c>
      <c r="D234" s="100">
        <f t="shared" si="129"/>
        <v>0</v>
      </c>
      <c r="E234" s="22">
        <f t="shared" si="130"/>
        <v>-2748</v>
      </c>
      <c r="G234" s="17"/>
      <c r="I234" s="51">
        <f>IF(M235&lt;&gt;"",N235,IF(M236&lt;&gt;"",N236,IF(M237&lt;&gt;"",N237,IF(M486&lt;&gt;"",N486,IF(M487&lt;&gt;"",N487,IF(M488&lt;&gt;"",N488))))))</f>
        <v>9</v>
      </c>
      <c r="J234" s="18"/>
      <c r="K234" s="23">
        <f t="shared" si="131"/>
        <v>-168</v>
      </c>
      <c r="M234" s="78">
        <v>3</v>
      </c>
      <c r="N234" s="65">
        <f t="shared" si="142"/>
        <v>6</v>
      </c>
      <c r="O234" s="101">
        <v>3</v>
      </c>
      <c r="P234" s="21"/>
      <c r="Q234" s="192">
        <f>3+3</f>
        <v>6</v>
      </c>
      <c r="R234" s="23">
        <f t="shared" si="132"/>
        <v>0</v>
      </c>
      <c r="S234" s="52">
        <f t="shared" si="133"/>
        <v>0</v>
      </c>
      <c r="U234" s="51">
        <f t="shared" si="143"/>
        <v>57</v>
      </c>
      <c r="V234" s="23"/>
      <c r="W234" s="23">
        <f t="shared" si="134"/>
        <v>-2658</v>
      </c>
      <c r="Y234" s="78">
        <v>54</v>
      </c>
      <c r="Z234" s="62">
        <f t="shared" si="135"/>
        <v>63</v>
      </c>
      <c r="AA234" s="20">
        <v>3</v>
      </c>
      <c r="AB234" s="21"/>
      <c r="AC234" s="57">
        <v>63</v>
      </c>
      <c r="AD234" s="23">
        <f t="shared" si="136"/>
        <v>9</v>
      </c>
      <c r="AE234" s="23">
        <f t="shared" si="137"/>
        <v>12</v>
      </c>
      <c r="AF234" s="23"/>
      <c r="AG234" s="52">
        <v>25</v>
      </c>
    </row>
    <row r="235" spans="1:35" hidden="1" outlineLevel="1">
      <c r="A235" s="96">
        <v>45833</v>
      </c>
      <c r="B235" s="17" t="s">
        <v>20</v>
      </c>
      <c r="C235" s="18">
        <f>66+9</f>
        <v>75</v>
      </c>
      <c r="D235" s="100">
        <f t="shared" si="129"/>
        <v>0</v>
      </c>
      <c r="E235" s="22">
        <f t="shared" si="130"/>
        <v>-2823</v>
      </c>
      <c r="G235" s="17"/>
      <c r="I235" s="51">
        <f>IF(M236&lt;&gt;"",N236,IF(M237&lt;&gt;"",N237,IF(M238&lt;&gt;"",N238,IF(M487&lt;&gt;"",N487,IF(M488&lt;&gt;"",N488,IF(M489&lt;&gt;"",N489))))))</f>
        <v>9</v>
      </c>
      <c r="J235" s="18"/>
      <c r="K235" s="23">
        <f t="shared" si="131"/>
        <v>-177</v>
      </c>
      <c r="M235" s="78">
        <v>9</v>
      </c>
      <c r="N235" s="65">
        <f t="shared" si="142"/>
        <v>9</v>
      </c>
      <c r="O235" s="101"/>
      <c r="P235" s="21"/>
      <c r="Q235" s="192">
        <v>9</v>
      </c>
      <c r="R235" s="23">
        <f t="shared" si="132"/>
        <v>0</v>
      </c>
      <c r="S235" s="52">
        <f t="shared" si="133"/>
        <v>0</v>
      </c>
      <c r="U235" s="51">
        <f t="shared" si="143"/>
        <v>66</v>
      </c>
      <c r="V235" s="23"/>
      <c r="W235" s="23">
        <f t="shared" si="134"/>
        <v>-2724</v>
      </c>
      <c r="Y235" s="78">
        <v>57</v>
      </c>
      <c r="Z235" s="62">
        <f t="shared" si="135"/>
        <v>57</v>
      </c>
      <c r="AA235" s="20"/>
      <c r="AB235" s="21"/>
      <c r="AC235" s="57">
        <v>57</v>
      </c>
      <c r="AD235" s="23">
        <f t="shared" si="136"/>
        <v>9</v>
      </c>
      <c r="AE235" s="23">
        <f t="shared" si="137"/>
        <v>12</v>
      </c>
      <c r="AF235" s="23"/>
      <c r="AG235" s="52">
        <v>30</v>
      </c>
    </row>
    <row r="236" spans="1:35" hidden="1" outlineLevel="1">
      <c r="A236" s="96">
        <v>45834</v>
      </c>
      <c r="B236" s="17" t="s">
        <v>14</v>
      </c>
      <c r="C236" s="18">
        <f>69+9</f>
        <v>78</v>
      </c>
      <c r="D236" s="100">
        <f t="shared" si="129"/>
        <v>0</v>
      </c>
      <c r="E236" s="22">
        <f t="shared" si="130"/>
        <v>-2901</v>
      </c>
      <c r="G236" s="17"/>
      <c r="I236" s="51">
        <f>IF(M237&lt;&gt;"",N237,IF(M238&lt;&gt;"",N238,IF(M239&lt;&gt;"",N239,IF(M488&lt;&gt;"",N488,IF(M489&lt;&gt;"",N489,IF(M490&lt;&gt;"",N490))))))</f>
        <v>6</v>
      </c>
      <c r="J236" s="18"/>
      <c r="K236" s="23">
        <f t="shared" si="131"/>
        <v>-183</v>
      </c>
      <c r="M236" s="78">
        <v>9</v>
      </c>
      <c r="N236" s="65">
        <f t="shared" si="142"/>
        <v>9</v>
      </c>
      <c r="O236" s="101"/>
      <c r="P236" s="21"/>
      <c r="Q236" s="192">
        <v>9</v>
      </c>
      <c r="R236" s="23">
        <f t="shared" si="132"/>
        <v>0</v>
      </c>
      <c r="S236" s="52">
        <f t="shared" si="133"/>
        <v>0</v>
      </c>
      <c r="U236" s="51">
        <f t="shared" si="143"/>
        <v>72</v>
      </c>
      <c r="V236" s="23"/>
      <c r="W236" s="23">
        <f t="shared" si="134"/>
        <v>-2796</v>
      </c>
      <c r="Y236" s="204">
        <f>66+9</f>
        <v>75</v>
      </c>
      <c r="Z236" s="65">
        <f t="shared" si="135"/>
        <v>66</v>
      </c>
      <c r="AA236" s="20"/>
      <c r="AB236" s="21"/>
      <c r="AC236" s="57">
        <v>66</v>
      </c>
      <c r="AD236" s="23">
        <f t="shared" si="136"/>
        <v>0</v>
      </c>
      <c r="AE236" s="23">
        <f t="shared" si="137"/>
        <v>3</v>
      </c>
      <c r="AF236" s="23"/>
      <c r="AG236" s="52">
        <v>25</v>
      </c>
    </row>
    <row r="237" spans="1:35" hidden="1" outlineLevel="1">
      <c r="A237" s="96">
        <v>45835</v>
      </c>
      <c r="B237" s="17" t="s">
        <v>15</v>
      </c>
      <c r="C237" s="18">
        <v>66</v>
      </c>
      <c r="D237" s="100">
        <f t="shared" si="129"/>
        <v>0</v>
      </c>
      <c r="E237" s="22">
        <f t="shared" si="130"/>
        <v>-2967</v>
      </c>
      <c r="G237" s="17"/>
      <c r="I237" s="51">
        <f>IF(M238&lt;&gt;"",N238,IF(M239&lt;&gt;"",N239,IF(M240&lt;&gt;"",N240,IF(M489&lt;&gt;"",N489,IF(M490&lt;&gt;"",N490,IF(M491&lt;&gt;"",N491))))))</f>
        <v>3</v>
      </c>
      <c r="J237" s="18"/>
      <c r="K237" s="23">
        <f t="shared" si="131"/>
        <v>-186</v>
      </c>
      <c r="M237" s="78">
        <v>6</v>
      </c>
      <c r="N237" s="65">
        <f t="shared" si="142"/>
        <v>6</v>
      </c>
      <c r="O237" s="101"/>
      <c r="P237" s="21"/>
      <c r="Q237" s="192">
        <v>6</v>
      </c>
      <c r="R237" s="23">
        <f t="shared" si="132"/>
        <v>0</v>
      </c>
      <c r="S237" s="52">
        <f t="shared" si="133"/>
        <v>0</v>
      </c>
      <c r="U237" s="51">
        <f t="shared" si="143"/>
        <v>63</v>
      </c>
      <c r="V237" s="23"/>
      <c r="W237" s="23">
        <f t="shared" si="134"/>
        <v>-2859</v>
      </c>
      <c r="Y237" s="204">
        <f>63+9</f>
        <v>72</v>
      </c>
      <c r="Z237" s="65">
        <f t="shared" si="135"/>
        <v>72</v>
      </c>
      <c r="AA237" s="20"/>
      <c r="AB237" s="21"/>
      <c r="AC237" s="57">
        <f>6+66</f>
        <v>72</v>
      </c>
      <c r="AD237" s="23">
        <f t="shared" si="136"/>
        <v>0</v>
      </c>
      <c r="AE237" s="23">
        <f t="shared" si="137"/>
        <v>3</v>
      </c>
      <c r="AF237" s="23"/>
      <c r="AG237" s="52">
        <v>35</v>
      </c>
      <c r="AI237">
        <f>SUM(M233:M237,Y233:Y237)/COUNT(Y233:Y237)</f>
        <v>72</v>
      </c>
    </row>
    <row r="238" spans="1:35" s="12" customFormat="1" hidden="1" outlineLevel="1">
      <c r="A238" s="95">
        <v>45836</v>
      </c>
      <c r="B238" s="25" t="s">
        <v>16</v>
      </c>
      <c r="C238" s="98"/>
      <c r="D238" s="99">
        <f t="shared" si="129"/>
        <v>0</v>
      </c>
      <c r="E238" s="87">
        <f t="shared" si="130"/>
        <v>-2967</v>
      </c>
      <c r="G238" s="25"/>
      <c r="I238" s="53"/>
      <c r="J238" s="26"/>
      <c r="K238" s="29">
        <f t="shared" si="131"/>
        <v>-186</v>
      </c>
      <c r="M238" s="79"/>
      <c r="N238" s="66"/>
      <c r="O238" s="98"/>
      <c r="P238" s="28"/>
      <c r="Q238" s="230"/>
      <c r="R238" s="29">
        <f t="shared" si="132"/>
        <v>0</v>
      </c>
      <c r="S238" s="54">
        <f t="shared" si="133"/>
        <v>0</v>
      </c>
      <c r="U238" s="53"/>
      <c r="V238" s="29"/>
      <c r="W238" s="29">
        <f t="shared" si="134"/>
        <v>-2859</v>
      </c>
      <c r="Y238" s="300"/>
      <c r="Z238" s="63"/>
      <c r="AA238" s="27"/>
      <c r="AB238" s="28"/>
      <c r="AC238" s="43"/>
      <c r="AD238" s="29">
        <f t="shared" si="136"/>
        <v>0</v>
      </c>
      <c r="AE238" s="29">
        <f t="shared" si="137"/>
        <v>3</v>
      </c>
      <c r="AF238" s="29"/>
      <c r="AG238" s="54"/>
    </row>
    <row r="239" spans="1:35" s="12" customFormat="1" hidden="1" outlineLevel="1" collapsed="1">
      <c r="A239" s="95">
        <v>45837</v>
      </c>
      <c r="B239" s="25" t="s">
        <v>17</v>
      </c>
      <c r="C239" s="98"/>
      <c r="D239" s="99">
        <f t="shared" si="129"/>
        <v>0</v>
      </c>
      <c r="E239" s="87">
        <f t="shared" si="130"/>
        <v>-2967</v>
      </c>
      <c r="G239" s="25"/>
      <c r="I239" s="53"/>
      <c r="J239" s="26"/>
      <c r="K239" s="29">
        <f t="shared" si="131"/>
        <v>-186</v>
      </c>
      <c r="M239" s="79"/>
      <c r="N239" s="66"/>
      <c r="O239" s="98"/>
      <c r="P239" s="28"/>
      <c r="Q239" s="230"/>
      <c r="R239" s="29">
        <f t="shared" si="132"/>
        <v>0</v>
      </c>
      <c r="S239" s="54">
        <f t="shared" si="133"/>
        <v>0</v>
      </c>
      <c r="U239" s="53"/>
      <c r="V239" s="29"/>
      <c r="W239" s="29">
        <f t="shared" si="134"/>
        <v>-2859</v>
      </c>
      <c r="Y239" s="300"/>
      <c r="Z239" s="63"/>
      <c r="AA239" s="27"/>
      <c r="AB239" s="28"/>
      <c r="AC239" s="43"/>
      <c r="AD239" s="29">
        <f t="shared" si="136"/>
        <v>0</v>
      </c>
      <c r="AE239" s="29">
        <f t="shared" si="137"/>
        <v>3</v>
      </c>
      <c r="AF239" s="29"/>
      <c r="AG239" s="54"/>
    </row>
    <row r="240" spans="1:35" hidden="1" outlineLevel="1">
      <c r="A240" s="96">
        <v>45838</v>
      </c>
      <c r="B240" s="17" t="s">
        <v>18</v>
      </c>
      <c r="C240" s="18">
        <f>51+15</f>
        <v>66</v>
      </c>
      <c r="D240" s="100">
        <f t="shared" si="129"/>
        <v>0</v>
      </c>
      <c r="E240" s="22">
        <f t="shared" si="130"/>
        <v>-3033</v>
      </c>
      <c r="G240" s="17"/>
      <c r="I240" s="51">
        <f>IF(M241&lt;&gt;"",N241,IF(M242&lt;&gt;"",N242,IF(M243&lt;&gt;"",N243,IF(M492&lt;&gt;"",N492,IF(M493&lt;&gt;"",N493,IF(M494&lt;&gt;"",N494))))))</f>
        <v>9</v>
      </c>
      <c r="J240" s="18"/>
      <c r="K240" s="23">
        <f t="shared" si="131"/>
        <v>-195</v>
      </c>
      <c r="M240" s="203">
        <v>3</v>
      </c>
      <c r="N240" s="65">
        <f t="shared" ref="N240:N244" si="144">M240+O240</f>
        <v>3</v>
      </c>
      <c r="O240" s="101"/>
      <c r="P240" s="21"/>
      <c r="Q240" s="192">
        <v>3</v>
      </c>
      <c r="R240" s="23">
        <f t="shared" si="132"/>
        <v>0</v>
      </c>
      <c r="S240" s="52">
        <f t="shared" si="133"/>
        <v>0</v>
      </c>
      <c r="U240" s="51">
        <f t="shared" ref="U240:U244" si="145">C240-I240</f>
        <v>57</v>
      </c>
      <c r="V240" s="23"/>
      <c r="W240" s="23">
        <f t="shared" si="134"/>
        <v>-2916</v>
      </c>
      <c r="Y240" s="203">
        <v>69</v>
      </c>
      <c r="Z240" s="62">
        <f t="shared" si="135"/>
        <v>63</v>
      </c>
      <c r="AA240" s="20"/>
      <c r="AB240" s="21"/>
      <c r="AC240" s="57">
        <v>63</v>
      </c>
      <c r="AD240" s="23">
        <f t="shared" si="136"/>
        <v>-6</v>
      </c>
      <c r="AE240" s="23">
        <f t="shared" si="137"/>
        <v>-3</v>
      </c>
      <c r="AF240" s="23"/>
      <c r="AG240" s="52">
        <v>21</v>
      </c>
    </row>
    <row r="241" spans="1:38" hidden="1" outlineLevel="1">
      <c r="A241" s="96">
        <v>45839</v>
      </c>
      <c r="B241" s="17" t="s">
        <v>19</v>
      </c>
      <c r="C241" s="18">
        <f>51+15</f>
        <v>66</v>
      </c>
      <c r="D241" s="100">
        <f t="shared" si="129"/>
        <v>0</v>
      </c>
      <c r="E241" s="22">
        <f t="shared" si="130"/>
        <v>-3099</v>
      </c>
      <c r="G241" s="17"/>
      <c r="I241" s="51">
        <f>IF(M242&lt;&gt;"",N242,IF(M243&lt;&gt;"",N243,IF(M244&lt;&gt;"",N244,IF(M493&lt;&gt;"",N493,IF(M494&lt;&gt;"",N494,IF(M495&lt;&gt;"",N495))))))</f>
        <v>6</v>
      </c>
      <c r="J241" s="18"/>
      <c r="K241" s="23">
        <f t="shared" si="131"/>
        <v>-201</v>
      </c>
      <c r="M241" s="203">
        <v>9</v>
      </c>
      <c r="N241" s="65">
        <f t="shared" si="144"/>
        <v>9</v>
      </c>
      <c r="O241" s="101"/>
      <c r="P241" s="21"/>
      <c r="Q241" s="192">
        <v>9</v>
      </c>
      <c r="R241" s="23">
        <f t="shared" si="132"/>
        <v>0</v>
      </c>
      <c r="S241" s="52">
        <f t="shared" si="133"/>
        <v>0</v>
      </c>
      <c r="U241" s="51">
        <f t="shared" si="145"/>
        <v>60</v>
      </c>
      <c r="V241" s="23"/>
      <c r="W241" s="23">
        <f t="shared" si="134"/>
        <v>-2976</v>
      </c>
      <c r="Y241" s="203">
        <v>24</v>
      </c>
      <c r="Z241" s="62">
        <f t="shared" si="135"/>
        <v>57</v>
      </c>
      <c r="AA241" s="20"/>
      <c r="AB241" s="21"/>
      <c r="AC241" s="57">
        <v>57</v>
      </c>
      <c r="AD241" s="23">
        <f t="shared" si="136"/>
        <v>27</v>
      </c>
      <c r="AE241" s="23">
        <f t="shared" si="137"/>
        <v>30</v>
      </c>
      <c r="AF241" s="23"/>
      <c r="AG241" s="52">
        <v>18</v>
      </c>
    </row>
    <row r="242" spans="1:38" hidden="1" outlineLevel="1">
      <c r="A242" s="96">
        <v>45840</v>
      </c>
      <c r="B242" s="17" t="s">
        <v>20</v>
      </c>
      <c r="C242" s="18">
        <f>54+15</f>
        <v>69</v>
      </c>
      <c r="D242" s="100">
        <f t="shared" si="129"/>
        <v>0</v>
      </c>
      <c r="E242" s="22">
        <f t="shared" si="130"/>
        <v>-3168</v>
      </c>
      <c r="G242" s="17"/>
      <c r="I242" s="51">
        <f>IF(M243&lt;&gt;"",N243,IF(M244&lt;&gt;"",N244,IF(M245&lt;&gt;"",N245,IF(M494&lt;&gt;"",N494,IF(M495&lt;&gt;"",N495,IF(M496&lt;&gt;"",N496))))))</f>
        <v>6</v>
      </c>
      <c r="J242" s="18"/>
      <c r="K242" s="23">
        <f t="shared" si="131"/>
        <v>-207</v>
      </c>
      <c r="M242" s="203">
        <v>6</v>
      </c>
      <c r="N242" s="65">
        <f t="shared" si="144"/>
        <v>6</v>
      </c>
      <c r="O242" s="101"/>
      <c r="P242" s="21"/>
      <c r="Q242" s="192">
        <v>6</v>
      </c>
      <c r="R242" s="23">
        <f t="shared" si="132"/>
        <v>0</v>
      </c>
      <c r="S242" s="52">
        <f t="shared" si="133"/>
        <v>0</v>
      </c>
      <c r="U242" s="51">
        <f t="shared" si="145"/>
        <v>63</v>
      </c>
      <c r="V242" s="23"/>
      <c r="W242" s="23">
        <f t="shared" si="134"/>
        <v>-3039</v>
      </c>
      <c r="Y242" s="203">
        <v>57</v>
      </c>
      <c r="Z242" s="62">
        <f t="shared" si="135"/>
        <v>60</v>
      </c>
      <c r="AA242" s="20"/>
      <c r="AB242" s="21"/>
      <c r="AC242" s="57">
        <v>60</v>
      </c>
      <c r="AD242" s="23">
        <f t="shared" si="136"/>
        <v>30</v>
      </c>
      <c r="AE242" s="23">
        <f t="shared" si="137"/>
        <v>33</v>
      </c>
      <c r="AF242" s="23"/>
      <c r="AG242" s="52">
        <v>30</v>
      </c>
    </row>
    <row r="243" spans="1:38" hidden="1" outlineLevel="1">
      <c r="A243" s="96">
        <v>45841</v>
      </c>
      <c r="B243" s="17" t="s">
        <v>14</v>
      </c>
      <c r="C243" s="18">
        <v>0</v>
      </c>
      <c r="D243" s="100">
        <f t="shared" si="129"/>
        <v>0</v>
      </c>
      <c r="E243" s="22">
        <f t="shared" si="130"/>
        <v>-3168</v>
      </c>
      <c r="G243" s="17"/>
      <c r="I243" s="51">
        <f>IF(M244&lt;&gt;"",N244,IF(M245&lt;&gt;"",N245,IF(M246&lt;&gt;"",N246,IF(M495&lt;&gt;"",N495,IF(M496&lt;&gt;"",N496,IF(M497&lt;&gt;"",N497))))))</f>
        <v>0</v>
      </c>
      <c r="J243" s="18"/>
      <c r="K243" s="23">
        <f t="shared" si="131"/>
        <v>-207</v>
      </c>
      <c r="M243" s="203">
        <v>6</v>
      </c>
      <c r="N243" s="65">
        <f t="shared" si="144"/>
        <v>6</v>
      </c>
      <c r="O243" s="101"/>
      <c r="P243" s="21"/>
      <c r="Q243" s="192">
        <v>6</v>
      </c>
      <c r="R243" s="23">
        <f t="shared" si="132"/>
        <v>0</v>
      </c>
      <c r="S243" s="52">
        <f t="shared" si="133"/>
        <v>0</v>
      </c>
      <c r="U243" s="51">
        <f t="shared" si="145"/>
        <v>0</v>
      </c>
      <c r="V243" s="23"/>
      <c r="W243" s="23">
        <f t="shared" si="134"/>
        <v>-3039</v>
      </c>
      <c r="Y243" s="203">
        <v>57</v>
      </c>
      <c r="Z243" s="62">
        <f t="shared" si="135"/>
        <v>63</v>
      </c>
      <c r="AA243" s="20"/>
      <c r="AB243" s="21"/>
      <c r="AC243" s="57">
        <v>63</v>
      </c>
      <c r="AD243" s="23">
        <f t="shared" si="136"/>
        <v>36</v>
      </c>
      <c r="AE243" s="23">
        <f t="shared" si="137"/>
        <v>39</v>
      </c>
      <c r="AF243" s="23"/>
      <c r="AG243" s="52">
        <v>22</v>
      </c>
    </row>
    <row r="244" spans="1:38" s="12" customFormat="1" hidden="1" outlineLevel="1">
      <c r="A244" s="96">
        <v>45842</v>
      </c>
      <c r="B244" s="17" t="s">
        <v>15</v>
      </c>
      <c r="C244" s="18">
        <v>45</v>
      </c>
      <c r="D244" s="100">
        <f t="shared" si="129"/>
        <v>0</v>
      </c>
      <c r="E244" s="22">
        <f t="shared" si="130"/>
        <v>-3213</v>
      </c>
      <c r="F244" s="1"/>
      <c r="G244" s="17"/>
      <c r="H244" s="1"/>
      <c r="I244" s="51">
        <f>IF(M245&lt;&gt;"",N245,IF(M246&lt;&gt;"",N246,IF(M247&lt;&gt;"",N247,IF(M496&lt;&gt;"",N496,IF(M497&lt;&gt;"",N497,IF(M498&lt;&gt;"",N498))))))</f>
        <v>9</v>
      </c>
      <c r="J244" s="18"/>
      <c r="K244" s="23">
        <f t="shared" si="131"/>
        <v>-216</v>
      </c>
      <c r="L244" s="1"/>
      <c r="M244" s="203">
        <v>0</v>
      </c>
      <c r="N244" s="65">
        <f t="shared" si="144"/>
        <v>0</v>
      </c>
      <c r="O244" s="101"/>
      <c r="P244" s="21"/>
      <c r="Q244" s="191"/>
      <c r="R244" s="23">
        <f t="shared" si="132"/>
        <v>0</v>
      </c>
      <c r="S244" s="52">
        <f t="shared" si="133"/>
        <v>0</v>
      </c>
      <c r="T244" s="1"/>
      <c r="U244" s="51">
        <f t="shared" si="145"/>
        <v>36</v>
      </c>
      <c r="V244" s="23"/>
      <c r="W244" s="23">
        <f t="shared" si="134"/>
        <v>-3075</v>
      </c>
      <c r="X244" s="1"/>
      <c r="Y244" s="203">
        <v>0</v>
      </c>
      <c r="Z244" s="62">
        <f t="shared" si="135"/>
        <v>0</v>
      </c>
      <c r="AA244" s="20"/>
      <c r="AB244" s="21"/>
      <c r="AC244" s="42"/>
      <c r="AD244" s="23">
        <f t="shared" si="136"/>
        <v>36</v>
      </c>
      <c r="AE244" s="23">
        <f t="shared" si="137"/>
        <v>39</v>
      </c>
      <c r="AF244" s="23"/>
      <c r="AG244" s="52">
        <v>0</v>
      </c>
      <c r="AH244" s="1"/>
      <c r="AI244">
        <f>SUM(M240:M244,Y240:Y244)/COUNT(Y240:Y244)</f>
        <v>46.2</v>
      </c>
      <c r="AJ244" s="1"/>
      <c r="AK244" s="1"/>
      <c r="AL244" s="1"/>
    </row>
    <row r="245" spans="1:38" s="12" customFormat="1" hidden="1" outlineLevel="1">
      <c r="A245" s="95">
        <v>45843</v>
      </c>
      <c r="B245" s="25" t="s">
        <v>16</v>
      </c>
      <c r="C245" s="98"/>
      <c r="D245" s="99">
        <f t="shared" si="129"/>
        <v>0</v>
      </c>
      <c r="E245" s="87">
        <f t="shared" si="130"/>
        <v>-3213</v>
      </c>
      <c r="G245" s="25"/>
      <c r="I245" s="53"/>
      <c r="J245" s="26"/>
      <c r="K245" s="29">
        <f t="shared" si="131"/>
        <v>-216</v>
      </c>
      <c r="M245" s="300"/>
      <c r="N245" s="66"/>
      <c r="O245" s="98"/>
      <c r="P245" s="28"/>
      <c r="Q245" s="230"/>
      <c r="R245" s="29">
        <f t="shared" si="132"/>
        <v>0</v>
      </c>
      <c r="S245" s="54">
        <f t="shared" si="133"/>
        <v>0</v>
      </c>
      <c r="U245" s="53"/>
      <c r="V245" s="29"/>
      <c r="W245" s="29">
        <f t="shared" si="134"/>
        <v>-3075</v>
      </c>
      <c r="Y245" s="300"/>
      <c r="Z245" s="63"/>
      <c r="AA245" s="27"/>
      <c r="AB245" s="28"/>
      <c r="AC245" s="43"/>
      <c r="AD245" s="29">
        <f t="shared" si="136"/>
        <v>36</v>
      </c>
      <c r="AE245" s="29">
        <f t="shared" si="137"/>
        <v>39</v>
      </c>
      <c r="AF245" s="29"/>
      <c r="AG245" s="54"/>
    </row>
    <row r="246" spans="1:38" s="12" customFormat="1" hidden="1" outlineLevel="1" collapsed="1">
      <c r="A246" s="95">
        <v>45844</v>
      </c>
      <c r="B246" s="25" t="s">
        <v>17</v>
      </c>
      <c r="C246" s="98"/>
      <c r="D246" s="99">
        <f t="shared" ref="D246:D277" si="146">J246+V246</f>
        <v>0</v>
      </c>
      <c r="E246" s="87">
        <f t="shared" ref="E246:E277" si="147">E245-C246+D246</f>
        <v>-3213</v>
      </c>
      <c r="G246" s="25"/>
      <c r="I246" s="53"/>
      <c r="J246" s="26"/>
      <c r="K246" s="29">
        <f t="shared" ref="K246:K277" si="148">J246-I246+K245</f>
        <v>-216</v>
      </c>
      <c r="M246" s="300"/>
      <c r="N246" s="66"/>
      <c r="O246" s="98"/>
      <c r="P246" s="28"/>
      <c r="Q246" s="230"/>
      <c r="R246" s="29">
        <f t="shared" ref="R246:R277" si="149">R245-M246+Q246</f>
        <v>0</v>
      </c>
      <c r="S246" s="54">
        <f t="shared" ref="S246:S277" si="150">S245-M246+N246</f>
        <v>0</v>
      </c>
      <c r="U246" s="53"/>
      <c r="V246" s="29"/>
      <c r="W246" s="29">
        <f t="shared" ref="W246:W277" si="151">V246-U246+W245</f>
        <v>-3075</v>
      </c>
      <c r="Y246" s="300"/>
      <c r="Z246" s="63"/>
      <c r="AA246" s="27"/>
      <c r="AB246" s="28"/>
      <c r="AC246" s="43"/>
      <c r="AD246" s="29">
        <f t="shared" ref="AD246:AD277" si="152">AD245-Y246+AC246</f>
        <v>36</v>
      </c>
      <c r="AE246" s="29">
        <f t="shared" ref="AE246:AE277" si="153">AE245-Y246+Z246</f>
        <v>39</v>
      </c>
      <c r="AF246" s="29"/>
      <c r="AG246" s="54"/>
    </row>
    <row r="247" spans="1:38" hidden="1" outlineLevel="1">
      <c r="A247" s="96">
        <v>45845</v>
      </c>
      <c r="B247" s="17" t="s">
        <v>18</v>
      </c>
      <c r="C247" s="18">
        <v>48</v>
      </c>
      <c r="D247" s="100">
        <f t="shared" si="146"/>
        <v>0</v>
      </c>
      <c r="E247" s="22">
        <f t="shared" si="147"/>
        <v>-3261</v>
      </c>
      <c r="G247" s="17"/>
      <c r="I247" s="51">
        <f>IF(M248&lt;&gt;"",N248,IF(M249&lt;&gt;"",N249,IF(M250&lt;&gt;"",N250,IF(M499&lt;&gt;"",N499,IF(M500&lt;&gt;"",N500,IF(M501&lt;&gt;"",N501))))))</f>
        <v>6</v>
      </c>
      <c r="J247" s="18"/>
      <c r="K247" s="23">
        <f t="shared" si="148"/>
        <v>-222</v>
      </c>
      <c r="M247" s="203">
        <v>9</v>
      </c>
      <c r="N247" s="65">
        <f t="shared" ref="N247:N251" si="154">M247+O247</f>
        <v>9</v>
      </c>
      <c r="O247" s="101"/>
      <c r="P247" s="21"/>
      <c r="Q247" s="192">
        <v>9</v>
      </c>
      <c r="R247" s="23">
        <f t="shared" si="149"/>
        <v>0</v>
      </c>
      <c r="S247" s="52">
        <f t="shared" si="150"/>
        <v>0</v>
      </c>
      <c r="U247" s="51">
        <f t="shared" ref="U247:U251" si="155">C247-I247</f>
        <v>42</v>
      </c>
      <c r="V247" s="23"/>
      <c r="W247" s="23">
        <f t="shared" si="151"/>
        <v>-3117</v>
      </c>
      <c r="Y247" s="203">
        <v>54</v>
      </c>
      <c r="Z247" s="62">
        <f t="shared" ref="Z247:Z277" si="156">IF(U246&lt;&gt;"",U246+AA247,IF(U245&lt;&gt;"",U245+AA247,IF(U244&lt;&gt;"",U244+AA247,IF(U243&lt;&gt;"",U243+AA247,IF(U242&lt;&gt;"",U242+AA247,IF(U241&lt;&gt;"",U241+AA247,IF(U240&lt;&gt;"",U240+AA247)))))))</f>
        <v>36</v>
      </c>
      <c r="AA247" s="20"/>
      <c r="AB247" s="21"/>
      <c r="AC247" s="57">
        <v>36</v>
      </c>
      <c r="AD247" s="23">
        <f t="shared" si="152"/>
        <v>18</v>
      </c>
      <c r="AE247" s="23">
        <f t="shared" si="153"/>
        <v>21</v>
      </c>
      <c r="AF247" s="23"/>
      <c r="AG247" s="52">
        <v>22</v>
      </c>
    </row>
    <row r="248" spans="1:38" hidden="1" outlineLevel="1">
      <c r="A248" s="96">
        <v>45846</v>
      </c>
      <c r="B248" s="17" t="s">
        <v>19</v>
      </c>
      <c r="C248" s="18">
        <v>48</v>
      </c>
      <c r="D248" s="100">
        <f t="shared" si="146"/>
        <v>0</v>
      </c>
      <c r="E248" s="22">
        <f t="shared" si="147"/>
        <v>-3309</v>
      </c>
      <c r="G248" s="17"/>
      <c r="I248" s="51">
        <f>IF(M249&lt;&gt;"",N249,IF(M250&lt;&gt;"",N250,IF(M251&lt;&gt;"",N251,IF(M500&lt;&gt;"",N500,IF(M501&lt;&gt;"",N501,IF(M502&lt;&gt;"",N502))))))</f>
        <v>9</v>
      </c>
      <c r="J248" s="18"/>
      <c r="K248" s="23">
        <f t="shared" si="148"/>
        <v>-231</v>
      </c>
      <c r="M248" s="78">
        <v>6</v>
      </c>
      <c r="N248" s="65">
        <f t="shared" si="154"/>
        <v>6</v>
      </c>
      <c r="O248" s="101"/>
      <c r="P248" s="21"/>
      <c r="Q248" s="192">
        <v>6</v>
      </c>
      <c r="R248" s="23">
        <f t="shared" si="149"/>
        <v>0</v>
      </c>
      <c r="S248" s="52">
        <f t="shared" si="150"/>
        <v>0</v>
      </c>
      <c r="U248" s="51">
        <f t="shared" si="155"/>
        <v>39</v>
      </c>
      <c r="V248" s="23"/>
      <c r="W248" s="23">
        <f t="shared" si="151"/>
        <v>-3156</v>
      </c>
      <c r="Y248" s="78">
        <v>48</v>
      </c>
      <c r="Z248" s="62">
        <f t="shared" si="156"/>
        <v>42</v>
      </c>
      <c r="AA248" s="20"/>
      <c r="AB248" s="21"/>
      <c r="AC248" s="57">
        <v>42</v>
      </c>
      <c r="AD248" s="23">
        <f t="shared" si="152"/>
        <v>12</v>
      </c>
      <c r="AE248" s="23">
        <f t="shared" si="153"/>
        <v>15</v>
      </c>
      <c r="AF248" s="23"/>
      <c r="AG248" s="52">
        <f>10+18</f>
        <v>28</v>
      </c>
    </row>
    <row r="249" spans="1:38" hidden="1" outlineLevel="1">
      <c r="A249" s="96">
        <v>45847</v>
      </c>
      <c r="B249" s="17" t="s">
        <v>20</v>
      </c>
      <c r="C249" s="18">
        <v>57</v>
      </c>
      <c r="D249" s="100">
        <f t="shared" si="146"/>
        <v>0</v>
      </c>
      <c r="E249" s="22">
        <f t="shared" si="147"/>
        <v>-3366</v>
      </c>
      <c r="G249" s="17"/>
      <c r="I249" s="51">
        <f>IF(M250&lt;&gt;"",N250,IF(M251&lt;&gt;"",N251,IF(M252&lt;&gt;"",N252,IF(M501&lt;&gt;"",N501,IF(M502&lt;&gt;"",N502,IF(M503&lt;&gt;"",N503))))))</f>
        <v>9</v>
      </c>
      <c r="J249" s="18"/>
      <c r="K249" s="23">
        <f t="shared" si="148"/>
        <v>-240</v>
      </c>
      <c r="M249" s="78">
        <v>9</v>
      </c>
      <c r="N249" s="65">
        <f t="shared" si="154"/>
        <v>9</v>
      </c>
      <c r="O249" s="101"/>
      <c r="P249" s="21"/>
      <c r="Q249" s="192">
        <v>9</v>
      </c>
      <c r="R249" s="23">
        <f t="shared" si="149"/>
        <v>0</v>
      </c>
      <c r="S249" s="52">
        <f t="shared" si="150"/>
        <v>0</v>
      </c>
      <c r="U249" s="51">
        <f t="shared" si="155"/>
        <v>48</v>
      </c>
      <c r="V249" s="23"/>
      <c r="W249" s="23">
        <f t="shared" si="151"/>
        <v>-3204</v>
      </c>
      <c r="Y249" s="78">
        <v>51</v>
      </c>
      <c r="Z249" s="62">
        <f t="shared" si="156"/>
        <v>39</v>
      </c>
      <c r="AA249" s="20"/>
      <c r="AB249" s="21"/>
      <c r="AC249" s="57">
        <v>39</v>
      </c>
      <c r="AD249" s="23">
        <f t="shared" si="152"/>
        <v>0</v>
      </c>
      <c r="AE249" s="23">
        <f t="shared" si="153"/>
        <v>3</v>
      </c>
      <c r="AF249" s="23"/>
      <c r="AG249" s="52">
        <v>17</v>
      </c>
    </row>
    <row r="250" spans="1:38" hidden="1" outlineLevel="1">
      <c r="A250" s="96">
        <v>45848</v>
      </c>
      <c r="B250" s="17" t="s">
        <v>14</v>
      </c>
      <c r="C250" s="18">
        <v>54</v>
      </c>
      <c r="D250" s="100">
        <f t="shared" si="146"/>
        <v>0</v>
      </c>
      <c r="E250" s="22">
        <f t="shared" si="147"/>
        <v>-3420</v>
      </c>
      <c r="G250" s="17"/>
      <c r="I250" s="51">
        <f>IF(M251&lt;&gt;"",N251,IF(M252&lt;&gt;"",N252,IF(M253&lt;&gt;"",N253,IF(M502&lt;&gt;"",N502,IF(M503&lt;&gt;"",N503,IF(M504&lt;&gt;"",N504))))))</f>
        <v>6</v>
      </c>
      <c r="J250" s="18"/>
      <c r="K250" s="23">
        <f t="shared" si="148"/>
        <v>-246</v>
      </c>
      <c r="M250" s="78">
        <v>9</v>
      </c>
      <c r="N250" s="65">
        <f t="shared" si="154"/>
        <v>9</v>
      </c>
      <c r="O250" s="101"/>
      <c r="P250" s="21"/>
      <c r="Q250" s="192">
        <v>9</v>
      </c>
      <c r="R250" s="23">
        <f t="shared" si="149"/>
        <v>0</v>
      </c>
      <c r="S250" s="52">
        <f t="shared" si="150"/>
        <v>0</v>
      </c>
      <c r="U250" s="51">
        <f t="shared" si="155"/>
        <v>48</v>
      </c>
      <c r="V250" s="23"/>
      <c r="W250" s="23">
        <f t="shared" si="151"/>
        <v>-3252</v>
      </c>
      <c r="Y250" s="78">
        <v>48</v>
      </c>
      <c r="Z250" s="62">
        <f t="shared" si="156"/>
        <v>48</v>
      </c>
      <c r="AA250" s="20"/>
      <c r="AB250" s="21"/>
      <c r="AC250" s="57">
        <v>48</v>
      </c>
      <c r="AD250" s="23">
        <f t="shared" si="152"/>
        <v>0</v>
      </c>
      <c r="AE250" s="23">
        <f t="shared" si="153"/>
        <v>3</v>
      </c>
      <c r="AF250" s="23"/>
      <c r="AG250" s="52">
        <v>25</v>
      </c>
    </row>
    <row r="251" spans="1:38" hidden="1" outlineLevel="1">
      <c r="A251" s="96">
        <v>45849</v>
      </c>
      <c r="B251" s="17" t="s">
        <v>15</v>
      </c>
      <c r="C251" s="18">
        <v>54</v>
      </c>
      <c r="D251" s="100">
        <f t="shared" si="146"/>
        <v>0</v>
      </c>
      <c r="E251" s="22">
        <f t="shared" si="147"/>
        <v>-3474</v>
      </c>
      <c r="G251" s="17"/>
      <c r="I251" s="51">
        <f>IF(M252&lt;&gt;"",N252,IF(M253&lt;&gt;"",N253,IF(M254&lt;&gt;"",N254,IF(M503&lt;&gt;"",N503,IF(M504&lt;&gt;"",N504,IF(M505&lt;&gt;"",N505))))))</f>
        <v>9</v>
      </c>
      <c r="J251" s="18"/>
      <c r="K251" s="23">
        <f t="shared" si="148"/>
        <v>-255</v>
      </c>
      <c r="M251" s="78">
        <v>6</v>
      </c>
      <c r="N251" s="65">
        <f t="shared" si="154"/>
        <v>6</v>
      </c>
      <c r="O251" s="101"/>
      <c r="P251" s="21"/>
      <c r="Q251" s="192">
        <v>6</v>
      </c>
      <c r="R251" s="23">
        <f t="shared" si="149"/>
        <v>0</v>
      </c>
      <c r="S251" s="52">
        <f t="shared" si="150"/>
        <v>0</v>
      </c>
      <c r="U251" s="51">
        <f t="shared" si="155"/>
        <v>45</v>
      </c>
      <c r="V251" s="23"/>
      <c r="W251" s="23">
        <f t="shared" si="151"/>
        <v>-3297</v>
      </c>
      <c r="Y251" s="78">
        <v>48</v>
      </c>
      <c r="Z251" s="62">
        <f t="shared" si="156"/>
        <v>48</v>
      </c>
      <c r="AA251" s="20"/>
      <c r="AB251" s="21"/>
      <c r="AC251" s="57">
        <v>48</v>
      </c>
      <c r="AD251" s="23">
        <f t="shared" si="152"/>
        <v>0</v>
      </c>
      <c r="AE251" s="23">
        <f t="shared" si="153"/>
        <v>3</v>
      </c>
      <c r="AF251" s="23"/>
      <c r="AG251" s="52">
        <v>25</v>
      </c>
      <c r="AI251">
        <f>SUM(M247:M251,Y247:Y251)/COUNT(Y247:Y251)</f>
        <v>57.6</v>
      </c>
    </row>
    <row r="252" spans="1:38" s="12" customFormat="1" hidden="1" outlineLevel="1">
      <c r="A252" s="95">
        <v>45850</v>
      </c>
      <c r="B252" s="25" t="s">
        <v>16</v>
      </c>
      <c r="C252" s="98"/>
      <c r="D252" s="99">
        <f t="shared" si="146"/>
        <v>0</v>
      </c>
      <c r="E252" s="87">
        <f t="shared" si="147"/>
        <v>-3474</v>
      </c>
      <c r="G252" s="25"/>
      <c r="I252" s="53"/>
      <c r="J252" s="26"/>
      <c r="K252" s="29">
        <f t="shared" si="148"/>
        <v>-255</v>
      </c>
      <c r="M252" s="79"/>
      <c r="N252" s="66"/>
      <c r="O252" s="98"/>
      <c r="P252" s="28"/>
      <c r="Q252" s="230"/>
      <c r="R252" s="29">
        <f t="shared" si="149"/>
        <v>0</v>
      </c>
      <c r="S252" s="54">
        <f t="shared" si="150"/>
        <v>0</v>
      </c>
      <c r="U252" s="53"/>
      <c r="V252" s="29"/>
      <c r="W252" s="29">
        <f t="shared" si="151"/>
        <v>-3297</v>
      </c>
      <c r="Y252" s="79"/>
      <c r="Z252" s="63"/>
      <c r="AA252" s="27"/>
      <c r="AB252" s="28"/>
      <c r="AC252" s="43"/>
      <c r="AD252" s="29">
        <f t="shared" si="152"/>
        <v>0</v>
      </c>
      <c r="AE252" s="29">
        <f t="shared" si="153"/>
        <v>3</v>
      </c>
      <c r="AF252" s="29"/>
      <c r="AG252" s="54"/>
    </row>
    <row r="253" spans="1:38" s="12" customFormat="1" hidden="1" outlineLevel="1" collapsed="1">
      <c r="A253" s="95">
        <v>45851</v>
      </c>
      <c r="B253" s="25" t="s">
        <v>17</v>
      </c>
      <c r="C253" s="98"/>
      <c r="D253" s="99">
        <f t="shared" si="146"/>
        <v>0</v>
      </c>
      <c r="E253" s="87">
        <f t="shared" si="147"/>
        <v>-3474</v>
      </c>
      <c r="G253" s="25"/>
      <c r="I253" s="53"/>
      <c r="J253" s="26"/>
      <c r="K253" s="29">
        <f t="shared" si="148"/>
        <v>-255</v>
      </c>
      <c r="M253" s="79"/>
      <c r="N253" s="66"/>
      <c r="O253" s="98"/>
      <c r="P253" s="28"/>
      <c r="Q253" s="230"/>
      <c r="R253" s="29">
        <f t="shared" si="149"/>
        <v>0</v>
      </c>
      <c r="S253" s="54">
        <f t="shared" si="150"/>
        <v>0</v>
      </c>
      <c r="U253" s="53"/>
      <c r="V253" s="29"/>
      <c r="W253" s="29">
        <f t="shared" si="151"/>
        <v>-3297</v>
      </c>
      <c r="Y253" s="79"/>
      <c r="Z253" s="63"/>
      <c r="AA253" s="27"/>
      <c r="AB253" s="28"/>
      <c r="AC253" s="43"/>
      <c r="AD253" s="29">
        <f t="shared" si="152"/>
        <v>0</v>
      </c>
      <c r="AE253" s="29">
        <f t="shared" si="153"/>
        <v>3</v>
      </c>
      <c r="AF253" s="29"/>
      <c r="AG253" s="54"/>
    </row>
    <row r="254" spans="1:38" hidden="1" outlineLevel="1">
      <c r="A254" s="96">
        <v>45852</v>
      </c>
      <c r="B254" s="17" t="s">
        <v>18</v>
      </c>
      <c r="C254" s="18">
        <v>66</v>
      </c>
      <c r="D254" s="100">
        <f t="shared" si="146"/>
        <v>0</v>
      </c>
      <c r="E254" s="22">
        <f t="shared" si="147"/>
        <v>-3540</v>
      </c>
      <c r="G254" s="17"/>
      <c r="I254" s="51">
        <f>IF(M255&lt;&gt;"",N255,IF(M256&lt;&gt;"",N256,IF(M257&lt;&gt;"",N257,IF(M506&lt;&gt;"",N506,IF(M507&lt;&gt;"",N507,IF(M508&lt;&gt;"",N508))))))</f>
        <v>9</v>
      </c>
      <c r="J254" s="18"/>
      <c r="K254" s="23">
        <f t="shared" si="148"/>
        <v>-264</v>
      </c>
      <c r="M254" s="78">
        <v>9</v>
      </c>
      <c r="N254" s="65">
        <f t="shared" ref="N254:N258" si="157">M254+O254</f>
        <v>9</v>
      </c>
      <c r="O254" s="101"/>
      <c r="P254" s="21"/>
      <c r="Q254" s="192">
        <v>9</v>
      </c>
      <c r="R254" s="23">
        <f t="shared" si="149"/>
        <v>0</v>
      </c>
      <c r="S254" s="52">
        <f t="shared" si="150"/>
        <v>0</v>
      </c>
      <c r="U254" s="51">
        <f t="shared" ref="U254:U258" si="158">C254-I254</f>
        <v>57</v>
      </c>
      <c r="V254" s="23"/>
      <c r="W254" s="23">
        <f t="shared" si="151"/>
        <v>-3354</v>
      </c>
      <c r="Y254" s="78">
        <v>48</v>
      </c>
      <c r="Z254" s="62">
        <f t="shared" si="156"/>
        <v>45</v>
      </c>
      <c r="AA254" s="20"/>
      <c r="AB254" s="21"/>
      <c r="AC254" s="57">
        <v>45</v>
      </c>
      <c r="AD254" s="23">
        <f t="shared" si="152"/>
        <v>-3</v>
      </c>
      <c r="AE254" s="23">
        <f t="shared" si="153"/>
        <v>0</v>
      </c>
      <c r="AF254" s="23"/>
      <c r="AG254" s="52">
        <v>22</v>
      </c>
    </row>
    <row r="255" spans="1:38" hidden="1" outlineLevel="1">
      <c r="A255" s="96">
        <v>45853</v>
      </c>
      <c r="B255" s="17" t="s">
        <v>19</v>
      </c>
      <c r="C255" s="18">
        <v>63</v>
      </c>
      <c r="D255" s="100">
        <f t="shared" si="146"/>
        <v>0</v>
      </c>
      <c r="E255" s="22">
        <f t="shared" si="147"/>
        <v>-3603</v>
      </c>
      <c r="G255" s="17"/>
      <c r="I255" s="51">
        <f>IF(M256&lt;&gt;"",N256,IF(M257&lt;&gt;"",N257,IF(M258&lt;&gt;"",N258,IF(M507&lt;&gt;"",N507,IF(M508&lt;&gt;"",N508,IF(M509&lt;&gt;"",N509))))))</f>
        <v>6</v>
      </c>
      <c r="J255" s="18"/>
      <c r="K255" s="23">
        <f t="shared" si="148"/>
        <v>-270</v>
      </c>
      <c r="M255" s="78">
        <v>9</v>
      </c>
      <c r="N255" s="65">
        <f t="shared" si="157"/>
        <v>9</v>
      </c>
      <c r="O255" s="101"/>
      <c r="P255" s="21"/>
      <c r="Q255" s="192">
        <v>9</v>
      </c>
      <c r="R255" s="23">
        <f t="shared" si="149"/>
        <v>0</v>
      </c>
      <c r="S255" s="52">
        <f t="shared" si="150"/>
        <v>0</v>
      </c>
      <c r="U255" s="51">
        <f t="shared" si="158"/>
        <v>57</v>
      </c>
      <c r="V255" s="23"/>
      <c r="W255" s="23">
        <f t="shared" si="151"/>
        <v>-3411</v>
      </c>
      <c r="Y255" s="78">
        <v>48</v>
      </c>
      <c r="Z255" s="62">
        <f t="shared" si="156"/>
        <v>57</v>
      </c>
      <c r="AA255" s="20"/>
      <c r="AB255" s="21"/>
      <c r="AC255" s="57">
        <v>57</v>
      </c>
      <c r="AD255" s="23">
        <f t="shared" si="152"/>
        <v>6</v>
      </c>
      <c r="AE255" s="23">
        <f t="shared" si="153"/>
        <v>9</v>
      </c>
      <c r="AF255" s="23"/>
      <c r="AG255" s="52">
        <v>23</v>
      </c>
    </row>
    <row r="256" spans="1:38" hidden="1" outlineLevel="1">
      <c r="A256" s="96">
        <v>45854</v>
      </c>
      <c r="B256" s="17" t="s">
        <v>20</v>
      </c>
      <c r="C256" s="18">
        <v>63</v>
      </c>
      <c r="D256" s="100">
        <f t="shared" si="146"/>
        <v>0</v>
      </c>
      <c r="E256" s="22">
        <f t="shared" si="147"/>
        <v>-3666</v>
      </c>
      <c r="G256" s="17"/>
      <c r="I256" s="51">
        <f>IF(M257&lt;&gt;"",N257,IF(M258&lt;&gt;"",N258,IF(M259&lt;&gt;"",N259,IF(M508&lt;&gt;"",N508,IF(M509&lt;&gt;"",N509,IF(M510&lt;&gt;"",N510))))))</f>
        <v>9</v>
      </c>
      <c r="J256" s="18"/>
      <c r="K256" s="23">
        <f t="shared" si="148"/>
        <v>-279</v>
      </c>
      <c r="M256" s="78">
        <v>6</v>
      </c>
      <c r="N256" s="65">
        <f t="shared" si="157"/>
        <v>6</v>
      </c>
      <c r="O256" s="101"/>
      <c r="P256" s="21"/>
      <c r="Q256" s="192">
        <v>6</v>
      </c>
      <c r="R256" s="23">
        <f t="shared" si="149"/>
        <v>0</v>
      </c>
      <c r="S256" s="52">
        <f t="shared" si="150"/>
        <v>0</v>
      </c>
      <c r="U256" s="51">
        <f t="shared" si="158"/>
        <v>54</v>
      </c>
      <c r="V256" s="23"/>
      <c r="W256" s="23">
        <f t="shared" si="151"/>
        <v>-3465</v>
      </c>
      <c r="Y256" s="78">
        <v>63</v>
      </c>
      <c r="Z256" s="62">
        <f t="shared" si="156"/>
        <v>57</v>
      </c>
      <c r="AA256" s="20"/>
      <c r="AB256" s="21"/>
      <c r="AC256" s="57">
        <v>57</v>
      </c>
      <c r="AD256" s="23">
        <f t="shared" si="152"/>
        <v>0</v>
      </c>
      <c r="AE256" s="23">
        <f t="shared" si="153"/>
        <v>3</v>
      </c>
      <c r="AF256" s="23"/>
      <c r="AG256" s="52">
        <v>30</v>
      </c>
    </row>
    <row r="257" spans="1:35" hidden="1" outlineLevel="1">
      <c r="A257" s="96">
        <v>45855</v>
      </c>
      <c r="B257" s="17" t="s">
        <v>14</v>
      </c>
      <c r="C257" s="18">
        <v>63</v>
      </c>
      <c r="D257" s="100">
        <f t="shared" si="146"/>
        <v>0</v>
      </c>
      <c r="E257" s="22">
        <f t="shared" si="147"/>
        <v>-3729</v>
      </c>
      <c r="G257" s="17"/>
      <c r="I257" s="51">
        <f>IF(M258&lt;&gt;"",N258,IF(M259&lt;&gt;"",N259,IF(M260&lt;&gt;"",N260,IF(M509&lt;&gt;"",N509,IF(M510&lt;&gt;"",N510,IF(M511&lt;&gt;"",N511))))))</f>
        <v>6</v>
      </c>
      <c r="J257" s="18"/>
      <c r="K257" s="23">
        <f t="shared" si="148"/>
        <v>-285</v>
      </c>
      <c r="M257" s="78">
        <v>9</v>
      </c>
      <c r="N257" s="65">
        <f t="shared" si="157"/>
        <v>9</v>
      </c>
      <c r="O257" s="101"/>
      <c r="P257" s="21"/>
      <c r="Q257" s="192">
        <v>9</v>
      </c>
      <c r="R257" s="23">
        <f t="shared" si="149"/>
        <v>0</v>
      </c>
      <c r="S257" s="52">
        <f t="shared" si="150"/>
        <v>0</v>
      </c>
      <c r="U257" s="51">
        <f t="shared" si="158"/>
        <v>57</v>
      </c>
      <c r="V257" s="23"/>
      <c r="W257" s="23">
        <f t="shared" si="151"/>
        <v>-3522</v>
      </c>
      <c r="Y257" s="78">
        <v>51</v>
      </c>
      <c r="Z257" s="62">
        <f t="shared" si="156"/>
        <v>54</v>
      </c>
      <c r="AA257" s="20"/>
      <c r="AB257" s="21"/>
      <c r="AC257" s="57">
        <v>54</v>
      </c>
      <c r="AD257" s="23">
        <f t="shared" si="152"/>
        <v>3</v>
      </c>
      <c r="AE257" s="23">
        <f t="shared" si="153"/>
        <v>6</v>
      </c>
      <c r="AF257" s="23"/>
      <c r="AG257" s="52">
        <v>23</v>
      </c>
    </row>
    <row r="258" spans="1:35" hidden="1" outlineLevel="1">
      <c r="A258" s="96">
        <v>45856</v>
      </c>
      <c r="B258" s="17" t="s">
        <v>15</v>
      </c>
      <c r="C258" s="18">
        <v>57</v>
      </c>
      <c r="D258" s="100">
        <f t="shared" si="146"/>
        <v>0</v>
      </c>
      <c r="E258" s="22">
        <f t="shared" si="147"/>
        <v>-3786</v>
      </c>
      <c r="G258" s="17"/>
      <c r="I258" s="51">
        <f>M262</f>
        <v>6</v>
      </c>
      <c r="J258" s="18"/>
      <c r="K258" s="23">
        <f t="shared" si="148"/>
        <v>-291</v>
      </c>
      <c r="M258" s="78">
        <v>6</v>
      </c>
      <c r="N258" s="65">
        <f t="shared" si="157"/>
        <v>6</v>
      </c>
      <c r="O258" s="101"/>
      <c r="P258" s="21"/>
      <c r="Q258" s="192">
        <v>6</v>
      </c>
      <c r="R258" s="23">
        <f t="shared" si="149"/>
        <v>0</v>
      </c>
      <c r="S258" s="52">
        <f t="shared" si="150"/>
        <v>0</v>
      </c>
      <c r="U258" s="51">
        <f t="shared" si="158"/>
        <v>51</v>
      </c>
      <c r="V258" s="23"/>
      <c r="W258" s="23">
        <f t="shared" si="151"/>
        <v>-3573</v>
      </c>
      <c r="Y258" s="78">
        <v>63</v>
      </c>
      <c r="Z258" s="62">
        <f t="shared" si="156"/>
        <v>57</v>
      </c>
      <c r="AA258" s="20"/>
      <c r="AB258" s="21"/>
      <c r="AC258" s="57">
        <f>54+3</f>
        <v>57</v>
      </c>
      <c r="AD258" s="23">
        <f t="shared" si="152"/>
        <v>-3</v>
      </c>
      <c r="AE258" s="23">
        <f t="shared" si="153"/>
        <v>0</v>
      </c>
      <c r="AF258" s="23"/>
      <c r="AG258" s="52">
        <f>50+30</f>
        <v>80</v>
      </c>
      <c r="AI258">
        <f>SUM(M254:M258,Y254:Y258)/COUNT(Y254:Y258)</f>
        <v>62.4</v>
      </c>
    </row>
    <row r="259" spans="1:35" s="12" customFormat="1" hidden="1" outlineLevel="1">
      <c r="A259" s="95">
        <v>45857</v>
      </c>
      <c r="B259" s="25" t="s">
        <v>16</v>
      </c>
      <c r="C259" s="98"/>
      <c r="D259" s="99">
        <f t="shared" si="146"/>
        <v>0</v>
      </c>
      <c r="E259" s="87">
        <f t="shared" si="147"/>
        <v>-3786</v>
      </c>
      <c r="G259" s="25"/>
      <c r="I259" s="53"/>
      <c r="J259" s="26"/>
      <c r="K259" s="29">
        <f t="shared" si="148"/>
        <v>-291</v>
      </c>
      <c r="M259" s="79"/>
      <c r="N259" s="66"/>
      <c r="O259" s="98"/>
      <c r="P259" s="28"/>
      <c r="Q259" s="230"/>
      <c r="R259" s="29">
        <f t="shared" si="149"/>
        <v>0</v>
      </c>
      <c r="S259" s="54">
        <f t="shared" si="150"/>
        <v>0</v>
      </c>
      <c r="U259" s="53"/>
      <c r="V259" s="29"/>
      <c r="W259" s="29">
        <f t="shared" si="151"/>
        <v>-3573</v>
      </c>
      <c r="Y259" s="79"/>
      <c r="Z259" s="63"/>
      <c r="AA259" s="27"/>
      <c r="AB259" s="28"/>
      <c r="AC259" s="43"/>
      <c r="AD259" s="29">
        <f t="shared" si="152"/>
        <v>-3</v>
      </c>
      <c r="AE259" s="29">
        <f t="shared" si="153"/>
        <v>0</v>
      </c>
      <c r="AF259" s="29"/>
      <c r="AG259" s="54"/>
    </row>
    <row r="260" spans="1:35" s="12" customFormat="1" hidden="1" outlineLevel="1" collapsed="1">
      <c r="A260" s="95">
        <v>45858</v>
      </c>
      <c r="B260" s="25" t="s">
        <v>17</v>
      </c>
      <c r="C260" s="98"/>
      <c r="D260" s="99">
        <f t="shared" si="146"/>
        <v>0</v>
      </c>
      <c r="E260" s="87">
        <f t="shared" si="147"/>
        <v>-3786</v>
      </c>
      <c r="G260" s="25"/>
      <c r="I260" s="53"/>
      <c r="J260" s="26"/>
      <c r="K260" s="29">
        <f t="shared" si="148"/>
        <v>-291</v>
      </c>
      <c r="M260" s="79"/>
      <c r="N260" s="66"/>
      <c r="O260" s="98"/>
      <c r="P260" s="28"/>
      <c r="Q260" s="230"/>
      <c r="R260" s="29">
        <f t="shared" si="149"/>
        <v>0</v>
      </c>
      <c r="S260" s="54">
        <f t="shared" si="150"/>
        <v>0</v>
      </c>
      <c r="U260" s="53"/>
      <c r="V260" s="29"/>
      <c r="W260" s="29">
        <f t="shared" si="151"/>
        <v>-3573</v>
      </c>
      <c r="Y260" s="79"/>
      <c r="Z260" s="63"/>
      <c r="AA260" s="27"/>
      <c r="AB260" s="28"/>
      <c r="AC260" s="43"/>
      <c r="AD260" s="29">
        <f t="shared" si="152"/>
        <v>-3</v>
      </c>
      <c r="AE260" s="29">
        <f t="shared" si="153"/>
        <v>0</v>
      </c>
      <c r="AF260" s="29"/>
      <c r="AG260" s="54"/>
    </row>
    <row r="261" spans="1:35" s="12" customFormat="1" hidden="1" outlineLevel="1">
      <c r="A261" s="95">
        <v>45859</v>
      </c>
      <c r="B261" s="25" t="s">
        <v>18</v>
      </c>
      <c r="C261" s="98"/>
      <c r="D261" s="99">
        <f t="shared" si="146"/>
        <v>0</v>
      </c>
      <c r="E261" s="87">
        <f t="shared" si="147"/>
        <v>-3786</v>
      </c>
      <c r="G261" s="25"/>
      <c r="I261" s="53"/>
      <c r="J261" s="26"/>
      <c r="K261" s="29">
        <f t="shared" si="148"/>
        <v>-291</v>
      </c>
      <c r="M261" s="79"/>
      <c r="N261" s="66"/>
      <c r="O261" s="98"/>
      <c r="P261" s="28"/>
      <c r="Q261" s="230"/>
      <c r="R261" s="29">
        <f t="shared" si="149"/>
        <v>0</v>
      </c>
      <c r="S261" s="54">
        <f t="shared" si="150"/>
        <v>0</v>
      </c>
      <c r="U261" s="53"/>
      <c r="V261" s="29"/>
      <c r="W261" s="29">
        <f t="shared" si="151"/>
        <v>-3573</v>
      </c>
      <c r="Y261" s="79"/>
      <c r="Z261" s="63"/>
      <c r="AA261" s="27"/>
      <c r="AB261" s="28"/>
      <c r="AC261" s="43"/>
      <c r="AD261" s="29">
        <f t="shared" si="152"/>
        <v>-3</v>
      </c>
      <c r="AE261" s="29">
        <f t="shared" si="153"/>
        <v>0</v>
      </c>
      <c r="AF261" s="29"/>
      <c r="AG261" s="54"/>
    </row>
    <row r="262" spans="1:35" hidden="1" outlineLevel="1">
      <c r="A262" s="96">
        <v>45860</v>
      </c>
      <c r="B262" s="17" t="s">
        <v>19</v>
      </c>
      <c r="C262" s="18">
        <v>69</v>
      </c>
      <c r="D262" s="100">
        <f t="shared" si="146"/>
        <v>0</v>
      </c>
      <c r="E262" s="22">
        <f t="shared" si="147"/>
        <v>-3855</v>
      </c>
      <c r="G262" s="17"/>
      <c r="I262" s="51">
        <f>IF(M263&lt;&gt;"",N263,IF(M264&lt;&gt;"",N264,IF(M265&lt;&gt;"",N265,IF(M514&lt;&gt;"",N514,IF(M515&lt;&gt;"",N515,IF(M516&lt;&gt;"",N516))))))</f>
        <v>9</v>
      </c>
      <c r="J262" s="18"/>
      <c r="K262" s="23">
        <f t="shared" si="148"/>
        <v>-300</v>
      </c>
      <c r="M262" s="78">
        <v>6</v>
      </c>
      <c r="N262" s="65">
        <f t="shared" ref="N262:N265" si="159">M262+O262</f>
        <v>6</v>
      </c>
      <c r="O262" s="101"/>
      <c r="P262" s="21"/>
      <c r="Q262" s="192">
        <v>6</v>
      </c>
      <c r="R262" s="23">
        <f t="shared" si="149"/>
        <v>0</v>
      </c>
      <c r="S262" s="52">
        <f t="shared" si="150"/>
        <v>0</v>
      </c>
      <c r="U262" s="51">
        <f t="shared" ref="U262:U265" si="160">C262-I262</f>
        <v>60</v>
      </c>
      <c r="V262" s="23"/>
      <c r="W262" s="23">
        <f t="shared" si="151"/>
        <v>-3633</v>
      </c>
      <c r="Y262" s="78">
        <v>39</v>
      </c>
      <c r="Z262" s="62">
        <f t="shared" si="156"/>
        <v>51</v>
      </c>
      <c r="AA262" s="20"/>
      <c r="AB262" s="21"/>
      <c r="AC262" s="57">
        <v>51</v>
      </c>
      <c r="AD262" s="23">
        <f t="shared" si="152"/>
        <v>9</v>
      </c>
      <c r="AE262" s="23">
        <f t="shared" si="153"/>
        <v>12</v>
      </c>
      <c r="AF262" s="23"/>
      <c r="AG262" s="52">
        <v>25</v>
      </c>
    </row>
    <row r="263" spans="1:35" hidden="1" outlineLevel="1">
      <c r="A263" s="96">
        <v>45861</v>
      </c>
      <c r="B263" s="17" t="s">
        <v>20</v>
      </c>
      <c r="C263" s="18">
        <v>70</v>
      </c>
      <c r="D263" s="100">
        <f t="shared" si="146"/>
        <v>0</v>
      </c>
      <c r="E263" s="22">
        <f t="shared" si="147"/>
        <v>-3925</v>
      </c>
      <c r="G263" s="17"/>
      <c r="I263" s="51">
        <f>IF(M264&lt;&gt;"",N264,IF(M265&lt;&gt;"",N265,IF(M266&lt;&gt;"",N266,IF(M515&lt;&gt;"",N515,IF(M516&lt;&gt;"",N516,IF(M517&lt;&gt;"",N517))))))</f>
        <v>6</v>
      </c>
      <c r="J263" s="18"/>
      <c r="K263" s="23">
        <f t="shared" si="148"/>
        <v>-306</v>
      </c>
      <c r="M263" s="78">
        <v>9</v>
      </c>
      <c r="N263" s="65">
        <f t="shared" si="159"/>
        <v>9</v>
      </c>
      <c r="O263" s="101"/>
      <c r="P263" s="21"/>
      <c r="Q263" s="192">
        <v>9</v>
      </c>
      <c r="R263" s="23">
        <f t="shared" si="149"/>
        <v>0</v>
      </c>
      <c r="S263" s="52">
        <f t="shared" si="150"/>
        <v>0</v>
      </c>
      <c r="U263" s="51">
        <f t="shared" si="160"/>
        <v>64</v>
      </c>
      <c r="V263" s="23"/>
      <c r="W263" s="23">
        <f t="shared" si="151"/>
        <v>-3697</v>
      </c>
      <c r="Y263" s="78">
        <v>66</v>
      </c>
      <c r="Z263" s="62">
        <f t="shared" si="156"/>
        <v>60</v>
      </c>
      <c r="AA263" s="20"/>
      <c r="AB263" s="21"/>
      <c r="AC263" s="57">
        <v>60</v>
      </c>
      <c r="AD263" s="23">
        <f t="shared" si="152"/>
        <v>3</v>
      </c>
      <c r="AE263" s="23">
        <f t="shared" si="153"/>
        <v>6</v>
      </c>
      <c r="AF263" s="23"/>
      <c r="AG263" s="52">
        <v>25</v>
      </c>
    </row>
    <row r="264" spans="1:35" hidden="1" outlineLevel="1">
      <c r="A264" s="96">
        <v>45862</v>
      </c>
      <c r="B264" s="17" t="s">
        <v>14</v>
      </c>
      <c r="C264" s="18">
        <v>69</v>
      </c>
      <c r="D264" s="100">
        <f t="shared" si="146"/>
        <v>0</v>
      </c>
      <c r="E264" s="22">
        <f t="shared" si="147"/>
        <v>-3994</v>
      </c>
      <c r="G264" s="17"/>
      <c r="I264" s="51">
        <f>IF(M265&lt;&gt;"",N265,IF(M266&lt;&gt;"",N266,IF(M267&lt;&gt;"",N267,IF(M516&lt;&gt;"",N516,IF(M517&lt;&gt;"",N517,IF(M518&lt;&gt;"",N518))))))</f>
        <v>9</v>
      </c>
      <c r="J264" s="18"/>
      <c r="K264" s="23">
        <f t="shared" si="148"/>
        <v>-315</v>
      </c>
      <c r="M264" s="78">
        <v>6</v>
      </c>
      <c r="N264" s="65">
        <f t="shared" si="159"/>
        <v>6</v>
      </c>
      <c r="O264" s="101"/>
      <c r="P264" s="21"/>
      <c r="Q264" s="192">
        <v>6</v>
      </c>
      <c r="R264" s="23">
        <f t="shared" si="149"/>
        <v>0</v>
      </c>
      <c r="S264" s="52">
        <f t="shared" si="150"/>
        <v>0</v>
      </c>
      <c r="U264" s="51">
        <f t="shared" si="160"/>
        <v>60</v>
      </c>
      <c r="V264" s="23"/>
      <c r="W264" s="23">
        <f t="shared" si="151"/>
        <v>-3757</v>
      </c>
      <c r="Y264" s="78">
        <v>67</v>
      </c>
      <c r="Z264" s="62">
        <f t="shared" si="156"/>
        <v>64</v>
      </c>
      <c r="AA264" s="20"/>
      <c r="AB264" s="21"/>
      <c r="AC264" s="57">
        <v>64</v>
      </c>
      <c r="AD264" s="23">
        <f t="shared" si="152"/>
        <v>0</v>
      </c>
      <c r="AE264" s="23">
        <f t="shared" si="153"/>
        <v>3</v>
      </c>
      <c r="AF264" s="23"/>
      <c r="AG264" s="52">
        <f>13+20</f>
        <v>33</v>
      </c>
    </row>
    <row r="265" spans="1:35" hidden="1" outlineLevel="1">
      <c r="A265" s="96">
        <v>45863</v>
      </c>
      <c r="B265" s="17" t="s">
        <v>15</v>
      </c>
      <c r="C265" s="18">
        <v>69</v>
      </c>
      <c r="D265" s="100">
        <f t="shared" si="146"/>
        <v>0</v>
      </c>
      <c r="E265" s="22">
        <f t="shared" si="147"/>
        <v>-4063</v>
      </c>
      <c r="G265" s="17"/>
      <c r="I265" s="51">
        <f>IF(M266&lt;&gt;"",N266,IF(M267&lt;&gt;"",N267,IF(M268&lt;&gt;"",N268,IF(M517&lt;&gt;"",N517,IF(M518&lt;&gt;"",N518,IF(M519&lt;&gt;"",N519))))))</f>
        <v>12</v>
      </c>
      <c r="J265" s="18"/>
      <c r="K265" s="23">
        <f t="shared" si="148"/>
        <v>-327</v>
      </c>
      <c r="M265" s="78">
        <v>9</v>
      </c>
      <c r="N265" s="65">
        <f t="shared" si="159"/>
        <v>9</v>
      </c>
      <c r="O265" s="101"/>
      <c r="P265" s="21"/>
      <c r="Q265" s="192">
        <v>9</v>
      </c>
      <c r="R265" s="23">
        <f t="shared" si="149"/>
        <v>0</v>
      </c>
      <c r="S265" s="52">
        <f t="shared" si="150"/>
        <v>0</v>
      </c>
      <c r="U265" s="51">
        <f t="shared" si="160"/>
        <v>57</v>
      </c>
      <c r="V265" s="23"/>
      <c r="W265" s="23">
        <f t="shared" si="151"/>
        <v>-3814</v>
      </c>
      <c r="Y265" s="78">
        <v>54</v>
      </c>
      <c r="Z265" s="62">
        <f t="shared" si="156"/>
        <v>60</v>
      </c>
      <c r="AA265" s="20"/>
      <c r="AB265" s="21"/>
      <c r="AC265" s="57">
        <v>60</v>
      </c>
      <c r="AD265" s="23">
        <f t="shared" si="152"/>
        <v>6</v>
      </c>
      <c r="AE265" s="23">
        <f t="shared" si="153"/>
        <v>9</v>
      </c>
      <c r="AF265" s="23"/>
      <c r="AG265" s="52">
        <v>24</v>
      </c>
      <c r="AI265">
        <f>SUM(M261:M265,Y261:Y265)/COUNT(Y261:Y265)</f>
        <v>64</v>
      </c>
    </row>
    <row r="266" spans="1:35" s="12" customFormat="1" hidden="1" outlineLevel="1">
      <c r="A266" s="95">
        <v>45864</v>
      </c>
      <c r="B266" s="25" t="s">
        <v>16</v>
      </c>
      <c r="C266" s="98"/>
      <c r="D266" s="99">
        <f t="shared" si="146"/>
        <v>0</v>
      </c>
      <c r="E266" s="87">
        <f t="shared" si="147"/>
        <v>-4063</v>
      </c>
      <c r="G266" s="25"/>
      <c r="I266" s="53"/>
      <c r="J266" s="26"/>
      <c r="K266" s="29">
        <f t="shared" si="148"/>
        <v>-327</v>
      </c>
      <c r="M266" s="79"/>
      <c r="N266" s="66"/>
      <c r="O266" s="98"/>
      <c r="P266" s="28"/>
      <c r="Q266" s="230"/>
      <c r="R266" s="29">
        <f t="shared" si="149"/>
        <v>0</v>
      </c>
      <c r="S266" s="54">
        <f t="shared" si="150"/>
        <v>0</v>
      </c>
      <c r="U266" s="53"/>
      <c r="V266" s="29"/>
      <c r="W266" s="29">
        <f t="shared" si="151"/>
        <v>-3814</v>
      </c>
      <c r="Y266" s="79"/>
      <c r="Z266" s="63"/>
      <c r="AA266" s="27"/>
      <c r="AB266" s="28"/>
      <c r="AC266" s="43"/>
      <c r="AD266" s="29">
        <f t="shared" si="152"/>
        <v>6</v>
      </c>
      <c r="AE266" s="29">
        <f t="shared" si="153"/>
        <v>9</v>
      </c>
      <c r="AF266" s="29"/>
      <c r="AG266" s="54"/>
    </row>
    <row r="267" spans="1:35" s="12" customFormat="1" hidden="1" outlineLevel="1" collapsed="1">
      <c r="A267" s="95">
        <v>45865</v>
      </c>
      <c r="B267" s="25" t="s">
        <v>17</v>
      </c>
      <c r="C267" s="98"/>
      <c r="D267" s="99">
        <f t="shared" si="146"/>
        <v>0</v>
      </c>
      <c r="E267" s="87">
        <f t="shared" si="147"/>
        <v>-4063</v>
      </c>
      <c r="G267" s="25"/>
      <c r="I267" s="53"/>
      <c r="J267" s="26"/>
      <c r="K267" s="29">
        <f t="shared" si="148"/>
        <v>-327</v>
      </c>
      <c r="M267" s="79"/>
      <c r="N267" s="66"/>
      <c r="O267" s="98"/>
      <c r="P267" s="28"/>
      <c r="Q267" s="230"/>
      <c r="R267" s="29">
        <f t="shared" si="149"/>
        <v>0</v>
      </c>
      <c r="S267" s="54">
        <f t="shared" si="150"/>
        <v>0</v>
      </c>
      <c r="U267" s="53"/>
      <c r="V267" s="29"/>
      <c r="W267" s="29">
        <f t="shared" si="151"/>
        <v>-3814</v>
      </c>
      <c r="Y267" s="79"/>
      <c r="Z267" s="63"/>
      <c r="AA267" s="27"/>
      <c r="AB267" s="28"/>
      <c r="AC267" s="43"/>
      <c r="AD267" s="29">
        <f t="shared" si="152"/>
        <v>6</v>
      </c>
      <c r="AE267" s="29">
        <f t="shared" si="153"/>
        <v>9</v>
      </c>
      <c r="AF267" s="29"/>
      <c r="AG267" s="54"/>
    </row>
    <row r="268" spans="1:35" hidden="1" outlineLevel="1">
      <c r="A268" s="96">
        <v>45866</v>
      </c>
      <c r="B268" s="17" t="s">
        <v>18</v>
      </c>
      <c r="C268" s="101">
        <v>63</v>
      </c>
      <c r="D268" s="100">
        <f t="shared" si="146"/>
        <v>0</v>
      </c>
      <c r="E268" s="22">
        <f t="shared" si="147"/>
        <v>-4126</v>
      </c>
      <c r="G268" s="17"/>
      <c r="I268" s="51">
        <f>IF(M269&lt;&gt;"",N269,IF(M270&lt;&gt;"",N270,IF(M271&lt;&gt;"",N271,IF(M520&lt;&gt;"",N520,IF(M521&lt;&gt;"",N521,IF(M522&lt;&gt;"",N522))))))</f>
        <v>12</v>
      </c>
      <c r="J268" s="18"/>
      <c r="K268" s="23">
        <f t="shared" si="148"/>
        <v>-339</v>
      </c>
      <c r="M268" s="78">
        <v>12</v>
      </c>
      <c r="N268" s="65">
        <f t="shared" ref="N268:N272" si="161">M268+O268</f>
        <v>12</v>
      </c>
      <c r="O268" s="101"/>
      <c r="P268" s="21"/>
      <c r="Q268" s="192">
        <v>12</v>
      </c>
      <c r="R268" s="23">
        <f t="shared" si="149"/>
        <v>0</v>
      </c>
      <c r="S268" s="52">
        <f t="shared" si="150"/>
        <v>0</v>
      </c>
      <c r="U268" s="51">
        <f t="shared" ref="U268:U272" si="162">C268-I268</f>
        <v>51</v>
      </c>
      <c r="V268" s="23"/>
      <c r="W268" s="23">
        <f t="shared" si="151"/>
        <v>-3865</v>
      </c>
      <c r="Y268" s="78">
        <v>66</v>
      </c>
      <c r="Z268" s="62">
        <f t="shared" si="156"/>
        <v>57</v>
      </c>
      <c r="AA268" s="20"/>
      <c r="AB268" s="21"/>
      <c r="AC268" s="57">
        <v>57</v>
      </c>
      <c r="AD268" s="23">
        <f t="shared" si="152"/>
        <v>-3</v>
      </c>
      <c r="AE268" s="23">
        <f t="shared" si="153"/>
        <v>0</v>
      </c>
      <c r="AF268" s="23"/>
      <c r="AG268" s="52">
        <v>19</v>
      </c>
    </row>
    <row r="269" spans="1:35" hidden="1" outlineLevel="1">
      <c r="A269" s="96">
        <v>45867</v>
      </c>
      <c r="B269" s="17" t="s">
        <v>19</v>
      </c>
      <c r="C269" s="101">
        <v>63</v>
      </c>
      <c r="D269" s="100">
        <f t="shared" si="146"/>
        <v>0</v>
      </c>
      <c r="E269" s="22">
        <f t="shared" si="147"/>
        <v>-4189</v>
      </c>
      <c r="G269" s="17"/>
      <c r="I269" s="51">
        <f>IF(M270&lt;&gt;"",N270,IF(M271&lt;&gt;"",N271,IF(M272&lt;&gt;"",N272,IF(M521&lt;&gt;"",N521,IF(M522&lt;&gt;"",N522,IF(M523&lt;&gt;"",N523))))))</f>
        <v>12</v>
      </c>
      <c r="J269" s="18"/>
      <c r="K269" s="23">
        <f t="shared" si="148"/>
        <v>-351</v>
      </c>
      <c r="M269" s="78">
        <v>12</v>
      </c>
      <c r="N269" s="65">
        <f t="shared" si="161"/>
        <v>12</v>
      </c>
      <c r="O269" s="101"/>
      <c r="P269" s="21"/>
      <c r="Q269" s="192">
        <v>12</v>
      </c>
      <c r="R269" s="23">
        <f t="shared" si="149"/>
        <v>0</v>
      </c>
      <c r="S269" s="52">
        <f t="shared" si="150"/>
        <v>0</v>
      </c>
      <c r="U269" s="51">
        <f t="shared" si="162"/>
        <v>51</v>
      </c>
      <c r="V269" s="23"/>
      <c r="W269" s="23">
        <f t="shared" si="151"/>
        <v>-3916</v>
      </c>
      <c r="Y269" s="78">
        <v>45</v>
      </c>
      <c r="Z269" s="62">
        <f t="shared" si="156"/>
        <v>51</v>
      </c>
      <c r="AA269" s="20"/>
      <c r="AB269" s="21"/>
      <c r="AC269" s="57">
        <v>51</v>
      </c>
      <c r="AD269" s="23">
        <f t="shared" si="152"/>
        <v>3</v>
      </c>
      <c r="AE269" s="23">
        <f t="shared" si="153"/>
        <v>6</v>
      </c>
      <c r="AF269" s="23"/>
      <c r="AG269" s="52">
        <v>26</v>
      </c>
    </row>
    <row r="270" spans="1:35" hidden="1" outlineLevel="1">
      <c r="A270" s="96">
        <v>45868</v>
      </c>
      <c r="B270" s="17" t="s">
        <v>20</v>
      </c>
      <c r="C270" s="101">
        <v>66</v>
      </c>
      <c r="D270" s="100">
        <f t="shared" si="146"/>
        <v>0</v>
      </c>
      <c r="E270" s="22">
        <f t="shared" si="147"/>
        <v>-4255</v>
      </c>
      <c r="G270" s="17"/>
      <c r="I270" s="51">
        <f>IF(M271&lt;&gt;"",N271,IF(M272&lt;&gt;"",N272,IF(M273&lt;&gt;"",N273,IF(M522&lt;&gt;"",N522,IF(M523&lt;&gt;"",N523,IF(M524&lt;&gt;"",N524))))))</f>
        <v>9</v>
      </c>
      <c r="J270" s="18"/>
      <c r="K270" s="23">
        <f t="shared" si="148"/>
        <v>-360</v>
      </c>
      <c r="M270" s="78">
        <v>12</v>
      </c>
      <c r="N270" s="65">
        <f t="shared" si="161"/>
        <v>12</v>
      </c>
      <c r="O270" s="101"/>
      <c r="P270" s="21"/>
      <c r="Q270" s="192">
        <v>12</v>
      </c>
      <c r="R270" s="23">
        <f t="shared" si="149"/>
        <v>0</v>
      </c>
      <c r="S270" s="52">
        <f t="shared" si="150"/>
        <v>0</v>
      </c>
      <c r="U270" s="51">
        <f t="shared" si="162"/>
        <v>57</v>
      </c>
      <c r="V270" s="23"/>
      <c r="W270" s="23">
        <f t="shared" si="151"/>
        <v>-3973</v>
      </c>
      <c r="Y270" s="78">
        <v>57</v>
      </c>
      <c r="Z270" s="62">
        <f t="shared" si="156"/>
        <v>51</v>
      </c>
      <c r="AA270" s="20"/>
      <c r="AB270" s="21"/>
      <c r="AC270" s="57">
        <v>51</v>
      </c>
      <c r="AD270" s="23">
        <f t="shared" si="152"/>
        <v>-3</v>
      </c>
      <c r="AE270" s="23">
        <f t="shared" si="153"/>
        <v>0</v>
      </c>
      <c r="AF270" s="23"/>
      <c r="AG270" s="52">
        <f>10+28</f>
        <v>38</v>
      </c>
    </row>
    <row r="271" spans="1:35" hidden="1" outlineLevel="1">
      <c r="A271" s="96">
        <v>45869</v>
      </c>
      <c r="B271" s="17" t="s">
        <v>14</v>
      </c>
      <c r="C271" s="101">
        <v>66</v>
      </c>
      <c r="D271" s="100">
        <f t="shared" si="146"/>
        <v>0</v>
      </c>
      <c r="E271" s="22">
        <f t="shared" si="147"/>
        <v>-4321</v>
      </c>
      <c r="G271" s="17"/>
      <c r="I271" s="51">
        <f>IF(M272&lt;&gt;"",N272,IF(M273&lt;&gt;"",N273,IF(M274&lt;&gt;"",N274,IF(M523&lt;&gt;"",N523,IF(M524&lt;&gt;"",N524,IF(M525&lt;&gt;"",N525))))))</f>
        <v>12</v>
      </c>
      <c r="J271" s="18"/>
      <c r="K271" s="23">
        <f t="shared" si="148"/>
        <v>-372</v>
      </c>
      <c r="M271" s="78">
        <v>9</v>
      </c>
      <c r="N271" s="65">
        <f t="shared" si="161"/>
        <v>9</v>
      </c>
      <c r="O271" s="101"/>
      <c r="P271" s="21"/>
      <c r="Q271" s="192">
        <v>9</v>
      </c>
      <c r="R271" s="23">
        <f t="shared" si="149"/>
        <v>0</v>
      </c>
      <c r="S271" s="52">
        <f t="shared" si="150"/>
        <v>0</v>
      </c>
      <c r="U271" s="51">
        <f t="shared" si="162"/>
        <v>54</v>
      </c>
      <c r="V271" s="23"/>
      <c r="W271" s="23">
        <f t="shared" si="151"/>
        <v>-4027</v>
      </c>
      <c r="Y271" s="78">
        <v>57</v>
      </c>
      <c r="Z271" s="62">
        <f t="shared" si="156"/>
        <v>57</v>
      </c>
      <c r="AA271" s="20"/>
      <c r="AB271" s="21"/>
      <c r="AC271" s="57">
        <v>57</v>
      </c>
      <c r="AD271" s="23">
        <f t="shared" si="152"/>
        <v>-3</v>
      </c>
      <c r="AE271" s="23">
        <f t="shared" si="153"/>
        <v>0</v>
      </c>
      <c r="AF271" s="23"/>
      <c r="AG271" s="52">
        <v>21</v>
      </c>
    </row>
    <row r="272" spans="1:35" hidden="1" outlineLevel="1">
      <c r="A272" s="96">
        <v>45870</v>
      </c>
      <c r="B272" s="17" t="s">
        <v>15</v>
      </c>
      <c r="C272" s="101">
        <v>60</v>
      </c>
      <c r="D272" s="100">
        <f t="shared" si="146"/>
        <v>0</v>
      </c>
      <c r="E272" s="22">
        <f t="shared" si="147"/>
        <v>-4381</v>
      </c>
      <c r="G272" s="17"/>
      <c r="I272" s="51">
        <f>IF(M273&lt;&gt;"",N273,IF(M274&lt;&gt;"",N274,IF(M275&lt;&gt;"",N275,IF(M524&lt;&gt;"",N524,IF(M525&lt;&gt;"",N525,IF(M526&lt;&gt;"",N526))))))</f>
        <v>12</v>
      </c>
      <c r="J272" s="18"/>
      <c r="K272" s="23">
        <f t="shared" si="148"/>
        <v>-384</v>
      </c>
      <c r="M272" s="78">
        <v>12</v>
      </c>
      <c r="N272" s="65">
        <f t="shared" si="161"/>
        <v>12</v>
      </c>
      <c r="O272" s="101"/>
      <c r="P272" s="21"/>
      <c r="Q272" s="192">
        <v>12</v>
      </c>
      <c r="R272" s="23">
        <f t="shared" si="149"/>
        <v>0</v>
      </c>
      <c r="S272" s="52">
        <f t="shared" si="150"/>
        <v>0</v>
      </c>
      <c r="U272" s="51">
        <f t="shared" si="162"/>
        <v>48</v>
      </c>
      <c r="V272" s="23"/>
      <c r="W272" s="23">
        <f t="shared" si="151"/>
        <v>-4075</v>
      </c>
      <c r="Y272" s="78">
        <v>45</v>
      </c>
      <c r="Z272" s="62">
        <f t="shared" si="156"/>
        <v>54</v>
      </c>
      <c r="AA272" s="20"/>
      <c r="AB272" s="21"/>
      <c r="AC272" s="57">
        <v>54</v>
      </c>
      <c r="AD272" s="23">
        <f t="shared" si="152"/>
        <v>6</v>
      </c>
      <c r="AE272" s="23">
        <f t="shared" si="153"/>
        <v>9</v>
      </c>
      <c r="AF272" s="23"/>
      <c r="AG272" s="52">
        <v>25</v>
      </c>
      <c r="AI272">
        <f>SUM(M268:M272,Y268:Y272)/COUNT(Y268:Y272)</f>
        <v>65.400000000000006</v>
      </c>
    </row>
    <row r="273" spans="1:35" s="12" customFormat="1" hidden="1" outlineLevel="1">
      <c r="A273" s="95">
        <v>45871</v>
      </c>
      <c r="B273" s="25" t="s">
        <v>16</v>
      </c>
      <c r="C273" s="98"/>
      <c r="D273" s="99">
        <f t="shared" si="146"/>
        <v>0</v>
      </c>
      <c r="E273" s="87">
        <f t="shared" si="147"/>
        <v>-4381</v>
      </c>
      <c r="G273" s="25"/>
      <c r="I273" s="53"/>
      <c r="J273" s="26"/>
      <c r="K273" s="29">
        <f t="shared" si="148"/>
        <v>-384</v>
      </c>
      <c r="M273" s="79"/>
      <c r="N273" s="66"/>
      <c r="O273" s="98"/>
      <c r="P273" s="28"/>
      <c r="Q273" s="230"/>
      <c r="R273" s="29">
        <f t="shared" si="149"/>
        <v>0</v>
      </c>
      <c r="S273" s="54">
        <f t="shared" si="150"/>
        <v>0</v>
      </c>
      <c r="U273" s="53"/>
      <c r="V273" s="29"/>
      <c r="W273" s="29">
        <f t="shared" si="151"/>
        <v>-4075</v>
      </c>
      <c r="Y273" s="79"/>
      <c r="Z273" s="63"/>
      <c r="AA273" s="27"/>
      <c r="AB273" s="28"/>
      <c r="AC273" s="43"/>
      <c r="AD273" s="29">
        <f t="shared" si="152"/>
        <v>6</v>
      </c>
      <c r="AE273" s="29">
        <f t="shared" si="153"/>
        <v>9</v>
      </c>
      <c r="AF273" s="29"/>
      <c r="AG273" s="54"/>
    </row>
    <row r="274" spans="1:35" s="12" customFormat="1" hidden="1" outlineLevel="1">
      <c r="A274" s="95">
        <v>45872</v>
      </c>
      <c r="B274" s="25" t="s">
        <v>17</v>
      </c>
      <c r="C274" s="98"/>
      <c r="D274" s="99">
        <f t="shared" si="146"/>
        <v>0</v>
      </c>
      <c r="E274" s="87">
        <f t="shared" si="147"/>
        <v>-4381</v>
      </c>
      <c r="G274" s="25"/>
      <c r="I274" s="53"/>
      <c r="J274" s="26"/>
      <c r="K274" s="29">
        <f t="shared" si="148"/>
        <v>-384</v>
      </c>
      <c r="M274" s="79"/>
      <c r="N274" s="66"/>
      <c r="O274" s="98"/>
      <c r="P274" s="28"/>
      <c r="Q274" s="230"/>
      <c r="R274" s="29">
        <f t="shared" si="149"/>
        <v>0</v>
      </c>
      <c r="S274" s="54">
        <f t="shared" si="150"/>
        <v>0</v>
      </c>
      <c r="U274" s="53"/>
      <c r="V274" s="29"/>
      <c r="W274" s="29">
        <f t="shared" si="151"/>
        <v>-4075</v>
      </c>
      <c r="Y274" s="79"/>
      <c r="Z274" s="63"/>
      <c r="AA274" s="27"/>
      <c r="AB274" s="28"/>
      <c r="AC274" s="43"/>
      <c r="AD274" s="29">
        <f t="shared" si="152"/>
        <v>6</v>
      </c>
      <c r="AE274" s="29">
        <f t="shared" si="153"/>
        <v>9</v>
      </c>
      <c r="AF274" s="29"/>
      <c r="AG274" s="54"/>
    </row>
    <row r="275" spans="1:35" hidden="1" outlineLevel="1">
      <c r="A275" s="96">
        <v>45873</v>
      </c>
      <c r="B275" s="17" t="s">
        <v>18</v>
      </c>
      <c r="C275" s="101">
        <v>63</v>
      </c>
      <c r="D275" s="100">
        <f t="shared" si="146"/>
        <v>0</v>
      </c>
      <c r="E275" s="22">
        <f t="shared" si="147"/>
        <v>-4444</v>
      </c>
      <c r="G275" s="17"/>
      <c r="I275" s="51">
        <f>IF(M276&lt;&gt;"",N276,IF(M277&lt;&gt;"",N277,IF(M278&lt;&gt;"",N278,IF(M527&lt;&gt;"",N527,IF(M528&lt;&gt;"",N528,IF(M529&lt;&gt;"",N529))))))</f>
        <v>9</v>
      </c>
      <c r="J275" s="18"/>
      <c r="K275" s="23">
        <f t="shared" si="148"/>
        <v>-393</v>
      </c>
      <c r="M275" s="78">
        <v>12</v>
      </c>
      <c r="N275" s="65">
        <f t="shared" ref="N275:N279" si="163">M275+O275</f>
        <v>12</v>
      </c>
      <c r="O275" s="101"/>
      <c r="P275" s="21"/>
      <c r="Q275" s="192">
        <v>12</v>
      </c>
      <c r="R275" s="23">
        <f t="shared" si="149"/>
        <v>0</v>
      </c>
      <c r="S275" s="52">
        <f t="shared" si="150"/>
        <v>0</v>
      </c>
      <c r="U275" s="51">
        <f t="shared" ref="U275:U279" si="164">C275-I275</f>
        <v>54</v>
      </c>
      <c r="V275" s="23"/>
      <c r="W275" s="23">
        <f t="shared" si="151"/>
        <v>-4129</v>
      </c>
      <c r="Y275" s="78">
        <v>54</v>
      </c>
      <c r="Z275" s="62">
        <f t="shared" si="156"/>
        <v>48</v>
      </c>
      <c r="AA275" s="20"/>
      <c r="AB275" s="21"/>
      <c r="AC275" s="57">
        <v>48</v>
      </c>
      <c r="AD275" s="23">
        <f t="shared" si="152"/>
        <v>0</v>
      </c>
      <c r="AE275" s="23">
        <f t="shared" si="153"/>
        <v>3</v>
      </c>
      <c r="AF275" s="23"/>
      <c r="AG275" s="52">
        <f>11+24</f>
        <v>35</v>
      </c>
    </row>
    <row r="276" spans="1:35" hidden="1" outlineLevel="1">
      <c r="A276" s="96">
        <v>45874</v>
      </c>
      <c r="B276" s="17" t="s">
        <v>19</v>
      </c>
      <c r="C276" s="101">
        <v>63</v>
      </c>
      <c r="D276" s="100">
        <f t="shared" si="146"/>
        <v>0</v>
      </c>
      <c r="E276" s="22">
        <f t="shared" si="147"/>
        <v>-4507</v>
      </c>
      <c r="G276" s="17"/>
      <c r="I276" s="51">
        <f>IF(M277&lt;&gt;"",N277,IF(M278&lt;&gt;"",N278,IF(M279&lt;&gt;"",N279,IF(M528&lt;&gt;"",N528,IF(M529&lt;&gt;"",N529,IF(M530&lt;&gt;"",N530))))))</f>
        <v>12</v>
      </c>
      <c r="J276" s="18"/>
      <c r="K276" s="23">
        <f t="shared" si="148"/>
        <v>-405</v>
      </c>
      <c r="M276" s="78">
        <v>9</v>
      </c>
      <c r="N276" s="65">
        <f t="shared" si="163"/>
        <v>9</v>
      </c>
      <c r="O276" s="101"/>
      <c r="P276" s="21"/>
      <c r="Q276" s="192">
        <v>9</v>
      </c>
      <c r="R276" s="23">
        <f t="shared" si="149"/>
        <v>0</v>
      </c>
      <c r="S276" s="52">
        <f t="shared" si="150"/>
        <v>0</v>
      </c>
      <c r="U276" s="51">
        <f t="shared" si="164"/>
        <v>51</v>
      </c>
      <c r="V276" s="23"/>
      <c r="W276" s="23">
        <f t="shared" si="151"/>
        <v>-4180</v>
      </c>
      <c r="Y276" s="78">
        <v>48</v>
      </c>
      <c r="Z276" s="62">
        <f t="shared" si="156"/>
        <v>54</v>
      </c>
      <c r="AA276" s="20"/>
      <c r="AB276" s="21"/>
      <c r="AC276" s="57">
        <v>54</v>
      </c>
      <c r="AD276" s="23">
        <f t="shared" si="152"/>
        <v>6</v>
      </c>
      <c r="AE276" s="23">
        <f t="shared" si="153"/>
        <v>9</v>
      </c>
      <c r="AF276" s="23"/>
      <c r="AG276" s="52">
        <v>25</v>
      </c>
    </row>
    <row r="277" spans="1:35" hidden="1" outlineLevel="1">
      <c r="A277" s="96">
        <v>45875</v>
      </c>
      <c r="B277" s="17" t="s">
        <v>20</v>
      </c>
      <c r="C277" s="101">
        <v>66</v>
      </c>
      <c r="D277" s="100">
        <f t="shared" si="146"/>
        <v>0</v>
      </c>
      <c r="E277" s="22">
        <f t="shared" si="147"/>
        <v>-4573</v>
      </c>
      <c r="G277" s="17"/>
      <c r="I277" s="51">
        <f>IF(M278&lt;&gt;"",N278,IF(M279&lt;&gt;"",N279,IF(M280&lt;&gt;"",N280,IF(M529&lt;&gt;"",N529,IF(M530&lt;&gt;"",N530,IF(M531&lt;&gt;"",N531))))))</f>
        <v>12</v>
      </c>
      <c r="J277" s="18"/>
      <c r="K277" s="23">
        <f t="shared" si="148"/>
        <v>-417</v>
      </c>
      <c r="M277" s="78">
        <v>12</v>
      </c>
      <c r="N277" s="65">
        <f t="shared" si="163"/>
        <v>12</v>
      </c>
      <c r="O277" s="101"/>
      <c r="P277" s="21"/>
      <c r="Q277" s="192">
        <v>12</v>
      </c>
      <c r="R277" s="23">
        <f t="shared" si="149"/>
        <v>0</v>
      </c>
      <c r="S277" s="52">
        <f t="shared" si="150"/>
        <v>0</v>
      </c>
      <c r="U277" s="51">
        <f t="shared" si="164"/>
        <v>54</v>
      </c>
      <c r="V277" s="23"/>
      <c r="W277" s="23">
        <f t="shared" si="151"/>
        <v>-4234</v>
      </c>
      <c r="Y277" s="78">
        <v>51</v>
      </c>
      <c r="Z277" s="62">
        <f t="shared" si="156"/>
        <v>51</v>
      </c>
      <c r="AA277" s="20"/>
      <c r="AB277" s="21"/>
      <c r="AC277" s="57">
        <v>51</v>
      </c>
      <c r="AD277" s="23">
        <f t="shared" si="152"/>
        <v>6</v>
      </c>
      <c r="AE277" s="23">
        <f t="shared" si="153"/>
        <v>9</v>
      </c>
      <c r="AF277" s="23"/>
      <c r="AG277" s="52">
        <v>26</v>
      </c>
    </row>
    <row r="278" spans="1:35" hidden="1" outlineLevel="1">
      <c r="A278" s="96">
        <v>45876</v>
      </c>
      <c r="B278" s="17" t="s">
        <v>14</v>
      </c>
      <c r="C278" s="101">
        <v>63</v>
      </c>
      <c r="D278" s="100">
        <f t="shared" ref="D278:D309" si="165">J278+V278</f>
        <v>0</v>
      </c>
      <c r="E278" s="22">
        <f t="shared" ref="E278:E309" si="166">E277-C278+D278</f>
        <v>-4636</v>
      </c>
      <c r="G278" s="17"/>
      <c r="I278" s="51">
        <f>IF(M279&lt;&gt;"",N279,IF(M280&lt;&gt;"",N280,IF(M281&lt;&gt;"",N281,IF(M530&lt;&gt;"",N530,IF(M531&lt;&gt;"",N531,IF(M532&lt;&gt;"",N532))))))</f>
        <v>12</v>
      </c>
      <c r="J278" s="18"/>
      <c r="K278" s="23">
        <f t="shared" ref="K278:K309" si="167">J278-I278+K277</f>
        <v>-429</v>
      </c>
      <c r="M278" s="78">
        <v>12</v>
      </c>
      <c r="N278" s="65">
        <f t="shared" si="163"/>
        <v>12</v>
      </c>
      <c r="O278" s="101"/>
      <c r="P278" s="21"/>
      <c r="Q278" s="192">
        <f>6+6</f>
        <v>12</v>
      </c>
      <c r="R278" s="23">
        <f t="shared" ref="R278:R309" si="168">R277-M278+Q278</f>
        <v>0</v>
      </c>
      <c r="S278" s="52">
        <f t="shared" ref="S278:S309" si="169">S277-M278+N278</f>
        <v>0</v>
      </c>
      <c r="U278" s="51">
        <f t="shared" si="164"/>
        <v>51</v>
      </c>
      <c r="V278" s="23"/>
      <c r="W278" s="23">
        <f t="shared" ref="W278:W309" si="170">V278-U278+W277</f>
        <v>-4285</v>
      </c>
      <c r="Y278" s="78">
        <v>60</v>
      </c>
      <c r="Z278" s="62">
        <f t="shared" ref="Z278:Z307" si="171">IF(U277&lt;&gt;"",U277+AA278,IF(U276&lt;&gt;"",U276+AA278,IF(U275&lt;&gt;"",U275+AA278,IF(U274&lt;&gt;"",U274+AA278,IF(U273&lt;&gt;"",U273+AA278,IF(U272&lt;&gt;"",U272+AA278,IF(U271&lt;&gt;"",U271+AA278)))))))</f>
        <v>54</v>
      </c>
      <c r="AA278" s="20"/>
      <c r="AB278" s="21"/>
      <c r="AC278" s="57">
        <v>54</v>
      </c>
      <c r="AD278" s="23">
        <f t="shared" ref="AD278:AD309" si="172">AD277-Y278+AC278</f>
        <v>0</v>
      </c>
      <c r="AE278" s="23">
        <f t="shared" ref="AE278:AE309" si="173">AE277-Y278+Z278</f>
        <v>3</v>
      </c>
      <c r="AF278" s="23"/>
      <c r="AG278" s="52">
        <v>14</v>
      </c>
    </row>
    <row r="279" spans="1:35" hidden="1" outlineLevel="1">
      <c r="A279" s="96">
        <v>45877</v>
      </c>
      <c r="B279" s="17" t="s">
        <v>15</v>
      </c>
      <c r="C279" s="101">
        <v>66</v>
      </c>
      <c r="D279" s="100">
        <f t="shared" si="165"/>
        <v>0</v>
      </c>
      <c r="E279" s="22">
        <f t="shared" si="166"/>
        <v>-4702</v>
      </c>
      <c r="G279" s="17"/>
      <c r="I279" s="51">
        <f>M289</f>
        <v>9</v>
      </c>
      <c r="J279" s="18"/>
      <c r="K279" s="23">
        <f t="shared" si="167"/>
        <v>-438</v>
      </c>
      <c r="M279" s="78">
        <v>12</v>
      </c>
      <c r="N279" s="65">
        <f t="shared" si="163"/>
        <v>12</v>
      </c>
      <c r="O279" s="101"/>
      <c r="P279" s="21"/>
      <c r="Q279" s="192">
        <f>6+6</f>
        <v>12</v>
      </c>
      <c r="R279" s="23">
        <f t="shared" si="168"/>
        <v>0</v>
      </c>
      <c r="S279" s="52">
        <f t="shared" si="169"/>
        <v>0</v>
      </c>
      <c r="U279" s="51">
        <f t="shared" si="164"/>
        <v>57</v>
      </c>
      <c r="V279" s="23"/>
      <c r="W279" s="23">
        <f t="shared" si="170"/>
        <v>-4342</v>
      </c>
      <c r="Y279" s="78">
        <v>48</v>
      </c>
      <c r="Z279" s="62">
        <f t="shared" si="171"/>
        <v>51</v>
      </c>
      <c r="AA279" s="20"/>
      <c r="AB279" s="21"/>
      <c r="AC279" s="57">
        <v>51</v>
      </c>
      <c r="AD279" s="23">
        <f t="shared" si="172"/>
        <v>3</v>
      </c>
      <c r="AE279" s="23">
        <f t="shared" si="173"/>
        <v>6</v>
      </c>
      <c r="AF279" s="23"/>
      <c r="AG279" s="52">
        <v>6</v>
      </c>
      <c r="AI279">
        <f>SUM(M275:M279,Y275:Y279)/COUNT(Y275:Y279)</f>
        <v>63.6</v>
      </c>
    </row>
    <row r="280" spans="1:35" s="12" customFormat="1" hidden="1" outlineLevel="1">
      <c r="A280" s="95">
        <v>45878</v>
      </c>
      <c r="B280" s="25" t="s">
        <v>16</v>
      </c>
      <c r="C280" s="98"/>
      <c r="D280" s="99">
        <f t="shared" si="165"/>
        <v>0</v>
      </c>
      <c r="E280" s="87">
        <f t="shared" si="166"/>
        <v>-4702</v>
      </c>
      <c r="G280" s="25"/>
      <c r="I280" s="53"/>
      <c r="J280" s="26"/>
      <c r="K280" s="29">
        <f t="shared" si="167"/>
        <v>-438</v>
      </c>
      <c r="M280" s="79"/>
      <c r="N280" s="66"/>
      <c r="O280" s="98"/>
      <c r="P280" s="28"/>
      <c r="Q280" s="230"/>
      <c r="R280" s="29">
        <f t="shared" si="168"/>
        <v>0</v>
      </c>
      <c r="S280" s="54">
        <f t="shared" si="169"/>
        <v>0</v>
      </c>
      <c r="U280" s="53"/>
      <c r="V280" s="29"/>
      <c r="W280" s="29">
        <f t="shared" si="170"/>
        <v>-4342</v>
      </c>
      <c r="Y280" s="79"/>
      <c r="Z280" s="63"/>
      <c r="AA280" s="27"/>
      <c r="AB280" s="28"/>
      <c r="AC280" s="43"/>
      <c r="AD280" s="29">
        <f t="shared" si="172"/>
        <v>3</v>
      </c>
      <c r="AE280" s="29">
        <f t="shared" si="173"/>
        <v>6</v>
      </c>
      <c r="AF280" s="29"/>
      <c r="AG280" s="54"/>
    </row>
    <row r="281" spans="1:35" s="12" customFormat="1" hidden="1" outlineLevel="1">
      <c r="A281" s="95">
        <v>45879</v>
      </c>
      <c r="B281" s="25" t="s">
        <v>17</v>
      </c>
      <c r="C281" s="98"/>
      <c r="D281" s="99">
        <f t="shared" si="165"/>
        <v>0</v>
      </c>
      <c r="E281" s="87">
        <f t="shared" si="166"/>
        <v>-4702</v>
      </c>
      <c r="G281" s="25"/>
      <c r="I281" s="53"/>
      <c r="J281" s="26"/>
      <c r="K281" s="29">
        <f t="shared" si="167"/>
        <v>-438</v>
      </c>
      <c r="M281" s="79"/>
      <c r="N281" s="66"/>
      <c r="O281" s="98"/>
      <c r="P281" s="28"/>
      <c r="Q281" s="230"/>
      <c r="R281" s="29">
        <f t="shared" si="168"/>
        <v>0</v>
      </c>
      <c r="S281" s="54">
        <f t="shared" si="169"/>
        <v>0</v>
      </c>
      <c r="U281" s="53"/>
      <c r="V281" s="29"/>
      <c r="W281" s="29">
        <f t="shared" si="170"/>
        <v>-4342</v>
      </c>
      <c r="Y281" s="79"/>
      <c r="Z281" s="63"/>
      <c r="AA281" s="27"/>
      <c r="AB281" s="28"/>
      <c r="AC281" s="43"/>
      <c r="AD281" s="29">
        <f t="shared" si="172"/>
        <v>3</v>
      </c>
      <c r="AE281" s="29">
        <f t="shared" si="173"/>
        <v>6</v>
      </c>
      <c r="AF281" s="29"/>
      <c r="AG281" s="54"/>
    </row>
    <row r="282" spans="1:35" s="12" customFormat="1" hidden="1" outlineLevel="1">
      <c r="A282" s="95">
        <v>45880</v>
      </c>
      <c r="B282" s="25" t="s">
        <v>18</v>
      </c>
      <c r="C282" s="98"/>
      <c r="D282" s="99">
        <f t="shared" si="165"/>
        <v>0</v>
      </c>
      <c r="E282" s="87">
        <f t="shared" si="166"/>
        <v>-4702</v>
      </c>
      <c r="G282" s="25"/>
      <c r="I282" s="53"/>
      <c r="J282" s="26"/>
      <c r="K282" s="29">
        <f t="shared" si="167"/>
        <v>-438</v>
      </c>
      <c r="M282" s="79"/>
      <c r="N282" s="66"/>
      <c r="O282" s="98"/>
      <c r="P282" s="28"/>
      <c r="Q282" s="230"/>
      <c r="R282" s="29">
        <f t="shared" si="168"/>
        <v>0</v>
      </c>
      <c r="S282" s="54">
        <f t="shared" si="169"/>
        <v>0</v>
      </c>
      <c r="U282" s="53"/>
      <c r="V282" s="29"/>
      <c r="W282" s="29">
        <f t="shared" si="170"/>
        <v>-4342</v>
      </c>
      <c r="Y282" s="79"/>
      <c r="Z282" s="63"/>
      <c r="AA282" s="27"/>
      <c r="AB282" s="28"/>
      <c r="AC282" s="43"/>
      <c r="AD282" s="29">
        <f t="shared" si="172"/>
        <v>3</v>
      </c>
      <c r="AE282" s="29">
        <f t="shared" si="173"/>
        <v>6</v>
      </c>
      <c r="AF282" s="29"/>
      <c r="AG282" s="54"/>
    </row>
    <row r="283" spans="1:35" s="12" customFormat="1" hidden="1" outlineLevel="1">
      <c r="A283" s="95">
        <v>45881</v>
      </c>
      <c r="B283" s="25" t="s">
        <v>19</v>
      </c>
      <c r="C283" s="98"/>
      <c r="D283" s="99">
        <f t="shared" si="165"/>
        <v>0</v>
      </c>
      <c r="E283" s="87">
        <f t="shared" si="166"/>
        <v>-4702</v>
      </c>
      <c r="G283" s="25"/>
      <c r="I283" s="53"/>
      <c r="J283" s="26"/>
      <c r="K283" s="29">
        <f t="shared" si="167"/>
        <v>-438</v>
      </c>
      <c r="M283" s="79"/>
      <c r="N283" s="66"/>
      <c r="O283" s="98"/>
      <c r="P283" s="28"/>
      <c r="Q283" s="230"/>
      <c r="R283" s="29">
        <f t="shared" si="168"/>
        <v>0</v>
      </c>
      <c r="S283" s="54">
        <f t="shared" si="169"/>
        <v>0</v>
      </c>
      <c r="U283" s="53"/>
      <c r="V283" s="29"/>
      <c r="W283" s="29">
        <f t="shared" si="170"/>
        <v>-4342</v>
      </c>
      <c r="Y283" s="79"/>
      <c r="Z283" s="63"/>
      <c r="AA283" s="27"/>
      <c r="AB283" s="28"/>
      <c r="AC283" s="43"/>
      <c r="AD283" s="29">
        <f t="shared" si="172"/>
        <v>3</v>
      </c>
      <c r="AE283" s="29">
        <f t="shared" si="173"/>
        <v>6</v>
      </c>
      <c r="AF283" s="29"/>
      <c r="AG283" s="54"/>
    </row>
    <row r="284" spans="1:35" s="12" customFormat="1" hidden="1" outlineLevel="1">
      <c r="A284" s="95">
        <v>45882</v>
      </c>
      <c r="B284" s="25" t="s">
        <v>20</v>
      </c>
      <c r="C284" s="98"/>
      <c r="D284" s="99">
        <f t="shared" si="165"/>
        <v>0</v>
      </c>
      <c r="E284" s="87">
        <f t="shared" si="166"/>
        <v>-4702</v>
      </c>
      <c r="G284" s="25"/>
      <c r="I284" s="53"/>
      <c r="J284" s="26"/>
      <c r="K284" s="29">
        <f t="shared" si="167"/>
        <v>-438</v>
      </c>
      <c r="M284" s="79"/>
      <c r="N284" s="66"/>
      <c r="O284" s="98"/>
      <c r="P284" s="28"/>
      <c r="Q284" s="230"/>
      <c r="R284" s="29">
        <f t="shared" si="168"/>
        <v>0</v>
      </c>
      <c r="S284" s="54">
        <f t="shared" si="169"/>
        <v>0</v>
      </c>
      <c r="U284" s="53"/>
      <c r="V284" s="29"/>
      <c r="W284" s="29">
        <f t="shared" si="170"/>
        <v>-4342</v>
      </c>
      <c r="Y284" s="79"/>
      <c r="Z284" s="63"/>
      <c r="AA284" s="27"/>
      <c r="AB284" s="28"/>
      <c r="AC284" s="43"/>
      <c r="AD284" s="29">
        <f t="shared" si="172"/>
        <v>3</v>
      </c>
      <c r="AE284" s="29">
        <f t="shared" si="173"/>
        <v>6</v>
      </c>
      <c r="AF284" s="29"/>
      <c r="AG284" s="54"/>
    </row>
    <row r="285" spans="1:35" s="12" customFormat="1" hidden="1" outlineLevel="1" collapsed="1">
      <c r="A285" s="95">
        <v>45883</v>
      </c>
      <c r="B285" s="25" t="s">
        <v>14</v>
      </c>
      <c r="C285" s="98"/>
      <c r="D285" s="99">
        <f t="shared" si="165"/>
        <v>0</v>
      </c>
      <c r="E285" s="87">
        <f t="shared" si="166"/>
        <v>-4702</v>
      </c>
      <c r="G285" s="25"/>
      <c r="I285" s="53"/>
      <c r="J285" s="26"/>
      <c r="K285" s="29">
        <f t="shared" si="167"/>
        <v>-438</v>
      </c>
      <c r="M285" s="79"/>
      <c r="N285" s="66"/>
      <c r="O285" s="98"/>
      <c r="P285" s="28"/>
      <c r="Q285" s="230"/>
      <c r="R285" s="29">
        <f t="shared" si="168"/>
        <v>0</v>
      </c>
      <c r="S285" s="54">
        <f t="shared" si="169"/>
        <v>0</v>
      </c>
      <c r="U285" s="53"/>
      <c r="V285" s="29"/>
      <c r="W285" s="29">
        <f t="shared" si="170"/>
        <v>-4342</v>
      </c>
      <c r="Y285" s="79"/>
      <c r="Z285" s="63"/>
      <c r="AA285" s="27"/>
      <c r="AB285" s="28"/>
      <c r="AC285" s="43"/>
      <c r="AD285" s="29">
        <f t="shared" si="172"/>
        <v>3</v>
      </c>
      <c r="AE285" s="29">
        <f t="shared" si="173"/>
        <v>6</v>
      </c>
      <c r="AF285" s="29"/>
      <c r="AG285" s="54"/>
    </row>
    <row r="286" spans="1:35" s="12" customFormat="1" hidden="1" outlineLevel="1">
      <c r="A286" s="95">
        <v>45884</v>
      </c>
      <c r="B286" s="25" t="s">
        <v>15</v>
      </c>
      <c r="C286" s="98"/>
      <c r="D286" s="99">
        <f t="shared" si="165"/>
        <v>0</v>
      </c>
      <c r="E286" s="87">
        <f t="shared" si="166"/>
        <v>-4702</v>
      </c>
      <c r="G286" s="25"/>
      <c r="I286" s="53"/>
      <c r="J286" s="26"/>
      <c r="K286" s="29">
        <f t="shared" si="167"/>
        <v>-438</v>
      </c>
      <c r="M286" s="79"/>
      <c r="N286" s="66"/>
      <c r="O286" s="98"/>
      <c r="P286" s="28"/>
      <c r="Q286" s="230"/>
      <c r="R286" s="29">
        <f t="shared" si="168"/>
        <v>0</v>
      </c>
      <c r="S286" s="54">
        <f t="shared" si="169"/>
        <v>0</v>
      </c>
      <c r="U286" s="53"/>
      <c r="V286" s="29"/>
      <c r="W286" s="29">
        <f t="shared" si="170"/>
        <v>-4342</v>
      </c>
      <c r="Y286" s="79"/>
      <c r="Z286" s="63"/>
      <c r="AA286" s="27"/>
      <c r="AB286" s="28"/>
      <c r="AC286" s="43"/>
      <c r="AD286" s="29">
        <f t="shared" si="172"/>
        <v>3</v>
      </c>
      <c r="AE286" s="29">
        <f t="shared" si="173"/>
        <v>6</v>
      </c>
      <c r="AF286" s="29"/>
      <c r="AG286" s="54"/>
    </row>
    <row r="287" spans="1:35" s="12" customFormat="1" hidden="1" outlineLevel="1">
      <c r="A287" s="95">
        <v>45885</v>
      </c>
      <c r="B287" s="25" t="s">
        <v>16</v>
      </c>
      <c r="C287" s="98"/>
      <c r="D287" s="99">
        <f t="shared" si="165"/>
        <v>0</v>
      </c>
      <c r="E287" s="87">
        <f t="shared" si="166"/>
        <v>-4702</v>
      </c>
      <c r="G287" s="25"/>
      <c r="I287" s="53"/>
      <c r="J287" s="26"/>
      <c r="K287" s="29">
        <f t="shared" si="167"/>
        <v>-438</v>
      </c>
      <c r="M287" s="79"/>
      <c r="N287" s="66"/>
      <c r="O287" s="98"/>
      <c r="P287" s="28"/>
      <c r="Q287" s="230"/>
      <c r="R287" s="29">
        <f t="shared" si="168"/>
        <v>0</v>
      </c>
      <c r="S287" s="54">
        <f t="shared" si="169"/>
        <v>0</v>
      </c>
      <c r="U287" s="53"/>
      <c r="V287" s="29"/>
      <c r="W287" s="29">
        <f t="shared" si="170"/>
        <v>-4342</v>
      </c>
      <c r="Y287" s="79"/>
      <c r="Z287" s="63"/>
      <c r="AA287" s="27"/>
      <c r="AB287" s="28"/>
      <c r="AC287" s="43"/>
      <c r="AD287" s="29">
        <f t="shared" si="172"/>
        <v>3</v>
      </c>
      <c r="AE287" s="29">
        <f t="shared" si="173"/>
        <v>6</v>
      </c>
      <c r="AF287" s="29"/>
      <c r="AG287" s="54"/>
    </row>
    <row r="288" spans="1:35" s="12" customFormat="1" hidden="1" outlineLevel="1">
      <c r="A288" s="95">
        <v>45886</v>
      </c>
      <c r="B288" s="25" t="s">
        <v>17</v>
      </c>
      <c r="C288" s="98"/>
      <c r="D288" s="99">
        <f t="shared" si="165"/>
        <v>0</v>
      </c>
      <c r="E288" s="87">
        <f t="shared" si="166"/>
        <v>-4702</v>
      </c>
      <c r="G288" s="25"/>
      <c r="I288" s="53"/>
      <c r="J288" s="26"/>
      <c r="K288" s="29">
        <f t="shared" si="167"/>
        <v>-438</v>
      </c>
      <c r="M288" s="79"/>
      <c r="N288" s="66"/>
      <c r="O288" s="98"/>
      <c r="P288" s="28"/>
      <c r="Q288" s="230"/>
      <c r="R288" s="29">
        <f t="shared" si="168"/>
        <v>0</v>
      </c>
      <c r="S288" s="54">
        <f t="shared" si="169"/>
        <v>0</v>
      </c>
      <c r="U288" s="53"/>
      <c r="V288" s="29"/>
      <c r="W288" s="29">
        <f t="shared" si="170"/>
        <v>-4342</v>
      </c>
      <c r="Y288" s="79"/>
      <c r="Z288" s="63"/>
      <c r="AA288" s="27"/>
      <c r="AB288" s="28"/>
      <c r="AC288" s="43"/>
      <c r="AD288" s="29">
        <f t="shared" si="172"/>
        <v>3</v>
      </c>
      <c r="AE288" s="29">
        <f t="shared" si="173"/>
        <v>6</v>
      </c>
      <c r="AF288" s="29"/>
      <c r="AG288" s="54"/>
    </row>
    <row r="289" spans="1:35" hidden="1" outlineLevel="1">
      <c r="A289" s="96">
        <v>45887</v>
      </c>
      <c r="B289" s="17" t="s">
        <v>18</v>
      </c>
      <c r="C289" s="101">
        <v>63</v>
      </c>
      <c r="D289" s="100">
        <f t="shared" si="165"/>
        <v>0</v>
      </c>
      <c r="E289" s="22">
        <f t="shared" si="166"/>
        <v>-4765</v>
      </c>
      <c r="G289" s="17"/>
      <c r="I289" s="51">
        <f>IF(M290&lt;&gt;"",N290,IF(M291&lt;&gt;"",N291,IF(M292&lt;&gt;"",N292,IF(M541&lt;&gt;"",N541,IF(M542&lt;&gt;"",N542,IF(M543&lt;&gt;"",N543))))))</f>
        <v>15</v>
      </c>
      <c r="J289" s="18"/>
      <c r="K289" s="23">
        <f t="shared" si="167"/>
        <v>-453</v>
      </c>
      <c r="M289" s="78">
        <v>9</v>
      </c>
      <c r="N289" s="65">
        <f t="shared" ref="N289:N293" si="174">M289+O289</f>
        <v>9</v>
      </c>
      <c r="O289" s="101"/>
      <c r="P289" s="21"/>
      <c r="Q289" s="192">
        <v>9</v>
      </c>
      <c r="R289" s="23">
        <f t="shared" si="168"/>
        <v>0</v>
      </c>
      <c r="S289" s="52">
        <f t="shared" si="169"/>
        <v>0</v>
      </c>
      <c r="U289" s="51">
        <f t="shared" ref="U289:U293" si="175">C289-I289</f>
        <v>48</v>
      </c>
      <c r="V289" s="23"/>
      <c r="W289" s="23">
        <f t="shared" si="170"/>
        <v>-4390</v>
      </c>
      <c r="Y289" s="78">
        <v>60</v>
      </c>
      <c r="Z289" s="62">
        <f>U279</f>
        <v>57</v>
      </c>
      <c r="AA289" s="20"/>
      <c r="AB289" s="21"/>
      <c r="AC289" s="57">
        <v>57</v>
      </c>
      <c r="AD289" s="23">
        <f t="shared" si="172"/>
        <v>0</v>
      </c>
      <c r="AE289" s="23">
        <f t="shared" si="173"/>
        <v>3</v>
      </c>
      <c r="AF289" s="23"/>
      <c r="AG289" s="52">
        <v>14</v>
      </c>
    </row>
    <row r="290" spans="1:35" hidden="1" outlineLevel="1">
      <c r="A290" s="96">
        <v>45888</v>
      </c>
      <c r="B290" s="17" t="s">
        <v>19</v>
      </c>
      <c r="C290" s="101">
        <v>66</v>
      </c>
      <c r="D290" s="100">
        <f t="shared" si="165"/>
        <v>0</v>
      </c>
      <c r="E290" s="22">
        <f t="shared" si="166"/>
        <v>-4831</v>
      </c>
      <c r="G290" s="17"/>
      <c r="I290" s="51">
        <f>IF(M291&lt;&gt;"",N291,IF(M292&lt;&gt;"",N292,IF(M293&lt;&gt;"",N293,IF(M542&lt;&gt;"",N542,IF(M543&lt;&gt;"",N543,IF(M544&lt;&gt;"",N544))))))</f>
        <v>9</v>
      </c>
      <c r="J290" s="18"/>
      <c r="K290" s="23">
        <f t="shared" si="167"/>
        <v>-462</v>
      </c>
      <c r="M290" s="78">
        <v>15</v>
      </c>
      <c r="N290" s="65">
        <f t="shared" si="174"/>
        <v>15</v>
      </c>
      <c r="O290" s="101"/>
      <c r="P290" s="21"/>
      <c r="Q290" s="192">
        <v>15</v>
      </c>
      <c r="R290" s="23">
        <f t="shared" si="168"/>
        <v>0</v>
      </c>
      <c r="S290" s="52">
        <f t="shared" si="169"/>
        <v>0</v>
      </c>
      <c r="U290" s="51">
        <f t="shared" si="175"/>
        <v>57</v>
      </c>
      <c r="V290" s="23"/>
      <c r="W290" s="23">
        <f t="shared" si="170"/>
        <v>-4447</v>
      </c>
      <c r="Y290" s="78">
        <v>45</v>
      </c>
      <c r="Z290" s="62">
        <f t="shared" si="171"/>
        <v>48</v>
      </c>
      <c r="AA290" s="20"/>
      <c r="AB290" s="21"/>
      <c r="AC290" s="57">
        <v>48</v>
      </c>
      <c r="AD290" s="23">
        <f t="shared" si="172"/>
        <v>3</v>
      </c>
      <c r="AE290" s="23">
        <f t="shared" si="173"/>
        <v>6</v>
      </c>
      <c r="AF290" s="23"/>
      <c r="AG290" s="52">
        <v>17</v>
      </c>
    </row>
    <row r="291" spans="1:35" hidden="1" outlineLevel="1">
      <c r="A291" s="96">
        <v>45889</v>
      </c>
      <c r="B291" s="17" t="s">
        <v>20</v>
      </c>
      <c r="C291" s="101">
        <v>66</v>
      </c>
      <c r="D291" s="100">
        <f t="shared" si="165"/>
        <v>0</v>
      </c>
      <c r="E291" s="22">
        <f t="shared" si="166"/>
        <v>-4897</v>
      </c>
      <c r="G291" s="17"/>
      <c r="I291" s="51">
        <f>IF(M292&lt;&gt;"",N292,IF(M293&lt;&gt;"",N293,IF(M294&lt;&gt;"",N294,IF(M543&lt;&gt;"",N543,IF(M544&lt;&gt;"",N544,IF(M545&lt;&gt;"",N545))))))</f>
        <v>12</v>
      </c>
      <c r="J291" s="18"/>
      <c r="K291" s="23">
        <f t="shared" si="167"/>
        <v>-474</v>
      </c>
      <c r="M291" s="78">
        <v>9</v>
      </c>
      <c r="N291" s="65">
        <f t="shared" si="174"/>
        <v>9</v>
      </c>
      <c r="O291" s="101"/>
      <c r="P291" s="21"/>
      <c r="Q291" s="192">
        <v>9</v>
      </c>
      <c r="R291" s="23">
        <f t="shared" si="168"/>
        <v>0</v>
      </c>
      <c r="S291" s="52">
        <f t="shared" si="169"/>
        <v>0</v>
      </c>
      <c r="U291" s="51">
        <f t="shared" si="175"/>
        <v>54</v>
      </c>
      <c r="V291" s="23"/>
      <c r="W291" s="23">
        <f t="shared" si="170"/>
        <v>-4501</v>
      </c>
      <c r="Y291" s="78">
        <v>60</v>
      </c>
      <c r="Z291" s="62">
        <f t="shared" si="171"/>
        <v>57</v>
      </c>
      <c r="AA291" s="20"/>
      <c r="AB291" s="21"/>
      <c r="AC291" s="57">
        <v>57</v>
      </c>
      <c r="AD291" s="23">
        <f t="shared" si="172"/>
        <v>0</v>
      </c>
      <c r="AE291" s="23">
        <f t="shared" si="173"/>
        <v>3</v>
      </c>
      <c r="AF291" s="23"/>
      <c r="AG291" s="52">
        <v>30</v>
      </c>
    </row>
    <row r="292" spans="1:35" hidden="1" outlineLevel="1">
      <c r="A292" s="96">
        <v>45890</v>
      </c>
      <c r="B292" s="17" t="s">
        <v>14</v>
      </c>
      <c r="C292" s="101">
        <v>63</v>
      </c>
      <c r="D292" s="100">
        <f t="shared" si="165"/>
        <v>0</v>
      </c>
      <c r="E292" s="22">
        <f t="shared" si="166"/>
        <v>-4960</v>
      </c>
      <c r="G292" s="17"/>
      <c r="I292" s="51">
        <f>IF(M293&lt;&gt;"",N293,IF(M294&lt;&gt;"",N294,IF(M295&lt;&gt;"",N295,IF(M544&lt;&gt;"",N544,IF(M545&lt;&gt;"",N545,IF(M546&lt;&gt;"",N546))))))</f>
        <v>9</v>
      </c>
      <c r="J292" s="18"/>
      <c r="K292" s="23">
        <f t="shared" si="167"/>
        <v>-483</v>
      </c>
      <c r="M292" s="78">
        <v>12</v>
      </c>
      <c r="N292" s="65">
        <f t="shared" si="174"/>
        <v>12</v>
      </c>
      <c r="O292" s="101"/>
      <c r="P292" s="21"/>
      <c r="Q292" s="192">
        <f>6+6</f>
        <v>12</v>
      </c>
      <c r="R292" s="23">
        <f t="shared" si="168"/>
        <v>0</v>
      </c>
      <c r="S292" s="52">
        <f t="shared" si="169"/>
        <v>0</v>
      </c>
      <c r="U292" s="51">
        <f t="shared" si="175"/>
        <v>54</v>
      </c>
      <c r="V292" s="23"/>
      <c r="W292" s="23">
        <f t="shared" si="170"/>
        <v>-4555</v>
      </c>
      <c r="Y292" s="78">
        <v>51</v>
      </c>
      <c r="Z292" s="62">
        <f t="shared" si="171"/>
        <v>54</v>
      </c>
      <c r="AA292" s="20"/>
      <c r="AB292" s="21"/>
      <c r="AC292" s="57">
        <v>54</v>
      </c>
      <c r="AD292" s="23">
        <f t="shared" si="172"/>
        <v>3</v>
      </c>
      <c r="AE292" s="23">
        <f t="shared" si="173"/>
        <v>6</v>
      </c>
      <c r="AF292" s="23"/>
      <c r="AG292" s="52">
        <f>30+4</f>
        <v>34</v>
      </c>
    </row>
    <row r="293" spans="1:35" hidden="1" outlineLevel="1">
      <c r="A293" s="96">
        <v>45891</v>
      </c>
      <c r="B293" s="17" t="s">
        <v>15</v>
      </c>
      <c r="C293" s="101">
        <v>60</v>
      </c>
      <c r="D293" s="100">
        <f t="shared" si="165"/>
        <v>0</v>
      </c>
      <c r="E293" s="22">
        <f t="shared" si="166"/>
        <v>-5020</v>
      </c>
      <c r="G293" s="17"/>
      <c r="I293" s="51">
        <f>IF(M294&lt;&gt;"",N294,IF(M295&lt;&gt;"",N295,IF(M296&lt;&gt;"",N296,IF(M545&lt;&gt;"",N545,IF(M546&lt;&gt;"",N546,IF(M547&lt;&gt;"",N547))))))</f>
        <v>6</v>
      </c>
      <c r="J293" s="18"/>
      <c r="K293" s="23">
        <f t="shared" si="167"/>
        <v>-489</v>
      </c>
      <c r="M293" s="78">
        <v>9</v>
      </c>
      <c r="N293" s="65">
        <f t="shared" si="174"/>
        <v>9</v>
      </c>
      <c r="O293" s="101"/>
      <c r="P293" s="21"/>
      <c r="Q293" s="192">
        <v>9</v>
      </c>
      <c r="R293" s="23">
        <f t="shared" si="168"/>
        <v>0</v>
      </c>
      <c r="S293" s="52">
        <f t="shared" si="169"/>
        <v>0</v>
      </c>
      <c r="U293" s="51">
        <f t="shared" si="175"/>
        <v>54</v>
      </c>
      <c r="V293" s="23"/>
      <c r="W293" s="23">
        <f t="shared" si="170"/>
        <v>-4609</v>
      </c>
      <c r="Y293" s="78">
        <v>45</v>
      </c>
      <c r="Z293" s="62">
        <f t="shared" si="171"/>
        <v>54</v>
      </c>
      <c r="AA293" s="20"/>
      <c r="AB293" s="21"/>
      <c r="AC293" s="57">
        <v>54</v>
      </c>
      <c r="AD293" s="23">
        <f t="shared" si="172"/>
        <v>12</v>
      </c>
      <c r="AE293" s="23">
        <f t="shared" si="173"/>
        <v>15</v>
      </c>
      <c r="AF293" s="23"/>
      <c r="AG293" s="52">
        <v>25</v>
      </c>
      <c r="AI293">
        <f>SUM(M289:M293,Y289:Y293)/COUNT(Y289:Y293)</f>
        <v>63</v>
      </c>
    </row>
    <row r="294" spans="1:35" s="12" customFormat="1" hidden="1" outlineLevel="1">
      <c r="A294" s="95">
        <v>45892</v>
      </c>
      <c r="B294" s="25" t="s">
        <v>16</v>
      </c>
      <c r="C294" s="98"/>
      <c r="D294" s="99">
        <f t="shared" si="165"/>
        <v>0</v>
      </c>
      <c r="E294" s="87">
        <f t="shared" si="166"/>
        <v>-5020</v>
      </c>
      <c r="G294" s="25"/>
      <c r="I294" s="53"/>
      <c r="J294" s="26"/>
      <c r="K294" s="29">
        <f t="shared" si="167"/>
        <v>-489</v>
      </c>
      <c r="M294" s="79"/>
      <c r="N294" s="66"/>
      <c r="O294" s="98"/>
      <c r="P294" s="28"/>
      <c r="Q294" s="230"/>
      <c r="R294" s="29">
        <f t="shared" si="168"/>
        <v>0</v>
      </c>
      <c r="S294" s="54">
        <f t="shared" si="169"/>
        <v>0</v>
      </c>
      <c r="U294" s="53"/>
      <c r="V294" s="29"/>
      <c r="W294" s="29">
        <f t="shared" si="170"/>
        <v>-4609</v>
      </c>
      <c r="Y294" s="79"/>
      <c r="Z294" s="63"/>
      <c r="AA294" s="27"/>
      <c r="AB294" s="28"/>
      <c r="AC294" s="43"/>
      <c r="AD294" s="29">
        <f t="shared" si="172"/>
        <v>12</v>
      </c>
      <c r="AE294" s="29">
        <f t="shared" si="173"/>
        <v>15</v>
      </c>
      <c r="AF294" s="29"/>
      <c r="AG294" s="54"/>
    </row>
    <row r="295" spans="1:35" s="12" customFormat="1" hidden="1" outlineLevel="1" collapsed="1">
      <c r="A295" s="95">
        <v>45893</v>
      </c>
      <c r="B295" s="25" t="s">
        <v>17</v>
      </c>
      <c r="C295" s="98"/>
      <c r="D295" s="99">
        <f t="shared" si="165"/>
        <v>0</v>
      </c>
      <c r="E295" s="87">
        <f t="shared" si="166"/>
        <v>-5020</v>
      </c>
      <c r="G295" s="25"/>
      <c r="I295" s="53"/>
      <c r="J295" s="26"/>
      <c r="K295" s="29">
        <f t="shared" si="167"/>
        <v>-489</v>
      </c>
      <c r="M295" s="79"/>
      <c r="N295" s="66"/>
      <c r="O295" s="98"/>
      <c r="P295" s="28"/>
      <c r="Q295" s="230"/>
      <c r="R295" s="29">
        <f t="shared" si="168"/>
        <v>0</v>
      </c>
      <c r="S295" s="54">
        <f t="shared" si="169"/>
        <v>0</v>
      </c>
      <c r="U295" s="53"/>
      <c r="V295" s="29"/>
      <c r="W295" s="29">
        <f t="shared" si="170"/>
        <v>-4609</v>
      </c>
      <c r="Y295" s="79"/>
      <c r="Z295" s="63"/>
      <c r="AA295" s="27"/>
      <c r="AB295" s="28"/>
      <c r="AC295" s="43"/>
      <c r="AD295" s="29">
        <f t="shared" si="172"/>
        <v>12</v>
      </c>
      <c r="AE295" s="29">
        <f t="shared" si="173"/>
        <v>15</v>
      </c>
      <c r="AF295" s="29"/>
      <c r="AG295" s="54"/>
    </row>
    <row r="296" spans="1:35" hidden="1" outlineLevel="1">
      <c r="A296" s="96">
        <v>45894</v>
      </c>
      <c r="B296" s="17" t="s">
        <v>18</v>
      </c>
      <c r="C296" s="101">
        <v>60</v>
      </c>
      <c r="D296" s="100">
        <f t="shared" si="165"/>
        <v>0</v>
      </c>
      <c r="E296" s="22">
        <f t="shared" si="166"/>
        <v>-5080</v>
      </c>
      <c r="G296" s="17"/>
      <c r="I296" s="51">
        <f t="shared" ref="I296:I313" si="176">IF(M297&lt;&gt;"",N297,IF(M298&lt;&gt;"",N298,IF(M299&lt;&gt;"",N299,IF(M548&lt;&gt;"",N548,IF(M549&lt;&gt;"",N549,IF(M550&lt;&gt;"",N550))))))</f>
        <v>3</v>
      </c>
      <c r="J296" s="18"/>
      <c r="K296" s="23">
        <f t="shared" si="167"/>
        <v>-492</v>
      </c>
      <c r="M296" s="78">
        <f>0+6</f>
        <v>6</v>
      </c>
      <c r="N296" s="65">
        <f t="shared" ref="N296:N300" si="177">M296+O296</f>
        <v>6</v>
      </c>
      <c r="O296" s="101"/>
      <c r="P296" s="21"/>
      <c r="Q296" s="192">
        <v>6</v>
      </c>
      <c r="R296" s="23">
        <f t="shared" si="168"/>
        <v>0</v>
      </c>
      <c r="S296" s="52">
        <f t="shared" si="169"/>
        <v>0</v>
      </c>
      <c r="U296" s="51">
        <f t="shared" ref="U296:U300" si="178">C296-I296</f>
        <v>57</v>
      </c>
      <c r="V296" s="23"/>
      <c r="W296" s="23">
        <f t="shared" si="170"/>
        <v>-4666</v>
      </c>
      <c r="Y296" s="78">
        <f>3+3</f>
        <v>6</v>
      </c>
      <c r="Z296" s="62">
        <f t="shared" si="171"/>
        <v>54</v>
      </c>
      <c r="AA296" s="20"/>
      <c r="AB296" s="21"/>
      <c r="AC296" s="57">
        <v>54</v>
      </c>
      <c r="AD296" s="23">
        <f t="shared" si="172"/>
        <v>60</v>
      </c>
      <c r="AE296" s="23">
        <f t="shared" si="173"/>
        <v>63</v>
      </c>
      <c r="AF296" s="23"/>
      <c r="AG296" s="52">
        <v>23</v>
      </c>
    </row>
    <row r="297" spans="1:35" hidden="1" outlineLevel="1">
      <c r="A297" s="96">
        <v>45895</v>
      </c>
      <c r="B297" s="17" t="s">
        <v>19</v>
      </c>
      <c r="C297" s="101">
        <v>60</v>
      </c>
      <c r="D297" s="100">
        <f t="shared" si="165"/>
        <v>0</v>
      </c>
      <c r="E297" s="22">
        <f t="shared" si="166"/>
        <v>-5140</v>
      </c>
      <c r="G297" s="17"/>
      <c r="I297" s="51">
        <f t="shared" si="176"/>
        <v>3</v>
      </c>
      <c r="J297" s="18"/>
      <c r="K297" s="23">
        <f t="shared" si="167"/>
        <v>-495</v>
      </c>
      <c r="M297" s="78">
        <v>3</v>
      </c>
      <c r="N297" s="65">
        <f t="shared" si="177"/>
        <v>3</v>
      </c>
      <c r="O297" s="101"/>
      <c r="P297" s="21"/>
      <c r="Q297" s="192">
        <v>3</v>
      </c>
      <c r="R297" s="23">
        <f t="shared" si="168"/>
        <v>0</v>
      </c>
      <c r="S297" s="52">
        <f t="shared" si="169"/>
        <v>0</v>
      </c>
      <c r="U297" s="51">
        <f t="shared" si="178"/>
        <v>57</v>
      </c>
      <c r="V297" s="23"/>
      <c r="W297" s="23">
        <f t="shared" si="170"/>
        <v>-4723</v>
      </c>
      <c r="Y297" s="78">
        <v>51</v>
      </c>
      <c r="Z297" s="62">
        <f t="shared" si="171"/>
        <v>57</v>
      </c>
      <c r="AA297" s="20"/>
      <c r="AB297" s="21"/>
      <c r="AC297" s="57">
        <v>57</v>
      </c>
      <c r="AD297" s="23">
        <f t="shared" si="172"/>
        <v>66</v>
      </c>
      <c r="AE297" s="23">
        <f t="shared" si="173"/>
        <v>69</v>
      </c>
      <c r="AF297" s="23"/>
      <c r="AG297" s="52">
        <v>28</v>
      </c>
    </row>
    <row r="298" spans="1:35" hidden="1" outlineLevel="1">
      <c r="A298" s="96">
        <v>45896</v>
      </c>
      <c r="B298" s="17" t="s">
        <v>20</v>
      </c>
      <c r="C298" s="101">
        <v>60</v>
      </c>
      <c r="D298" s="100">
        <f t="shared" si="165"/>
        <v>0</v>
      </c>
      <c r="E298" s="22">
        <f t="shared" si="166"/>
        <v>-5200</v>
      </c>
      <c r="G298" s="17"/>
      <c r="I298" s="51">
        <f t="shared" si="176"/>
        <v>3</v>
      </c>
      <c r="J298" s="18"/>
      <c r="K298" s="23">
        <f t="shared" si="167"/>
        <v>-498</v>
      </c>
      <c r="M298" s="78">
        <v>3</v>
      </c>
      <c r="N298" s="65">
        <f t="shared" si="177"/>
        <v>3</v>
      </c>
      <c r="O298" s="101"/>
      <c r="P298" s="21"/>
      <c r="Q298" s="192">
        <v>3</v>
      </c>
      <c r="R298" s="23">
        <f t="shared" si="168"/>
        <v>0</v>
      </c>
      <c r="S298" s="52">
        <f t="shared" si="169"/>
        <v>0</v>
      </c>
      <c r="U298" s="51">
        <f t="shared" si="178"/>
        <v>57</v>
      </c>
      <c r="V298" s="23"/>
      <c r="W298" s="23">
        <f t="shared" si="170"/>
        <v>-4780</v>
      </c>
      <c r="Y298" s="78">
        <v>66</v>
      </c>
      <c r="Z298" s="62">
        <f t="shared" si="171"/>
        <v>57</v>
      </c>
      <c r="AA298" s="20"/>
      <c r="AB298" s="21"/>
      <c r="AC298" s="57">
        <v>57</v>
      </c>
      <c r="AD298" s="23">
        <f t="shared" si="172"/>
        <v>57</v>
      </c>
      <c r="AE298" s="23">
        <f t="shared" si="173"/>
        <v>60</v>
      </c>
      <c r="AF298" s="23"/>
      <c r="AG298" s="52">
        <v>30</v>
      </c>
    </row>
    <row r="299" spans="1:35" hidden="1" outlineLevel="1">
      <c r="A299" s="96">
        <v>45897</v>
      </c>
      <c r="B299" s="17" t="s">
        <v>14</v>
      </c>
      <c r="C299" s="101">
        <v>60</v>
      </c>
      <c r="D299" s="100">
        <f t="shared" si="165"/>
        <v>0</v>
      </c>
      <c r="E299" s="22">
        <f t="shared" si="166"/>
        <v>-5260</v>
      </c>
      <c r="G299" s="17"/>
      <c r="I299" s="51">
        <f t="shared" si="176"/>
        <v>3</v>
      </c>
      <c r="J299" s="18"/>
      <c r="K299" s="23">
        <f t="shared" si="167"/>
        <v>-501</v>
      </c>
      <c r="M299" s="78">
        <v>3</v>
      </c>
      <c r="N299" s="65">
        <f t="shared" si="177"/>
        <v>3</v>
      </c>
      <c r="O299" s="101"/>
      <c r="P299" s="21"/>
      <c r="Q299" s="192">
        <v>3</v>
      </c>
      <c r="R299" s="23">
        <f t="shared" si="168"/>
        <v>0</v>
      </c>
      <c r="S299" s="52">
        <f t="shared" si="169"/>
        <v>0</v>
      </c>
      <c r="U299" s="51">
        <f t="shared" si="178"/>
        <v>57</v>
      </c>
      <c r="V299" s="23"/>
      <c r="W299" s="23">
        <f t="shared" si="170"/>
        <v>-4837</v>
      </c>
      <c r="Y299" s="78">
        <v>69</v>
      </c>
      <c r="Z299" s="62">
        <f t="shared" si="171"/>
        <v>57</v>
      </c>
      <c r="AA299" s="20"/>
      <c r="AB299" s="21"/>
      <c r="AC299" s="57">
        <v>57</v>
      </c>
      <c r="AD299" s="23">
        <f t="shared" si="172"/>
        <v>45</v>
      </c>
      <c r="AE299" s="23">
        <f t="shared" si="173"/>
        <v>48</v>
      </c>
      <c r="AF299" s="23"/>
      <c r="AG299" s="52">
        <v>20</v>
      </c>
    </row>
    <row r="300" spans="1:35" hidden="1" outlineLevel="1">
      <c r="A300" s="96">
        <v>45898</v>
      </c>
      <c r="B300" s="17" t="s">
        <v>15</v>
      </c>
      <c r="C300" s="101">
        <v>60</v>
      </c>
      <c r="D300" s="100">
        <f t="shared" si="165"/>
        <v>0</v>
      </c>
      <c r="E300" s="22">
        <f t="shared" si="166"/>
        <v>-5320</v>
      </c>
      <c r="G300" s="17"/>
      <c r="I300" s="51">
        <f t="shared" si="176"/>
        <v>3</v>
      </c>
      <c r="J300" s="18"/>
      <c r="K300" s="23">
        <f t="shared" si="167"/>
        <v>-504</v>
      </c>
      <c r="M300" s="78">
        <v>3</v>
      </c>
      <c r="N300" s="65">
        <f t="shared" si="177"/>
        <v>3</v>
      </c>
      <c r="O300" s="101"/>
      <c r="P300" s="21"/>
      <c r="Q300" s="192">
        <v>3</v>
      </c>
      <c r="R300" s="23">
        <f t="shared" si="168"/>
        <v>0</v>
      </c>
      <c r="S300" s="52">
        <f t="shared" si="169"/>
        <v>0</v>
      </c>
      <c r="U300" s="51">
        <f t="shared" si="178"/>
        <v>57</v>
      </c>
      <c r="V300" s="23"/>
      <c r="W300" s="23">
        <f t="shared" si="170"/>
        <v>-4894</v>
      </c>
      <c r="Y300" s="78">
        <v>57</v>
      </c>
      <c r="Z300" s="62">
        <f t="shared" si="171"/>
        <v>57</v>
      </c>
      <c r="AA300" s="20"/>
      <c r="AB300" s="21"/>
      <c r="AC300" s="57">
        <v>57</v>
      </c>
      <c r="AD300" s="23">
        <f t="shared" si="172"/>
        <v>45</v>
      </c>
      <c r="AE300" s="23">
        <f t="shared" si="173"/>
        <v>48</v>
      </c>
      <c r="AF300" s="23"/>
      <c r="AG300" s="52">
        <v>20</v>
      </c>
      <c r="AI300">
        <f>SUM(M296:M300,Y296:Y300)/COUNT(Y296:Y300)</f>
        <v>53.4</v>
      </c>
    </row>
    <row r="301" spans="1:35" s="12" customFormat="1" hidden="1" outlineLevel="1">
      <c r="A301" s="95">
        <v>45899</v>
      </c>
      <c r="B301" s="25" t="s">
        <v>16</v>
      </c>
      <c r="C301" s="98"/>
      <c r="D301" s="99">
        <f t="shared" si="165"/>
        <v>0</v>
      </c>
      <c r="E301" s="87">
        <f t="shared" si="166"/>
        <v>-5320</v>
      </c>
      <c r="G301" s="25"/>
      <c r="I301" s="53">
        <f t="shared" si="176"/>
        <v>3</v>
      </c>
      <c r="J301" s="26"/>
      <c r="K301" s="29">
        <f t="shared" si="167"/>
        <v>-507</v>
      </c>
      <c r="M301" s="64"/>
      <c r="N301" s="66"/>
      <c r="O301" s="98"/>
      <c r="P301" s="28"/>
      <c r="Q301" s="230"/>
      <c r="R301" s="29">
        <f t="shared" si="168"/>
        <v>0</v>
      </c>
      <c r="S301" s="54">
        <f t="shared" si="169"/>
        <v>0</v>
      </c>
      <c r="U301" s="53"/>
      <c r="V301" s="29"/>
      <c r="W301" s="29">
        <f t="shared" si="170"/>
        <v>-4894</v>
      </c>
      <c r="Y301" s="64"/>
      <c r="Z301" s="63"/>
      <c r="AA301" s="27"/>
      <c r="AB301" s="28"/>
      <c r="AC301" s="43"/>
      <c r="AD301" s="29">
        <f t="shared" si="172"/>
        <v>45</v>
      </c>
      <c r="AE301" s="29">
        <f t="shared" si="173"/>
        <v>48</v>
      </c>
      <c r="AF301" s="29"/>
      <c r="AG301" s="54"/>
    </row>
    <row r="302" spans="1:35" s="12" customFormat="1" hidden="1" outlineLevel="1" collapsed="1">
      <c r="A302" s="95">
        <v>45900</v>
      </c>
      <c r="B302" s="25" t="s">
        <v>17</v>
      </c>
      <c r="C302" s="98"/>
      <c r="D302" s="99">
        <f t="shared" si="165"/>
        <v>0</v>
      </c>
      <c r="E302" s="87">
        <f t="shared" si="166"/>
        <v>-5320</v>
      </c>
      <c r="G302" s="25"/>
      <c r="I302" s="53">
        <f t="shared" si="176"/>
        <v>3</v>
      </c>
      <c r="J302" s="26"/>
      <c r="K302" s="29">
        <f t="shared" si="167"/>
        <v>-510</v>
      </c>
      <c r="M302" s="64"/>
      <c r="N302" s="66"/>
      <c r="O302" s="98"/>
      <c r="P302" s="28"/>
      <c r="Q302" s="230"/>
      <c r="R302" s="29">
        <f t="shared" si="168"/>
        <v>0</v>
      </c>
      <c r="S302" s="54">
        <f t="shared" si="169"/>
        <v>0</v>
      </c>
      <c r="U302" s="53"/>
      <c r="V302" s="29"/>
      <c r="W302" s="29">
        <f t="shared" si="170"/>
        <v>-4894</v>
      </c>
      <c r="Y302" s="64"/>
      <c r="Z302" s="63"/>
      <c r="AA302" s="27"/>
      <c r="AB302" s="28"/>
      <c r="AC302" s="43"/>
      <c r="AD302" s="29">
        <f t="shared" si="172"/>
        <v>45</v>
      </c>
      <c r="AE302" s="29">
        <f t="shared" si="173"/>
        <v>48</v>
      </c>
      <c r="AF302" s="29"/>
      <c r="AG302" s="54"/>
    </row>
    <row r="303" spans="1:35" hidden="1" outlineLevel="1">
      <c r="A303" s="96">
        <v>45901</v>
      </c>
      <c r="B303" s="17" t="s">
        <v>18</v>
      </c>
      <c r="C303" s="101">
        <v>60</v>
      </c>
      <c r="D303" s="100">
        <f t="shared" si="165"/>
        <v>0</v>
      </c>
      <c r="E303" s="22">
        <f t="shared" si="166"/>
        <v>-5380</v>
      </c>
      <c r="G303" s="17"/>
      <c r="I303" s="51">
        <f t="shared" si="176"/>
        <v>3</v>
      </c>
      <c r="J303" s="18"/>
      <c r="K303" s="23">
        <f t="shared" si="167"/>
        <v>-513</v>
      </c>
      <c r="M303" s="78">
        <v>3</v>
      </c>
      <c r="N303" s="65">
        <f t="shared" ref="N303:N307" si="179">M303+O303</f>
        <v>3</v>
      </c>
      <c r="O303" s="101"/>
      <c r="P303" s="21"/>
      <c r="Q303" s="192">
        <v>3</v>
      </c>
      <c r="R303" s="23">
        <f t="shared" si="168"/>
        <v>0</v>
      </c>
      <c r="S303" s="52">
        <f t="shared" si="169"/>
        <v>0</v>
      </c>
      <c r="U303" s="51">
        <f t="shared" ref="U303:U307" si="180">C303-I303</f>
        <v>57</v>
      </c>
      <c r="V303" s="23"/>
      <c r="W303" s="23">
        <f t="shared" si="170"/>
        <v>-4951</v>
      </c>
      <c r="Y303" s="78">
        <v>69</v>
      </c>
      <c r="Z303" s="62">
        <f t="shared" si="171"/>
        <v>57</v>
      </c>
      <c r="AA303" s="20"/>
      <c r="AB303" s="21"/>
      <c r="AC303" s="57">
        <v>57</v>
      </c>
      <c r="AD303" s="23">
        <f t="shared" si="172"/>
        <v>33</v>
      </c>
      <c r="AE303" s="23">
        <f>AE302-Y303+Z303-3</f>
        <v>33</v>
      </c>
      <c r="AF303" s="23"/>
      <c r="AG303" s="52">
        <v>23</v>
      </c>
    </row>
    <row r="304" spans="1:35" hidden="1" outlineLevel="1">
      <c r="A304" s="96">
        <v>45902</v>
      </c>
      <c r="B304" s="17" t="s">
        <v>19</v>
      </c>
      <c r="C304" s="101">
        <v>66</v>
      </c>
      <c r="D304" s="100">
        <f t="shared" si="165"/>
        <v>0</v>
      </c>
      <c r="E304" s="22">
        <f t="shared" si="166"/>
        <v>-5446</v>
      </c>
      <c r="G304" s="17"/>
      <c r="I304" s="51">
        <f t="shared" si="176"/>
        <v>6</v>
      </c>
      <c r="J304" s="18"/>
      <c r="K304" s="23">
        <f t="shared" si="167"/>
        <v>-519</v>
      </c>
      <c r="M304" s="78">
        <v>3</v>
      </c>
      <c r="N304" s="65">
        <f t="shared" si="179"/>
        <v>3</v>
      </c>
      <c r="O304" s="101"/>
      <c r="P304" s="21"/>
      <c r="Q304" s="192">
        <v>3</v>
      </c>
      <c r="R304" s="23">
        <f t="shared" si="168"/>
        <v>0</v>
      </c>
      <c r="S304" s="52">
        <f t="shared" si="169"/>
        <v>0</v>
      </c>
      <c r="U304" s="51">
        <f t="shared" si="180"/>
        <v>60</v>
      </c>
      <c r="V304" s="23"/>
      <c r="W304" s="23">
        <f t="shared" si="170"/>
        <v>-5011</v>
      </c>
      <c r="Y304" s="78">
        <v>57</v>
      </c>
      <c r="Z304" s="62">
        <f t="shared" si="171"/>
        <v>57</v>
      </c>
      <c r="AA304" s="20"/>
      <c r="AB304" s="21"/>
      <c r="AC304" s="57">
        <v>57</v>
      </c>
      <c r="AD304" s="23">
        <f t="shared" si="172"/>
        <v>33</v>
      </c>
      <c r="AE304" s="23">
        <f t="shared" si="173"/>
        <v>33</v>
      </c>
      <c r="AF304" s="23"/>
      <c r="AG304" s="52">
        <v>35</v>
      </c>
    </row>
    <row r="305" spans="1:35" hidden="1" outlineLevel="1">
      <c r="A305" s="96">
        <v>45903</v>
      </c>
      <c r="B305" s="17" t="s">
        <v>20</v>
      </c>
      <c r="C305" s="101">
        <v>72</v>
      </c>
      <c r="D305" s="100">
        <f t="shared" si="165"/>
        <v>0</v>
      </c>
      <c r="E305" s="22">
        <f t="shared" si="166"/>
        <v>-5518</v>
      </c>
      <c r="G305" s="17"/>
      <c r="I305" s="51">
        <f t="shared" si="176"/>
        <v>3</v>
      </c>
      <c r="J305" s="18"/>
      <c r="K305" s="23">
        <f t="shared" si="167"/>
        <v>-522</v>
      </c>
      <c r="M305" s="78">
        <v>6</v>
      </c>
      <c r="N305" s="65">
        <f t="shared" si="179"/>
        <v>6</v>
      </c>
      <c r="O305" s="101"/>
      <c r="P305" s="21"/>
      <c r="Q305" s="192">
        <v>6</v>
      </c>
      <c r="R305" s="23">
        <f t="shared" si="168"/>
        <v>0</v>
      </c>
      <c r="S305" s="52">
        <f t="shared" si="169"/>
        <v>0</v>
      </c>
      <c r="U305" s="51">
        <f t="shared" si="180"/>
        <v>69</v>
      </c>
      <c r="V305" s="23"/>
      <c r="W305" s="23">
        <f t="shared" si="170"/>
        <v>-5080</v>
      </c>
      <c r="Y305" s="78">
        <v>72</v>
      </c>
      <c r="Z305" s="62">
        <f t="shared" si="171"/>
        <v>60</v>
      </c>
      <c r="AA305" s="20"/>
      <c r="AB305" s="21"/>
      <c r="AC305" s="57">
        <v>60</v>
      </c>
      <c r="AD305" s="23">
        <f t="shared" si="172"/>
        <v>21</v>
      </c>
      <c r="AE305" s="23">
        <f t="shared" si="173"/>
        <v>21</v>
      </c>
      <c r="AF305" s="23"/>
      <c r="AG305" s="52">
        <v>25</v>
      </c>
    </row>
    <row r="306" spans="1:35" hidden="1" outlineLevel="1">
      <c r="A306" s="96">
        <v>45904</v>
      </c>
      <c r="B306" s="17" t="s">
        <v>14</v>
      </c>
      <c r="C306" s="101">
        <v>72</v>
      </c>
      <c r="D306" s="100">
        <f t="shared" si="165"/>
        <v>0</v>
      </c>
      <c r="E306" s="22">
        <f t="shared" si="166"/>
        <v>-5590</v>
      </c>
      <c r="G306" s="17"/>
      <c r="I306" s="51">
        <f t="shared" si="176"/>
        <v>6</v>
      </c>
      <c r="J306" s="18"/>
      <c r="K306" s="23">
        <f t="shared" si="167"/>
        <v>-528</v>
      </c>
      <c r="M306" s="78">
        <v>3</v>
      </c>
      <c r="N306" s="65">
        <f t="shared" si="179"/>
        <v>3</v>
      </c>
      <c r="O306" s="101"/>
      <c r="P306" s="21"/>
      <c r="Q306" s="192">
        <v>3</v>
      </c>
      <c r="R306" s="23">
        <f t="shared" si="168"/>
        <v>0</v>
      </c>
      <c r="S306" s="52">
        <f t="shared" si="169"/>
        <v>0</v>
      </c>
      <c r="U306" s="51">
        <f t="shared" si="180"/>
        <v>66</v>
      </c>
      <c r="V306" s="23"/>
      <c r="W306" s="23">
        <f t="shared" si="170"/>
        <v>-5146</v>
      </c>
      <c r="Y306" s="78">
        <v>63</v>
      </c>
      <c r="Z306" s="62">
        <f t="shared" si="171"/>
        <v>69</v>
      </c>
      <c r="AA306" s="20"/>
      <c r="AB306" s="21"/>
      <c r="AC306" s="57">
        <f>66+3</f>
        <v>69</v>
      </c>
      <c r="AD306" s="23">
        <f t="shared" si="172"/>
        <v>27</v>
      </c>
      <c r="AE306" s="23">
        <f t="shared" si="173"/>
        <v>27</v>
      </c>
      <c r="AF306" s="23"/>
      <c r="AG306" s="52">
        <f>9+24</f>
        <v>33</v>
      </c>
    </row>
    <row r="307" spans="1:35" hidden="1" outlineLevel="1">
      <c r="A307" s="96">
        <v>45905</v>
      </c>
      <c r="B307" s="17" t="s">
        <v>15</v>
      </c>
      <c r="C307" s="101">
        <f>72-18</f>
        <v>54</v>
      </c>
      <c r="D307" s="100">
        <f t="shared" si="165"/>
        <v>0</v>
      </c>
      <c r="E307" s="22">
        <f t="shared" si="166"/>
        <v>-5644</v>
      </c>
      <c r="G307" s="17"/>
      <c r="I307" s="51">
        <f t="shared" si="176"/>
        <v>9</v>
      </c>
      <c r="J307" s="18"/>
      <c r="K307" s="23">
        <f t="shared" si="167"/>
        <v>-537</v>
      </c>
      <c r="M307" s="78">
        <v>6</v>
      </c>
      <c r="N307" s="65">
        <f t="shared" si="179"/>
        <v>6</v>
      </c>
      <c r="O307" s="101"/>
      <c r="P307" s="21"/>
      <c r="Q307" s="192">
        <v>6</v>
      </c>
      <c r="R307" s="23">
        <f t="shared" si="168"/>
        <v>0</v>
      </c>
      <c r="S307" s="52">
        <f t="shared" si="169"/>
        <v>0</v>
      </c>
      <c r="U307" s="51">
        <f t="shared" si="180"/>
        <v>45</v>
      </c>
      <c r="V307" s="23"/>
      <c r="W307" s="23">
        <f t="shared" si="170"/>
        <v>-5191</v>
      </c>
      <c r="Y307" s="78">
        <v>54</v>
      </c>
      <c r="Z307" s="62">
        <f t="shared" si="171"/>
        <v>66</v>
      </c>
      <c r="AA307" s="20"/>
      <c r="AB307" s="21"/>
      <c r="AC307" s="57">
        <v>66</v>
      </c>
      <c r="AD307" s="23">
        <f t="shared" si="172"/>
        <v>39</v>
      </c>
      <c r="AE307" s="23">
        <f t="shared" si="173"/>
        <v>39</v>
      </c>
      <c r="AF307" s="23"/>
      <c r="AG307" s="52">
        <v>25</v>
      </c>
      <c r="AI307">
        <f>SUM(M303:M307,Y303:Y307)/COUNT(Y303:Y307)</f>
        <v>67.2</v>
      </c>
    </row>
    <row r="308" spans="1:35" s="12" customFormat="1" hidden="1" outlineLevel="1">
      <c r="A308" s="95">
        <v>45906</v>
      </c>
      <c r="B308" s="25" t="s">
        <v>16</v>
      </c>
      <c r="C308" s="98"/>
      <c r="D308" s="99">
        <f t="shared" si="165"/>
        <v>0</v>
      </c>
      <c r="E308" s="87">
        <f t="shared" si="166"/>
        <v>-5644</v>
      </c>
      <c r="G308" s="25"/>
      <c r="I308" s="53">
        <f t="shared" si="176"/>
        <v>9</v>
      </c>
      <c r="J308" s="26"/>
      <c r="K308" s="29">
        <f t="shared" si="167"/>
        <v>-546</v>
      </c>
      <c r="M308" s="79"/>
      <c r="N308" s="66"/>
      <c r="O308" s="98"/>
      <c r="P308" s="28"/>
      <c r="Q308" s="230"/>
      <c r="R308" s="29">
        <f t="shared" si="168"/>
        <v>0</v>
      </c>
      <c r="S308" s="54">
        <f t="shared" si="169"/>
        <v>0</v>
      </c>
      <c r="U308" s="53"/>
      <c r="V308" s="29"/>
      <c r="W308" s="29">
        <f t="shared" si="170"/>
        <v>-5191</v>
      </c>
      <c r="Y308" s="79"/>
      <c r="Z308" s="63"/>
      <c r="AA308" s="27"/>
      <c r="AB308" s="28"/>
      <c r="AC308" s="43"/>
      <c r="AD308" s="29">
        <f t="shared" si="172"/>
        <v>39</v>
      </c>
      <c r="AE308" s="29">
        <f t="shared" si="173"/>
        <v>39</v>
      </c>
      <c r="AF308" s="29"/>
      <c r="AG308" s="54"/>
    </row>
    <row r="309" spans="1:35" s="12" customFormat="1" hidden="1" outlineLevel="1" collapsed="1">
      <c r="A309" s="95">
        <v>45907</v>
      </c>
      <c r="B309" s="25" t="s">
        <v>17</v>
      </c>
      <c r="C309" s="98"/>
      <c r="D309" s="99">
        <f t="shared" si="165"/>
        <v>0</v>
      </c>
      <c r="E309" s="87">
        <f t="shared" si="166"/>
        <v>-5644</v>
      </c>
      <c r="G309" s="25"/>
      <c r="I309" s="53">
        <f t="shared" si="176"/>
        <v>9</v>
      </c>
      <c r="J309" s="26"/>
      <c r="K309" s="29">
        <f t="shared" si="167"/>
        <v>-555</v>
      </c>
      <c r="M309" s="79"/>
      <c r="N309" s="66"/>
      <c r="O309" s="98"/>
      <c r="P309" s="28"/>
      <c r="Q309" s="230"/>
      <c r="R309" s="29">
        <f t="shared" si="168"/>
        <v>0</v>
      </c>
      <c r="S309" s="54">
        <f t="shared" si="169"/>
        <v>0</v>
      </c>
      <c r="U309" s="53"/>
      <c r="V309" s="29"/>
      <c r="W309" s="29">
        <f t="shared" si="170"/>
        <v>-5191</v>
      </c>
      <c r="Y309" s="79"/>
      <c r="Z309" s="63"/>
      <c r="AA309" s="27"/>
      <c r="AB309" s="28"/>
      <c r="AC309" s="43"/>
      <c r="AD309" s="29">
        <f t="shared" si="172"/>
        <v>39</v>
      </c>
      <c r="AE309" s="29">
        <f t="shared" si="173"/>
        <v>39</v>
      </c>
      <c r="AF309" s="29"/>
      <c r="AG309" s="54"/>
    </row>
    <row r="310" spans="1:35" hidden="1" outlineLevel="1">
      <c r="A310" s="96">
        <v>45908</v>
      </c>
      <c r="B310" s="17" t="s">
        <v>18</v>
      </c>
      <c r="C310" s="101">
        <f>72-72</f>
        <v>0</v>
      </c>
      <c r="D310" s="100">
        <f t="shared" ref="D310:D335" si="181">J310+V310</f>
        <v>0</v>
      </c>
      <c r="E310" s="22">
        <f t="shared" ref="E310:E335" si="182">E309-C310+D310</f>
        <v>-5644</v>
      </c>
      <c r="G310" s="17"/>
      <c r="I310" s="51">
        <f t="shared" si="176"/>
        <v>0</v>
      </c>
      <c r="J310" s="18"/>
      <c r="K310" s="23">
        <f t="shared" ref="K310:K335" si="183">J310-I310+K309</f>
        <v>-555</v>
      </c>
      <c r="M310" s="78">
        <v>6</v>
      </c>
      <c r="N310" s="65">
        <f t="shared" ref="N310:N314" si="184">M310+O310</f>
        <v>9</v>
      </c>
      <c r="O310" s="101">
        <v>3</v>
      </c>
      <c r="P310" s="21"/>
      <c r="Q310" s="192">
        <v>9</v>
      </c>
      <c r="R310" s="23">
        <f t="shared" ref="R310:R335" si="185">R309-M310+Q310</f>
        <v>3</v>
      </c>
      <c r="S310" s="52">
        <f t="shared" ref="S310:S335" si="186">S309-M310+N310</f>
        <v>3</v>
      </c>
      <c r="U310" s="51">
        <f t="shared" ref="U310:U314" si="187">C310-I310</f>
        <v>0</v>
      </c>
      <c r="V310" s="23"/>
      <c r="W310" s="23">
        <f t="shared" ref="W310:W335" si="188">V310-U310+W309</f>
        <v>-5191</v>
      </c>
      <c r="Y310" s="78">
        <v>81</v>
      </c>
      <c r="Z310" s="62">
        <f t="shared" ref="Z310:Z335" si="189">IF(U309&lt;&gt;"",U309+AA310,IF(U308&lt;&gt;"",U308+AA310,IF(U307&lt;&gt;"",U307+AA310,IF(U306&lt;&gt;"",U306+AA310,IF(U305&lt;&gt;"",U305+AA310,IF(U304&lt;&gt;"",U304+AA310,IF(U303&lt;&gt;"",U303+AA310)))))))</f>
        <v>45</v>
      </c>
      <c r="AA310" s="20"/>
      <c r="AB310" s="21"/>
      <c r="AC310" s="57">
        <v>45</v>
      </c>
      <c r="AD310" s="23">
        <f t="shared" ref="AD310:AD335" si="190">AD309-Y310+AC310</f>
        <v>3</v>
      </c>
      <c r="AE310" s="23">
        <f t="shared" ref="AE310:AE335" si="191">AE309-Y310+Z310</f>
        <v>3</v>
      </c>
      <c r="AF310" s="23"/>
      <c r="AG310" s="52">
        <f>6+25</f>
        <v>31</v>
      </c>
    </row>
    <row r="311" spans="1:35" hidden="1" outlineLevel="1">
      <c r="A311" s="96">
        <v>45909</v>
      </c>
      <c r="B311" s="17" t="s">
        <v>19</v>
      </c>
      <c r="C311" s="101">
        <f>72-18</f>
        <v>54</v>
      </c>
      <c r="D311" s="100">
        <f t="shared" si="181"/>
        <v>0</v>
      </c>
      <c r="E311" s="22">
        <f t="shared" si="182"/>
        <v>-5698</v>
      </c>
      <c r="G311" s="17"/>
      <c r="I311" s="51">
        <f t="shared" si="176"/>
        <v>3</v>
      </c>
      <c r="J311" s="18"/>
      <c r="K311" s="23">
        <f t="shared" si="183"/>
        <v>-558</v>
      </c>
      <c r="M311" s="78">
        <v>3</v>
      </c>
      <c r="N311" s="65">
        <f t="shared" si="184"/>
        <v>0</v>
      </c>
      <c r="O311" s="101">
        <v>-3</v>
      </c>
      <c r="P311" s="21"/>
      <c r="Q311" s="192">
        <v>0</v>
      </c>
      <c r="R311" s="23">
        <f t="shared" si="185"/>
        <v>0</v>
      </c>
      <c r="S311" s="52">
        <f t="shared" si="186"/>
        <v>0</v>
      </c>
      <c r="U311" s="51">
        <f t="shared" si="187"/>
        <v>51</v>
      </c>
      <c r="V311" s="23"/>
      <c r="W311" s="23">
        <f t="shared" si="188"/>
        <v>-5242</v>
      </c>
      <c r="Y311" s="78">
        <v>0</v>
      </c>
      <c r="Z311" s="62">
        <f t="shared" si="189"/>
        <v>0</v>
      </c>
      <c r="AA311" s="20"/>
      <c r="AB311" s="21"/>
      <c r="AC311" s="57">
        <v>0</v>
      </c>
      <c r="AD311" s="23">
        <f t="shared" si="190"/>
        <v>3</v>
      </c>
      <c r="AE311" s="23">
        <f t="shared" si="191"/>
        <v>3</v>
      </c>
      <c r="AF311" s="23"/>
      <c r="AG311" s="52">
        <v>30</v>
      </c>
    </row>
    <row r="312" spans="1:35" hidden="1" outlineLevel="1">
      <c r="A312" s="96">
        <v>45910</v>
      </c>
      <c r="B312" s="17" t="s">
        <v>20</v>
      </c>
      <c r="C312" s="101">
        <f>72-15</f>
        <v>57</v>
      </c>
      <c r="D312" s="100">
        <f t="shared" si="181"/>
        <v>0</v>
      </c>
      <c r="E312" s="22">
        <f t="shared" si="182"/>
        <v>-5755</v>
      </c>
      <c r="G312" s="17"/>
      <c r="I312" s="51">
        <f t="shared" si="176"/>
        <v>3</v>
      </c>
      <c r="J312" s="18"/>
      <c r="K312" s="23">
        <f t="shared" si="183"/>
        <v>-561</v>
      </c>
      <c r="M312" s="78">
        <v>3</v>
      </c>
      <c r="N312" s="65">
        <f t="shared" si="184"/>
        <v>3</v>
      </c>
      <c r="O312" s="101"/>
      <c r="P312" s="21"/>
      <c r="Q312" s="192">
        <v>3</v>
      </c>
      <c r="R312" s="23">
        <f t="shared" si="185"/>
        <v>0</v>
      </c>
      <c r="S312" s="52">
        <f t="shared" si="186"/>
        <v>0</v>
      </c>
      <c r="U312" s="51">
        <f t="shared" si="187"/>
        <v>54</v>
      </c>
      <c r="V312" s="23"/>
      <c r="W312" s="23">
        <f t="shared" si="188"/>
        <v>-5296</v>
      </c>
      <c r="Y312" s="203">
        <v>39</v>
      </c>
      <c r="Z312" s="62">
        <f t="shared" si="189"/>
        <v>51</v>
      </c>
      <c r="AA312" s="20"/>
      <c r="AB312" s="21"/>
      <c r="AC312" s="57">
        <v>51</v>
      </c>
      <c r="AD312" s="23">
        <f t="shared" si="190"/>
        <v>15</v>
      </c>
      <c r="AE312" s="23">
        <f t="shared" si="191"/>
        <v>15</v>
      </c>
      <c r="AF312" s="23"/>
      <c r="AG312" s="52">
        <f>20+25</f>
        <v>45</v>
      </c>
    </row>
    <row r="313" spans="1:35" hidden="1" outlineLevel="1">
      <c r="A313" s="96">
        <v>45911</v>
      </c>
      <c r="B313" s="17" t="s">
        <v>14</v>
      </c>
      <c r="C313" s="101">
        <f>66-9</f>
        <v>57</v>
      </c>
      <c r="D313" s="100">
        <f t="shared" si="181"/>
        <v>0</v>
      </c>
      <c r="E313" s="22">
        <f t="shared" si="182"/>
        <v>-5812</v>
      </c>
      <c r="G313" s="17"/>
      <c r="I313" s="51">
        <f t="shared" si="176"/>
        <v>3</v>
      </c>
      <c r="J313" s="18"/>
      <c r="K313" s="23">
        <f t="shared" si="183"/>
        <v>-564</v>
      </c>
      <c r="M313" s="314">
        <f>3</f>
        <v>3</v>
      </c>
      <c r="N313" s="65">
        <f t="shared" si="184"/>
        <v>3</v>
      </c>
      <c r="O313" s="101"/>
      <c r="P313" s="21"/>
      <c r="Q313" s="192">
        <v>3</v>
      </c>
      <c r="R313" s="23">
        <f t="shared" si="185"/>
        <v>0</v>
      </c>
      <c r="S313" s="52">
        <f t="shared" si="186"/>
        <v>0</v>
      </c>
      <c r="U313" s="51">
        <f t="shared" si="187"/>
        <v>54</v>
      </c>
      <c r="V313" s="23"/>
      <c r="W313" s="23">
        <f t="shared" si="188"/>
        <v>-5350</v>
      </c>
      <c r="Y313" s="314">
        <f>54</f>
        <v>54</v>
      </c>
      <c r="Z313" s="62">
        <f t="shared" si="189"/>
        <v>54</v>
      </c>
      <c r="AA313" s="20">
        <v>0</v>
      </c>
      <c r="AB313" s="21"/>
      <c r="AC313" s="57">
        <v>54</v>
      </c>
      <c r="AD313" s="23">
        <f t="shared" si="190"/>
        <v>15</v>
      </c>
      <c r="AE313" s="23">
        <f t="shared" si="191"/>
        <v>15</v>
      </c>
      <c r="AF313" s="23"/>
      <c r="AG313" s="52">
        <v>28</v>
      </c>
    </row>
    <row r="314" spans="1:35" hidden="1" outlineLevel="1">
      <c r="A314" s="96">
        <v>45912</v>
      </c>
      <c r="B314" s="17" t="s">
        <v>15</v>
      </c>
      <c r="C314" s="101">
        <f>63-9</f>
        <v>54</v>
      </c>
      <c r="D314" s="100">
        <f t="shared" si="181"/>
        <v>0</v>
      </c>
      <c r="E314" s="22">
        <f t="shared" si="182"/>
        <v>-5866</v>
      </c>
      <c r="G314" s="17"/>
      <c r="I314" s="51">
        <f>M318</f>
        <v>3</v>
      </c>
      <c r="J314" s="18"/>
      <c r="K314" s="23">
        <f t="shared" si="183"/>
        <v>-567</v>
      </c>
      <c r="M314" s="203">
        <v>3</v>
      </c>
      <c r="N314" s="65">
        <f t="shared" si="184"/>
        <v>3</v>
      </c>
      <c r="O314" s="101"/>
      <c r="P314" s="21"/>
      <c r="Q314" s="192">
        <v>3</v>
      </c>
      <c r="R314" s="23">
        <f t="shared" si="185"/>
        <v>0</v>
      </c>
      <c r="S314" s="52">
        <f t="shared" si="186"/>
        <v>0</v>
      </c>
      <c r="U314" s="51">
        <f t="shared" si="187"/>
        <v>51</v>
      </c>
      <c r="V314" s="23"/>
      <c r="W314" s="23">
        <f t="shared" si="188"/>
        <v>-5401</v>
      </c>
      <c r="Y314" s="203">
        <v>69</v>
      </c>
      <c r="Z314" s="62">
        <f t="shared" si="189"/>
        <v>54</v>
      </c>
      <c r="AA314" s="20"/>
      <c r="AB314" s="21"/>
      <c r="AC314" s="57">
        <v>54</v>
      </c>
      <c r="AD314" s="23">
        <f t="shared" si="190"/>
        <v>0</v>
      </c>
      <c r="AE314" s="23">
        <f t="shared" si="191"/>
        <v>0</v>
      </c>
      <c r="AF314" s="23"/>
      <c r="AG314" s="52">
        <v>23</v>
      </c>
      <c r="AI314">
        <f>SUM(M310:M314,Y310:Y314)/COUNT(Y310:Y314)</f>
        <v>52.2</v>
      </c>
    </row>
    <row r="315" spans="1:35" s="12" customFormat="1" hidden="1" outlineLevel="1">
      <c r="A315" s="95">
        <v>45913</v>
      </c>
      <c r="B315" s="25" t="s">
        <v>16</v>
      </c>
      <c r="C315" s="98"/>
      <c r="D315" s="99">
        <f t="shared" si="181"/>
        <v>0</v>
      </c>
      <c r="E315" s="87">
        <f t="shared" si="182"/>
        <v>-5866</v>
      </c>
      <c r="G315" s="25"/>
      <c r="I315" s="53"/>
      <c r="J315" s="26"/>
      <c r="K315" s="29">
        <f t="shared" si="183"/>
        <v>-567</v>
      </c>
      <c r="M315" s="300"/>
      <c r="N315" s="66"/>
      <c r="O315" s="98"/>
      <c r="P315" s="28"/>
      <c r="Q315" s="230"/>
      <c r="R315" s="29">
        <f t="shared" si="185"/>
        <v>0</v>
      </c>
      <c r="S315" s="54">
        <f t="shared" si="186"/>
        <v>0</v>
      </c>
      <c r="U315" s="53"/>
      <c r="V315" s="29"/>
      <c r="W315" s="29">
        <f t="shared" si="188"/>
        <v>-5401</v>
      </c>
      <c r="Y315" s="300"/>
      <c r="Z315" s="63"/>
      <c r="AA315" s="27"/>
      <c r="AB315" s="28"/>
      <c r="AC315" s="43"/>
      <c r="AD315" s="29">
        <f t="shared" si="190"/>
        <v>0</v>
      </c>
      <c r="AE315" s="29">
        <f t="shared" si="191"/>
        <v>0</v>
      </c>
      <c r="AF315" s="29"/>
      <c r="AG315" s="54"/>
    </row>
    <row r="316" spans="1:35" s="12" customFormat="1" hidden="1" outlineLevel="1">
      <c r="A316" s="95">
        <v>45914</v>
      </c>
      <c r="B316" s="25" t="s">
        <v>17</v>
      </c>
      <c r="C316" s="98"/>
      <c r="D316" s="99">
        <f t="shared" si="181"/>
        <v>0</v>
      </c>
      <c r="E316" s="87">
        <f t="shared" si="182"/>
        <v>-5866</v>
      </c>
      <c r="G316" s="25"/>
      <c r="I316" s="53"/>
      <c r="J316" s="26"/>
      <c r="K316" s="29">
        <f t="shared" si="183"/>
        <v>-567</v>
      </c>
      <c r="M316" s="300"/>
      <c r="N316" s="66"/>
      <c r="O316" s="98"/>
      <c r="P316" s="28"/>
      <c r="Q316" s="230"/>
      <c r="R316" s="29">
        <f t="shared" si="185"/>
        <v>0</v>
      </c>
      <c r="S316" s="54">
        <f t="shared" si="186"/>
        <v>0</v>
      </c>
      <c r="U316" s="53"/>
      <c r="V316" s="29"/>
      <c r="W316" s="29">
        <f t="shared" si="188"/>
        <v>-5401</v>
      </c>
      <c r="Y316" s="300"/>
      <c r="Z316" s="63"/>
      <c r="AA316" s="27"/>
      <c r="AB316" s="28"/>
      <c r="AC316" s="43"/>
      <c r="AD316" s="29">
        <f t="shared" si="190"/>
        <v>0</v>
      </c>
      <c r="AE316" s="29">
        <f t="shared" si="191"/>
        <v>0</v>
      </c>
      <c r="AF316" s="29"/>
      <c r="AG316" s="54"/>
    </row>
    <row r="317" spans="1:35" s="12" customFormat="1" collapsed="1">
      <c r="A317" s="95">
        <v>45915</v>
      </c>
      <c r="B317" s="25" t="s">
        <v>18</v>
      </c>
      <c r="C317" s="98"/>
      <c r="D317" s="99">
        <f t="shared" si="181"/>
        <v>0</v>
      </c>
      <c r="E317" s="87">
        <f t="shared" si="182"/>
        <v>-5866</v>
      </c>
      <c r="G317" s="25"/>
      <c r="I317" s="53"/>
      <c r="J317" s="26"/>
      <c r="K317" s="29">
        <f t="shared" si="183"/>
        <v>-567</v>
      </c>
      <c r="M317" s="300"/>
      <c r="N317" s="66"/>
      <c r="O317" s="98"/>
      <c r="P317" s="28"/>
      <c r="Q317" s="230"/>
      <c r="R317" s="29">
        <f t="shared" si="185"/>
        <v>0</v>
      </c>
      <c r="S317" s="54">
        <f t="shared" si="186"/>
        <v>0</v>
      </c>
      <c r="U317" s="53"/>
      <c r="V317" s="29"/>
      <c r="W317" s="29">
        <f t="shared" si="188"/>
        <v>-5401</v>
      </c>
      <c r="Y317" s="300"/>
      <c r="Z317" s="63"/>
      <c r="AA317" s="27"/>
      <c r="AB317" s="28"/>
      <c r="AC317" s="43"/>
      <c r="AD317" s="29">
        <f t="shared" si="190"/>
        <v>0</v>
      </c>
      <c r="AE317" s="29">
        <f t="shared" si="191"/>
        <v>0</v>
      </c>
      <c r="AF317" s="29"/>
      <c r="AG317" s="54"/>
    </row>
    <row r="318" spans="1:35">
      <c r="A318" s="96">
        <v>45916</v>
      </c>
      <c r="B318" s="17" t="s">
        <v>19</v>
      </c>
      <c r="C318" s="101">
        <v>66</v>
      </c>
      <c r="D318" s="100">
        <f t="shared" si="181"/>
        <v>0</v>
      </c>
      <c r="E318" s="22">
        <f t="shared" si="182"/>
        <v>-5932</v>
      </c>
      <c r="G318" s="17"/>
      <c r="I318" s="51">
        <f>IF(M319&lt;&gt;"",N319,IF(M320&lt;&gt;"",N320,IF(M321&lt;&gt;"",N321,IF(M570&lt;&gt;"",N570,IF(M571&lt;&gt;"",N571,IF(M572&lt;&gt;"",N572))))))</f>
        <v>6</v>
      </c>
      <c r="J318" s="18"/>
      <c r="K318" s="23">
        <f t="shared" si="183"/>
        <v>-573</v>
      </c>
      <c r="M318" s="203">
        <v>3</v>
      </c>
      <c r="N318" s="65">
        <f t="shared" ref="N318:N321" si="192">M318+O318</f>
        <v>3</v>
      </c>
      <c r="O318" s="101"/>
      <c r="P318" s="21"/>
      <c r="Q318" s="192">
        <v>3</v>
      </c>
      <c r="R318" s="23">
        <f t="shared" si="185"/>
        <v>0</v>
      </c>
      <c r="S318" s="52">
        <f t="shared" si="186"/>
        <v>0</v>
      </c>
      <c r="U318" s="51">
        <f t="shared" ref="U318:U321" si="193">C318-I318</f>
        <v>60</v>
      </c>
      <c r="V318" s="23"/>
      <c r="W318" s="23">
        <f t="shared" si="188"/>
        <v>-5461</v>
      </c>
      <c r="Y318" s="203">
        <v>48</v>
      </c>
      <c r="Z318" s="62">
        <f t="shared" si="189"/>
        <v>51</v>
      </c>
      <c r="AA318" s="20"/>
      <c r="AB318" s="21"/>
      <c r="AC318" s="57">
        <v>51</v>
      </c>
      <c r="AD318" s="23">
        <f t="shared" si="190"/>
        <v>3</v>
      </c>
      <c r="AE318" s="23">
        <f t="shared" si="191"/>
        <v>3</v>
      </c>
      <c r="AF318" s="23"/>
      <c r="AG318" s="52">
        <v>25</v>
      </c>
    </row>
    <row r="319" spans="1:35">
      <c r="A319" s="96">
        <v>45917</v>
      </c>
      <c r="B319" s="17" t="s">
        <v>20</v>
      </c>
      <c r="C319" s="101">
        <v>66</v>
      </c>
      <c r="D319" s="100">
        <f t="shared" si="181"/>
        <v>0</v>
      </c>
      <c r="E319" s="22">
        <f t="shared" si="182"/>
        <v>-5998</v>
      </c>
      <c r="G319" s="17"/>
      <c r="I319" s="51">
        <f>IF(M320&lt;&gt;"",N320,IF(M321&lt;&gt;"",N321,IF(M322&lt;&gt;"",N322,IF(M571&lt;&gt;"",N571,IF(M572&lt;&gt;"",N572,IF(M573&lt;&gt;"",N573))))))</f>
        <v>6</v>
      </c>
      <c r="J319" s="18"/>
      <c r="K319" s="23">
        <f t="shared" si="183"/>
        <v>-579</v>
      </c>
      <c r="M319" s="203">
        <v>6</v>
      </c>
      <c r="N319" s="65">
        <f t="shared" si="192"/>
        <v>6</v>
      </c>
      <c r="O319" s="101"/>
      <c r="P319" s="21"/>
      <c r="Q319" s="192">
        <v>6</v>
      </c>
      <c r="R319" s="23">
        <f t="shared" si="185"/>
        <v>0</v>
      </c>
      <c r="S319" s="52">
        <f t="shared" si="186"/>
        <v>0</v>
      </c>
      <c r="U319" s="51">
        <f t="shared" si="193"/>
        <v>60</v>
      </c>
      <c r="V319" s="23"/>
      <c r="W319" s="23">
        <f t="shared" si="188"/>
        <v>-5521</v>
      </c>
      <c r="Y319" s="203">
        <v>57</v>
      </c>
      <c r="Z319" s="62">
        <f t="shared" si="189"/>
        <v>60</v>
      </c>
      <c r="AA319" s="20"/>
      <c r="AB319" s="21"/>
      <c r="AC319" s="57">
        <v>60</v>
      </c>
      <c r="AD319" s="23">
        <f t="shared" si="190"/>
        <v>6</v>
      </c>
      <c r="AE319" s="23">
        <f t="shared" si="191"/>
        <v>6</v>
      </c>
      <c r="AF319" s="23"/>
      <c r="AG319" s="52">
        <v>30</v>
      </c>
    </row>
    <row r="320" spans="1:35">
      <c r="A320" s="96">
        <v>45918</v>
      </c>
      <c r="B320" s="17" t="s">
        <v>14</v>
      </c>
      <c r="C320" s="101">
        <v>66</v>
      </c>
      <c r="D320" s="100">
        <f t="shared" si="181"/>
        <v>0</v>
      </c>
      <c r="E320" s="22">
        <f t="shared" si="182"/>
        <v>-6064</v>
      </c>
      <c r="G320" s="17"/>
      <c r="I320" s="51">
        <f>IF(M321&lt;&gt;"",N321,IF(M322&lt;&gt;"",N322,IF(M323&lt;&gt;"",N323,IF(M572&lt;&gt;"",N572,IF(M573&lt;&gt;"",N573,IF(M574&lt;&gt;"",N574))))))</f>
        <v>3</v>
      </c>
      <c r="J320" s="18"/>
      <c r="K320" s="23">
        <f t="shared" si="183"/>
        <v>-582</v>
      </c>
      <c r="M320" s="203">
        <v>6</v>
      </c>
      <c r="N320" s="65">
        <f t="shared" si="192"/>
        <v>6</v>
      </c>
      <c r="O320" s="101"/>
      <c r="P320" s="21"/>
      <c r="Q320" s="192">
        <v>6</v>
      </c>
      <c r="R320" s="23">
        <f t="shared" si="185"/>
        <v>0</v>
      </c>
      <c r="S320" s="52">
        <f t="shared" si="186"/>
        <v>0</v>
      </c>
      <c r="U320" s="51">
        <f t="shared" si="193"/>
        <v>63</v>
      </c>
      <c r="V320" s="23"/>
      <c r="W320" s="23">
        <f t="shared" si="188"/>
        <v>-5584</v>
      </c>
      <c r="Y320" s="203">
        <v>66</v>
      </c>
      <c r="Z320" s="62">
        <f t="shared" si="189"/>
        <v>60</v>
      </c>
      <c r="AA320" s="20"/>
      <c r="AB320" s="21"/>
      <c r="AC320" s="57">
        <v>60</v>
      </c>
      <c r="AD320" s="23">
        <f t="shared" si="190"/>
        <v>0</v>
      </c>
      <c r="AE320" s="23">
        <f t="shared" si="191"/>
        <v>0</v>
      </c>
      <c r="AF320" s="23"/>
      <c r="AG320" s="52">
        <v>24</v>
      </c>
    </row>
    <row r="321" spans="1:35">
      <c r="A321" s="96">
        <v>45919</v>
      </c>
      <c r="B321" s="17" t="s">
        <v>15</v>
      </c>
      <c r="C321" s="101">
        <v>66</v>
      </c>
      <c r="D321" s="100">
        <f t="shared" si="181"/>
        <v>0</v>
      </c>
      <c r="E321" s="22">
        <f t="shared" si="182"/>
        <v>-6130</v>
      </c>
      <c r="G321" s="17"/>
      <c r="I321" s="51">
        <f>IF(M322&lt;&gt;"",N322,IF(M323&lt;&gt;"",N323,IF(M324&lt;&gt;"",N324,IF(M573&lt;&gt;"",N573,IF(M574&lt;&gt;"",N574,IF(M575&lt;&gt;"",N575))))))</f>
        <v>6</v>
      </c>
      <c r="J321" s="18"/>
      <c r="K321" s="23">
        <f t="shared" si="183"/>
        <v>-588</v>
      </c>
      <c r="M321" s="203">
        <v>3</v>
      </c>
      <c r="N321" s="65">
        <f t="shared" si="192"/>
        <v>3</v>
      </c>
      <c r="O321" s="101"/>
      <c r="P321" s="21"/>
      <c r="Q321" s="192">
        <v>3</v>
      </c>
      <c r="R321" s="23">
        <f t="shared" si="185"/>
        <v>0</v>
      </c>
      <c r="S321" s="52">
        <f t="shared" si="186"/>
        <v>0</v>
      </c>
      <c r="U321" s="51">
        <f t="shared" si="193"/>
        <v>60</v>
      </c>
      <c r="V321" s="23"/>
      <c r="W321" s="23">
        <f t="shared" si="188"/>
        <v>-5644</v>
      </c>
      <c r="Y321" s="203">
        <v>51</v>
      </c>
      <c r="Z321" s="62">
        <f t="shared" si="189"/>
        <v>63</v>
      </c>
      <c r="AA321" s="20"/>
      <c r="AB321" s="21"/>
      <c r="AC321" s="57">
        <f>60+3</f>
        <v>63</v>
      </c>
      <c r="AD321" s="23">
        <f t="shared" si="190"/>
        <v>12</v>
      </c>
      <c r="AE321" s="23">
        <f t="shared" si="191"/>
        <v>12</v>
      </c>
      <c r="AF321" s="23"/>
      <c r="AG321" s="52"/>
      <c r="AI321">
        <f>SUM(M318:M321,Y318:Y321)/COUNT(Y318:Y321)</f>
        <v>60</v>
      </c>
    </row>
    <row r="322" spans="1:35" s="12" customFormat="1">
      <c r="A322" s="95">
        <v>45920</v>
      </c>
      <c r="B322" s="25" t="s">
        <v>16</v>
      </c>
      <c r="C322" s="98"/>
      <c r="D322" s="99">
        <f t="shared" si="181"/>
        <v>0</v>
      </c>
      <c r="E322" s="87">
        <f t="shared" si="182"/>
        <v>-6130</v>
      </c>
      <c r="G322" s="25"/>
      <c r="I322" s="53"/>
      <c r="J322" s="26"/>
      <c r="K322" s="29">
        <f t="shared" si="183"/>
        <v>-588</v>
      </c>
      <c r="M322" s="300"/>
      <c r="N322" s="66"/>
      <c r="O322" s="98"/>
      <c r="P322" s="28"/>
      <c r="Q322" s="230"/>
      <c r="R322" s="29">
        <f t="shared" si="185"/>
        <v>0</v>
      </c>
      <c r="S322" s="54">
        <f t="shared" si="186"/>
        <v>0</v>
      </c>
      <c r="U322" s="53"/>
      <c r="V322" s="29"/>
      <c r="W322" s="29">
        <f t="shared" si="188"/>
        <v>-5644</v>
      </c>
      <c r="Y322" s="300"/>
      <c r="Z322" s="63"/>
      <c r="AA322" s="27"/>
      <c r="AB322" s="28"/>
      <c r="AC322" s="43"/>
      <c r="AD322" s="29">
        <f t="shared" si="190"/>
        <v>12</v>
      </c>
      <c r="AE322" s="29">
        <f t="shared" si="191"/>
        <v>12</v>
      </c>
      <c r="AF322" s="29"/>
      <c r="AG322" s="54"/>
    </row>
    <row r="323" spans="1:35" s="12" customFormat="1">
      <c r="A323" s="95">
        <v>45921</v>
      </c>
      <c r="B323" s="25" t="s">
        <v>17</v>
      </c>
      <c r="C323" s="98"/>
      <c r="D323" s="99">
        <f t="shared" si="181"/>
        <v>0</v>
      </c>
      <c r="E323" s="87">
        <f t="shared" si="182"/>
        <v>-6130</v>
      </c>
      <c r="G323" s="25"/>
      <c r="I323" s="53"/>
      <c r="J323" s="26"/>
      <c r="K323" s="29">
        <f t="shared" si="183"/>
        <v>-588</v>
      </c>
      <c r="M323" s="300"/>
      <c r="N323" s="66"/>
      <c r="O323" s="98"/>
      <c r="P323" s="28"/>
      <c r="Q323" s="230"/>
      <c r="R323" s="29">
        <f t="shared" si="185"/>
        <v>0</v>
      </c>
      <c r="S323" s="54">
        <f t="shared" si="186"/>
        <v>0</v>
      </c>
      <c r="U323" s="53"/>
      <c r="V323" s="29"/>
      <c r="W323" s="29">
        <f t="shared" si="188"/>
        <v>-5644</v>
      </c>
      <c r="Y323" s="300"/>
      <c r="Z323" s="63"/>
      <c r="AA323" s="27"/>
      <c r="AB323" s="28"/>
      <c r="AC323" s="43"/>
      <c r="AD323" s="29">
        <f t="shared" si="190"/>
        <v>12</v>
      </c>
      <c r="AE323" s="29">
        <f t="shared" si="191"/>
        <v>12</v>
      </c>
      <c r="AF323" s="29"/>
      <c r="AG323" s="54"/>
    </row>
    <row r="324" spans="1:35">
      <c r="A324" s="96">
        <v>45922</v>
      </c>
      <c r="B324" s="17" t="s">
        <v>18</v>
      </c>
      <c r="C324" s="137">
        <v>57</v>
      </c>
      <c r="D324" s="100">
        <f t="shared" si="181"/>
        <v>0</v>
      </c>
      <c r="E324" s="22">
        <f t="shared" si="182"/>
        <v>-6187</v>
      </c>
      <c r="G324" s="17"/>
      <c r="I324" s="51">
        <f>IF(M325&lt;&gt;"",N325,IF(M326&lt;&gt;"",N326,IF(M327&lt;&gt;"",N327,IF(M576&lt;&gt;"",N576,IF(M577&lt;&gt;"",N577,IF(M578&lt;&gt;"",N578))))))</f>
        <v>6</v>
      </c>
      <c r="J324" s="18"/>
      <c r="K324" s="23">
        <f t="shared" si="183"/>
        <v>-594</v>
      </c>
      <c r="M324" s="203">
        <v>6</v>
      </c>
      <c r="N324" s="65">
        <f t="shared" ref="N324:N328" si="194">M324+O324</f>
        <v>6</v>
      </c>
      <c r="O324" s="101"/>
      <c r="P324" s="21"/>
      <c r="Q324" s="191"/>
      <c r="R324" s="23">
        <f t="shared" si="185"/>
        <v>-6</v>
      </c>
      <c r="S324" s="52">
        <f t="shared" si="186"/>
        <v>0</v>
      </c>
      <c r="U324" s="51">
        <f t="shared" ref="U324:U328" si="195">C324-I324</f>
        <v>51</v>
      </c>
      <c r="V324" s="23"/>
      <c r="W324" s="23">
        <f t="shared" si="188"/>
        <v>-5695</v>
      </c>
      <c r="Y324" s="203">
        <v>69</v>
      </c>
      <c r="Z324" s="62">
        <f t="shared" si="189"/>
        <v>60</v>
      </c>
      <c r="AA324" s="20"/>
      <c r="AB324" s="21"/>
      <c r="AC324" s="42"/>
      <c r="AD324" s="23">
        <f t="shared" si="190"/>
        <v>-57</v>
      </c>
      <c r="AE324" s="23">
        <f t="shared" si="191"/>
        <v>3</v>
      </c>
      <c r="AF324" s="23"/>
      <c r="AG324" s="52"/>
    </row>
    <row r="325" spans="1:35">
      <c r="A325" s="96">
        <v>45923</v>
      </c>
      <c r="B325" s="17" t="s">
        <v>19</v>
      </c>
      <c r="C325" s="137">
        <v>57</v>
      </c>
      <c r="D325" s="100">
        <f t="shared" si="181"/>
        <v>0</v>
      </c>
      <c r="E325" s="22">
        <f t="shared" si="182"/>
        <v>-6244</v>
      </c>
      <c r="G325" s="17"/>
      <c r="I325" s="51">
        <f>IF(M326&lt;&gt;"",N326,IF(M327&lt;&gt;"",N327,IF(M328&lt;&gt;"",N328,IF(M577&lt;&gt;"",N577,IF(M578&lt;&gt;"",N578,IF(M579&lt;&gt;"",N579))))))</f>
        <v>6</v>
      </c>
      <c r="J325" s="18"/>
      <c r="K325" s="23">
        <f t="shared" si="183"/>
        <v>-600</v>
      </c>
      <c r="M325" s="203">
        <v>6</v>
      </c>
      <c r="N325" s="65">
        <f t="shared" si="194"/>
        <v>6</v>
      </c>
      <c r="O325" s="101"/>
      <c r="P325" s="21"/>
      <c r="Q325" s="191"/>
      <c r="R325" s="23">
        <f t="shared" si="185"/>
        <v>-12</v>
      </c>
      <c r="S325" s="52">
        <f t="shared" si="186"/>
        <v>0</v>
      </c>
      <c r="U325" s="51">
        <f t="shared" si="195"/>
        <v>51</v>
      </c>
      <c r="V325" s="23"/>
      <c r="W325" s="23">
        <f t="shared" si="188"/>
        <v>-5746</v>
      </c>
      <c r="Y325" s="203">
        <v>51</v>
      </c>
      <c r="Z325" s="62">
        <f t="shared" si="189"/>
        <v>51</v>
      </c>
      <c r="AA325" s="20"/>
      <c r="AB325" s="21"/>
      <c r="AC325" s="42"/>
      <c r="AD325" s="23">
        <f t="shared" si="190"/>
        <v>-108</v>
      </c>
      <c r="AE325" s="23">
        <f t="shared" si="191"/>
        <v>3</v>
      </c>
      <c r="AF325" s="23"/>
      <c r="AG325" s="52"/>
    </row>
    <row r="326" spans="1:35">
      <c r="A326" s="96">
        <v>45924</v>
      </c>
      <c r="B326" s="17" t="s">
        <v>20</v>
      </c>
      <c r="C326" s="137">
        <v>57</v>
      </c>
      <c r="D326" s="100">
        <f t="shared" si="181"/>
        <v>0</v>
      </c>
      <c r="E326" s="22">
        <f t="shared" si="182"/>
        <v>-6301</v>
      </c>
      <c r="G326" s="17"/>
      <c r="I326" s="51">
        <f>IF(M327&lt;&gt;"",N327,IF(M328&lt;&gt;"",N328,IF(M329&lt;&gt;"",N329,IF(M578&lt;&gt;"",N578,IF(M579&lt;&gt;"",N579,IF(M580&lt;&gt;"",N580))))))</f>
        <v>0</v>
      </c>
      <c r="J326" s="18"/>
      <c r="K326" s="23">
        <f t="shared" si="183"/>
        <v>-600</v>
      </c>
      <c r="M326" s="78">
        <v>6</v>
      </c>
      <c r="N326" s="65">
        <f t="shared" si="194"/>
        <v>6</v>
      </c>
      <c r="O326" s="101"/>
      <c r="P326" s="21"/>
      <c r="Q326" s="191"/>
      <c r="R326" s="23">
        <f t="shared" si="185"/>
        <v>-18</v>
      </c>
      <c r="S326" s="52">
        <f t="shared" si="186"/>
        <v>0</v>
      </c>
      <c r="U326" s="51">
        <f t="shared" si="195"/>
        <v>57</v>
      </c>
      <c r="V326" s="23"/>
      <c r="W326" s="23">
        <f t="shared" si="188"/>
        <v>-5803</v>
      </c>
      <c r="Y326" s="78">
        <v>51</v>
      </c>
      <c r="Z326" s="62">
        <f t="shared" si="189"/>
        <v>51</v>
      </c>
      <c r="AA326" s="20"/>
      <c r="AB326" s="21"/>
      <c r="AC326" s="42"/>
      <c r="AD326" s="23">
        <f t="shared" si="190"/>
        <v>-159</v>
      </c>
      <c r="AE326" s="23">
        <f t="shared" si="191"/>
        <v>3</v>
      </c>
      <c r="AF326" s="23"/>
      <c r="AG326" s="52"/>
    </row>
    <row r="327" spans="1:35">
      <c r="A327" s="96">
        <v>45925</v>
      </c>
      <c r="B327" s="17" t="s">
        <v>14</v>
      </c>
      <c r="C327" s="137">
        <v>60</v>
      </c>
      <c r="D327" s="100">
        <f t="shared" si="181"/>
        <v>0</v>
      </c>
      <c r="E327" s="22">
        <f t="shared" si="182"/>
        <v>-6361</v>
      </c>
      <c r="G327" s="17"/>
      <c r="I327" s="51">
        <f>IF(M328&lt;&gt;"",N328,IF(M329&lt;&gt;"",N329,IF(M330&lt;&gt;"",N330,IF(M579&lt;&gt;"",N579,IF(M580&lt;&gt;"",N580,IF(M581&lt;&gt;"",N581))))))</f>
        <v>0</v>
      </c>
      <c r="J327" s="18"/>
      <c r="K327" s="23">
        <f t="shared" si="183"/>
        <v>-600</v>
      </c>
      <c r="M327" s="78">
        <v>0</v>
      </c>
      <c r="N327" s="65">
        <f t="shared" si="194"/>
        <v>0</v>
      </c>
      <c r="O327" s="101"/>
      <c r="P327" s="21"/>
      <c r="Q327" s="191"/>
      <c r="R327" s="23">
        <f t="shared" si="185"/>
        <v>-18</v>
      </c>
      <c r="S327" s="52">
        <f t="shared" si="186"/>
        <v>0</v>
      </c>
      <c r="U327" s="51">
        <f t="shared" si="195"/>
        <v>60</v>
      </c>
      <c r="V327" s="23"/>
      <c r="W327" s="23">
        <f t="shared" si="188"/>
        <v>-5863</v>
      </c>
      <c r="Y327" s="78">
        <v>51</v>
      </c>
      <c r="Z327" s="62">
        <f t="shared" si="189"/>
        <v>57</v>
      </c>
      <c r="AA327" s="20"/>
      <c r="AB327" s="21"/>
      <c r="AC327" s="42"/>
      <c r="AD327" s="23">
        <f t="shared" si="190"/>
        <v>-210</v>
      </c>
      <c r="AE327" s="23">
        <f t="shared" si="191"/>
        <v>9</v>
      </c>
      <c r="AF327" s="23"/>
      <c r="AG327" s="52"/>
    </row>
    <row r="328" spans="1:35">
      <c r="A328" s="96">
        <v>45926</v>
      </c>
      <c r="B328" s="17" t="s">
        <v>15</v>
      </c>
      <c r="C328" s="137">
        <v>60</v>
      </c>
      <c r="D328" s="100">
        <f t="shared" si="181"/>
        <v>0</v>
      </c>
      <c r="E328" s="22">
        <f t="shared" si="182"/>
        <v>-6421</v>
      </c>
      <c r="G328" s="17"/>
      <c r="I328" s="51">
        <f>IF(M329&lt;&gt;"",N329,IF(M330&lt;&gt;"",N330,IF(M331&lt;&gt;"",N331,IF(M580&lt;&gt;"",N580,IF(M581&lt;&gt;"",N581,IF(M582&lt;&gt;"",N582))))))</f>
        <v>0</v>
      </c>
      <c r="J328" s="18"/>
      <c r="K328" s="23">
        <f t="shared" si="183"/>
        <v>-600</v>
      </c>
      <c r="M328" s="78">
        <v>0</v>
      </c>
      <c r="N328" s="65">
        <f t="shared" si="194"/>
        <v>0</v>
      </c>
      <c r="O328" s="101"/>
      <c r="P328" s="21"/>
      <c r="Q328" s="191"/>
      <c r="R328" s="23">
        <f t="shared" si="185"/>
        <v>-18</v>
      </c>
      <c r="S328" s="52">
        <f t="shared" si="186"/>
        <v>0</v>
      </c>
      <c r="U328" s="51">
        <f t="shared" si="195"/>
        <v>60</v>
      </c>
      <c r="V328" s="23"/>
      <c r="W328" s="23">
        <f t="shared" si="188"/>
        <v>-5923</v>
      </c>
      <c r="Y328" s="78">
        <v>54</v>
      </c>
      <c r="Z328" s="62">
        <f t="shared" si="189"/>
        <v>72</v>
      </c>
      <c r="AA328" s="158">
        <v>12</v>
      </c>
      <c r="AB328" s="21"/>
      <c r="AC328" s="42"/>
      <c r="AD328" s="23">
        <f t="shared" si="190"/>
        <v>-264</v>
      </c>
      <c r="AE328" s="23">
        <f t="shared" si="191"/>
        <v>27</v>
      </c>
      <c r="AF328" s="23"/>
      <c r="AG328" s="52"/>
      <c r="AI328">
        <f>SUM(M324:M328,Y324:Y328)/COUNT(Y324:Y328)</f>
        <v>58.8</v>
      </c>
    </row>
    <row r="329" spans="1:35" s="12" customFormat="1">
      <c r="A329" s="95">
        <v>45927</v>
      </c>
      <c r="B329" s="25" t="s">
        <v>16</v>
      </c>
      <c r="C329" s="98"/>
      <c r="D329" s="99">
        <f t="shared" si="181"/>
        <v>0</v>
      </c>
      <c r="E329" s="87">
        <f t="shared" si="182"/>
        <v>-6421</v>
      </c>
      <c r="G329" s="25"/>
      <c r="I329" s="53"/>
      <c r="J329" s="26"/>
      <c r="K329" s="29">
        <f t="shared" si="183"/>
        <v>-600</v>
      </c>
      <c r="M329" s="79"/>
      <c r="N329" s="66"/>
      <c r="O329" s="98"/>
      <c r="P329" s="28"/>
      <c r="Q329" s="230"/>
      <c r="R329" s="29">
        <f t="shared" si="185"/>
        <v>-18</v>
      </c>
      <c r="S329" s="54">
        <f t="shared" si="186"/>
        <v>0</v>
      </c>
      <c r="U329" s="53"/>
      <c r="V329" s="29"/>
      <c r="W329" s="29">
        <f t="shared" si="188"/>
        <v>-5923</v>
      </c>
      <c r="Y329" s="79"/>
      <c r="Z329" s="63"/>
      <c r="AA329" s="27"/>
      <c r="AB329" s="28"/>
      <c r="AC329" s="43"/>
      <c r="AD329" s="29">
        <f t="shared" si="190"/>
        <v>-264</v>
      </c>
      <c r="AE329" s="29">
        <f t="shared" si="191"/>
        <v>27</v>
      </c>
      <c r="AF329" s="29"/>
      <c r="AG329" s="54"/>
    </row>
    <row r="330" spans="1:35" s="12" customFormat="1">
      <c r="A330" s="95">
        <v>45928</v>
      </c>
      <c r="B330" s="25" t="s">
        <v>17</v>
      </c>
      <c r="C330" s="98"/>
      <c r="D330" s="99">
        <f t="shared" si="181"/>
        <v>0</v>
      </c>
      <c r="E330" s="87">
        <f t="shared" si="182"/>
        <v>-6421</v>
      </c>
      <c r="G330" s="25"/>
      <c r="I330" s="53"/>
      <c r="J330" s="26"/>
      <c r="K330" s="29">
        <f t="shared" si="183"/>
        <v>-600</v>
      </c>
      <c r="M330" s="79"/>
      <c r="N330" s="66"/>
      <c r="O330" s="98"/>
      <c r="P330" s="28"/>
      <c r="Q330" s="230"/>
      <c r="R330" s="29">
        <f t="shared" si="185"/>
        <v>-18</v>
      </c>
      <c r="S330" s="54">
        <f t="shared" si="186"/>
        <v>0</v>
      </c>
      <c r="U330" s="53"/>
      <c r="V330" s="29"/>
      <c r="W330" s="29">
        <f t="shared" si="188"/>
        <v>-5923</v>
      </c>
      <c r="Y330" s="79"/>
      <c r="Z330" s="63"/>
      <c r="AA330" s="27"/>
      <c r="AB330" s="28"/>
      <c r="AC330" s="43"/>
      <c r="AD330" s="29">
        <f t="shared" si="190"/>
        <v>-264</v>
      </c>
      <c r="AE330" s="29">
        <f t="shared" si="191"/>
        <v>27</v>
      </c>
      <c r="AF330" s="29"/>
      <c r="AG330" s="54"/>
    </row>
    <row r="331" spans="1:35">
      <c r="A331" s="96">
        <v>45929</v>
      </c>
      <c r="B331" s="17" t="s">
        <v>18</v>
      </c>
      <c r="C331" s="137">
        <v>69</v>
      </c>
      <c r="D331" s="100">
        <f t="shared" si="181"/>
        <v>0</v>
      </c>
      <c r="E331" s="22">
        <f t="shared" si="182"/>
        <v>-6490</v>
      </c>
      <c r="G331" s="17"/>
      <c r="I331" s="51">
        <f>IF(M332&lt;&gt;"",N332,IF(M333&lt;&gt;"",N333,IF(M334&lt;&gt;"",N334,IF(M583&lt;&gt;"",N583,IF(M584&lt;&gt;"",N584,IF(M585&lt;&gt;"",N585))))))</f>
        <v>6</v>
      </c>
      <c r="J331" s="18"/>
      <c r="K331" s="23">
        <f t="shared" si="183"/>
        <v>-606</v>
      </c>
      <c r="M331" s="78">
        <v>0</v>
      </c>
      <c r="N331" s="65">
        <f t="shared" ref="N331:N335" si="196">M331+O331</f>
        <v>0</v>
      </c>
      <c r="O331" s="101"/>
      <c r="P331" s="21"/>
      <c r="Q331" s="191"/>
      <c r="R331" s="23">
        <f t="shared" si="185"/>
        <v>-18</v>
      </c>
      <c r="S331" s="52">
        <f t="shared" si="186"/>
        <v>0</v>
      </c>
      <c r="U331" s="51">
        <f t="shared" ref="U331:U335" si="197">C331-I331</f>
        <v>63</v>
      </c>
      <c r="V331" s="23"/>
      <c r="W331" s="23">
        <f t="shared" si="188"/>
        <v>-5986</v>
      </c>
      <c r="Y331" s="78">
        <v>72</v>
      </c>
      <c r="Z331" s="62">
        <f t="shared" si="189"/>
        <v>66</v>
      </c>
      <c r="AA331" s="158">
        <f>-12+18</f>
        <v>6</v>
      </c>
      <c r="AB331" s="21"/>
      <c r="AC331" s="42"/>
      <c r="AD331" s="23">
        <f t="shared" si="190"/>
        <v>-336</v>
      </c>
      <c r="AE331" s="23">
        <f t="shared" si="191"/>
        <v>21</v>
      </c>
      <c r="AF331" s="23"/>
      <c r="AG331" s="52"/>
    </row>
    <row r="332" spans="1:35">
      <c r="A332" s="96">
        <v>45930</v>
      </c>
      <c r="B332" s="17" t="s">
        <v>19</v>
      </c>
      <c r="C332" s="137">
        <v>66</v>
      </c>
      <c r="D332" s="100">
        <f t="shared" si="181"/>
        <v>0</v>
      </c>
      <c r="E332" s="22">
        <f t="shared" si="182"/>
        <v>-6556</v>
      </c>
      <c r="G332" s="17"/>
      <c r="I332" s="51">
        <f>IF(M333&lt;&gt;"",N333,IF(M334&lt;&gt;"",N334,IF(M335&lt;&gt;"",N335,IF(M584&lt;&gt;"",N584,IF(M585&lt;&gt;"",N585,IF(M586&lt;&gt;"",N586))))))</f>
        <v>0</v>
      </c>
      <c r="J332" s="18"/>
      <c r="K332" s="23">
        <f t="shared" si="183"/>
        <v>-606</v>
      </c>
      <c r="M332" s="78">
        <v>3</v>
      </c>
      <c r="N332" s="65">
        <f t="shared" si="196"/>
        <v>6</v>
      </c>
      <c r="O332" s="101">
        <v>3</v>
      </c>
      <c r="P332" s="21"/>
      <c r="Q332" s="191"/>
      <c r="R332" s="23">
        <f t="shared" si="185"/>
        <v>-21</v>
      </c>
      <c r="S332" s="52">
        <f t="shared" si="186"/>
        <v>3</v>
      </c>
      <c r="U332" s="51">
        <f t="shared" si="197"/>
        <v>66</v>
      </c>
      <c r="V332" s="23"/>
      <c r="W332" s="23">
        <f t="shared" si="188"/>
        <v>-6052</v>
      </c>
      <c r="Y332" s="78">
        <v>48</v>
      </c>
      <c r="Z332" s="62">
        <f t="shared" si="189"/>
        <v>63</v>
      </c>
      <c r="AA332" s="158">
        <f>-18+18</f>
        <v>0</v>
      </c>
      <c r="AB332" s="21"/>
      <c r="AC332" s="42"/>
      <c r="AD332" s="23">
        <f t="shared" si="190"/>
        <v>-384</v>
      </c>
      <c r="AE332" s="23">
        <f t="shared" si="191"/>
        <v>36</v>
      </c>
      <c r="AF332" s="23"/>
      <c r="AG332" s="52"/>
    </row>
    <row r="333" spans="1:35">
      <c r="A333" s="96">
        <v>45931</v>
      </c>
      <c r="B333" s="17" t="s">
        <v>20</v>
      </c>
      <c r="C333" s="137">
        <v>60</v>
      </c>
      <c r="D333" s="100">
        <f t="shared" si="181"/>
        <v>0</v>
      </c>
      <c r="E333" s="22">
        <f t="shared" si="182"/>
        <v>-6616</v>
      </c>
      <c r="G333" s="17"/>
      <c r="I333" s="51">
        <f>IF(M334&lt;&gt;"",N334,IF(M335&lt;&gt;"",N335,IF(M336&lt;&gt;"",N336,IF(M585&lt;&gt;"",N585,IF(M586&lt;&gt;"",N586,IF(M587&lt;&gt;"",N587))))))</f>
        <v>3</v>
      </c>
      <c r="J333" s="18"/>
      <c r="K333" s="23">
        <f t="shared" si="183"/>
        <v>-609</v>
      </c>
      <c r="M333" s="78">
        <v>0</v>
      </c>
      <c r="N333" s="175">
        <f t="shared" si="196"/>
        <v>0</v>
      </c>
      <c r="O333" s="101">
        <v>0</v>
      </c>
      <c r="P333" s="21"/>
      <c r="Q333" s="191"/>
      <c r="R333" s="23">
        <f t="shared" si="185"/>
        <v>-21</v>
      </c>
      <c r="S333" s="52">
        <f t="shared" si="186"/>
        <v>3</v>
      </c>
      <c r="U333" s="51">
        <f t="shared" si="197"/>
        <v>57</v>
      </c>
      <c r="V333" s="23"/>
      <c r="W333" s="23">
        <f t="shared" si="188"/>
        <v>-6109</v>
      </c>
      <c r="Y333" s="78">
        <v>69</v>
      </c>
      <c r="Z333" s="62">
        <f t="shared" si="189"/>
        <v>54</v>
      </c>
      <c r="AA333" s="158">
        <f>-18+6</f>
        <v>-12</v>
      </c>
      <c r="AB333" s="21"/>
      <c r="AC333" s="42"/>
      <c r="AD333" s="23">
        <f t="shared" si="190"/>
        <v>-453</v>
      </c>
      <c r="AE333" s="23">
        <f t="shared" si="191"/>
        <v>21</v>
      </c>
      <c r="AF333" s="23"/>
      <c r="AG333" s="52"/>
    </row>
    <row r="334" spans="1:35">
      <c r="A334" s="96">
        <v>45932</v>
      </c>
      <c r="B334" s="17" t="s">
        <v>14</v>
      </c>
      <c r="C334" s="137">
        <v>66</v>
      </c>
      <c r="D334" s="100">
        <f t="shared" si="181"/>
        <v>0</v>
      </c>
      <c r="E334" s="22">
        <f t="shared" si="182"/>
        <v>-6682</v>
      </c>
      <c r="G334" s="17"/>
      <c r="I334" s="51">
        <f>IF(M335&lt;&gt;"",N335,IF(M336&lt;&gt;"",N336,IF(M337&lt;&gt;"",N337,IF(M586&lt;&gt;"",N586,IF(M587&lt;&gt;"",N587,IF(M588&lt;&gt;"",N588))))))</f>
        <v>0</v>
      </c>
      <c r="J334" s="18"/>
      <c r="K334" s="23">
        <f t="shared" si="183"/>
        <v>-609</v>
      </c>
      <c r="M334" s="78">
        <v>3</v>
      </c>
      <c r="N334" s="65">
        <f t="shared" si="196"/>
        <v>3</v>
      </c>
      <c r="O334" s="101"/>
      <c r="P334" s="21"/>
      <c r="Q334" s="191"/>
      <c r="R334" s="23">
        <f t="shared" si="185"/>
        <v>-24</v>
      </c>
      <c r="S334" s="52">
        <f t="shared" si="186"/>
        <v>3</v>
      </c>
      <c r="U334" s="51">
        <f t="shared" si="197"/>
        <v>66</v>
      </c>
      <c r="V334" s="23"/>
      <c r="W334" s="23">
        <f t="shared" si="188"/>
        <v>-6175</v>
      </c>
      <c r="Y334" s="78">
        <v>72</v>
      </c>
      <c r="Z334" s="62">
        <f t="shared" si="189"/>
        <v>51</v>
      </c>
      <c r="AA334" s="158">
        <v>-6</v>
      </c>
      <c r="AB334" s="21"/>
      <c r="AC334" s="42"/>
      <c r="AD334" s="23">
        <f t="shared" si="190"/>
        <v>-525</v>
      </c>
      <c r="AE334" s="23">
        <f t="shared" si="191"/>
        <v>0</v>
      </c>
      <c r="AF334" s="23"/>
      <c r="AG334" s="52"/>
    </row>
    <row r="335" spans="1:35">
      <c r="A335" s="96">
        <v>45933</v>
      </c>
      <c r="B335" s="17" t="s">
        <v>15</v>
      </c>
      <c r="C335" s="137">
        <v>66</v>
      </c>
      <c r="D335" s="100">
        <f t="shared" si="181"/>
        <v>0</v>
      </c>
      <c r="E335" s="22">
        <f t="shared" si="182"/>
        <v>-6748</v>
      </c>
      <c r="G335" s="17"/>
      <c r="I335" s="51">
        <f>IF(M336&lt;&gt;"",N336,IF(M337&lt;&gt;"",N337,IF(M338&lt;&gt;"",N338,IF(M587&lt;&gt;"",N587,IF(M588&lt;&gt;"",N588,IF(M589&lt;&gt;"",N589))))))</f>
        <v>3</v>
      </c>
      <c r="J335" s="18"/>
      <c r="K335" s="23">
        <f t="shared" si="183"/>
        <v>-612</v>
      </c>
      <c r="M335" s="19">
        <v>3</v>
      </c>
      <c r="N335" s="175">
        <f t="shared" si="196"/>
        <v>0</v>
      </c>
      <c r="O335" s="101">
        <v>-3</v>
      </c>
      <c r="P335" s="21"/>
      <c r="Q335" s="191"/>
      <c r="R335" s="23">
        <f t="shared" si="185"/>
        <v>-27</v>
      </c>
      <c r="S335" s="52">
        <f t="shared" si="186"/>
        <v>0</v>
      </c>
      <c r="U335" s="51">
        <f t="shared" si="197"/>
        <v>63</v>
      </c>
      <c r="V335" s="23"/>
      <c r="W335" s="23">
        <f t="shared" si="188"/>
        <v>-6238</v>
      </c>
      <c r="Y335" s="19">
        <v>54</v>
      </c>
      <c r="Z335" s="62">
        <f t="shared" si="189"/>
        <v>66</v>
      </c>
      <c r="AA335" s="20"/>
      <c r="AB335" s="21"/>
      <c r="AC335" s="42"/>
      <c r="AD335" s="23">
        <f t="shared" si="190"/>
        <v>-579</v>
      </c>
      <c r="AE335" s="23">
        <f t="shared" si="191"/>
        <v>12</v>
      </c>
      <c r="AF335" s="23"/>
      <c r="AG335" s="52"/>
      <c r="AI335">
        <f>SUM(M331:M335,Y331:Y335)/COUNT(Y331:Y335)</f>
        <v>64.8</v>
      </c>
    </row>
    <row r="336" spans="1:35" s="12" customFormat="1">
      <c r="A336" s="95">
        <v>45934</v>
      </c>
      <c r="B336" s="25" t="s">
        <v>16</v>
      </c>
      <c r="C336" s="98"/>
      <c r="D336" s="99">
        <f t="shared" ref="D336:D367" si="198">J336+V336</f>
        <v>0</v>
      </c>
      <c r="E336" s="87">
        <f t="shared" ref="E336:E367" si="199">E335-C336+D336</f>
        <v>-6748</v>
      </c>
      <c r="G336" s="25"/>
      <c r="I336" s="53"/>
      <c r="J336" s="26"/>
      <c r="K336" s="29">
        <f t="shared" ref="K336:K367" si="200">J336-I336+K335</f>
        <v>-612</v>
      </c>
      <c r="M336" s="64"/>
      <c r="N336" s="66"/>
      <c r="O336" s="98"/>
      <c r="P336" s="28"/>
      <c r="Q336" s="230"/>
      <c r="R336" s="29">
        <f t="shared" ref="R336:R367" si="201">R335-M336+Q336</f>
        <v>-27</v>
      </c>
      <c r="S336" s="54">
        <f t="shared" ref="S336:S367" si="202">S335-M336+N336</f>
        <v>0</v>
      </c>
      <c r="U336" s="53"/>
      <c r="V336" s="29"/>
      <c r="W336" s="29">
        <f t="shared" ref="W336:W367" si="203">V336-U336+W335</f>
        <v>-6238</v>
      </c>
      <c r="Y336" s="64"/>
      <c r="Z336" s="63"/>
      <c r="AA336" s="27"/>
      <c r="AB336" s="28"/>
      <c r="AC336" s="43"/>
      <c r="AD336" s="29">
        <f t="shared" ref="AD336:AD367" si="204">AD335-Y336+AC336</f>
        <v>-579</v>
      </c>
      <c r="AE336" s="29">
        <f t="shared" ref="AE336:AE367" si="205">AE335-Y336+Z336</f>
        <v>12</v>
      </c>
      <c r="AF336" s="29"/>
      <c r="AG336" s="54"/>
    </row>
    <row r="337" spans="1:35" s="12" customFormat="1">
      <c r="A337" s="95">
        <v>45935</v>
      </c>
      <c r="B337" s="25" t="s">
        <v>17</v>
      </c>
      <c r="C337" s="98"/>
      <c r="D337" s="99">
        <f t="shared" si="198"/>
        <v>0</v>
      </c>
      <c r="E337" s="87">
        <f t="shared" si="199"/>
        <v>-6748</v>
      </c>
      <c r="G337" s="25"/>
      <c r="I337" s="53"/>
      <c r="J337" s="26"/>
      <c r="K337" s="29">
        <f t="shared" si="200"/>
        <v>-612</v>
      </c>
      <c r="M337" s="64"/>
      <c r="N337" s="66"/>
      <c r="O337" s="98"/>
      <c r="P337" s="28"/>
      <c r="Q337" s="230"/>
      <c r="R337" s="29">
        <f t="shared" si="201"/>
        <v>-27</v>
      </c>
      <c r="S337" s="54">
        <f t="shared" si="202"/>
        <v>0</v>
      </c>
      <c r="U337" s="53"/>
      <c r="V337" s="29"/>
      <c r="W337" s="29">
        <f t="shared" si="203"/>
        <v>-6238</v>
      </c>
      <c r="Y337" s="64"/>
      <c r="Z337" s="63"/>
      <c r="AA337" s="27"/>
      <c r="AB337" s="28"/>
      <c r="AC337" s="43"/>
      <c r="AD337" s="29">
        <f t="shared" si="204"/>
        <v>-579</v>
      </c>
      <c r="AE337" s="29">
        <f t="shared" si="205"/>
        <v>12</v>
      </c>
      <c r="AF337" s="29"/>
      <c r="AG337" s="54"/>
    </row>
    <row r="338" spans="1:35">
      <c r="A338" s="96">
        <v>45936</v>
      </c>
      <c r="B338" s="17" t="s">
        <v>18</v>
      </c>
      <c r="C338" s="101">
        <v>66</v>
      </c>
      <c r="D338" s="100">
        <f t="shared" si="198"/>
        <v>0</v>
      </c>
      <c r="E338" s="22">
        <f t="shared" si="199"/>
        <v>-6814</v>
      </c>
      <c r="G338" s="17"/>
      <c r="I338" s="51">
        <f>IF(M339&lt;&gt;"",N339,IF(M340&lt;&gt;"",N340,IF(M341&lt;&gt;"",N341,IF(M590&lt;&gt;"",N590,IF(M591&lt;&gt;"",N591,IF(M592&lt;&gt;"",N592))))))</f>
        <v>3</v>
      </c>
      <c r="J338" s="18"/>
      <c r="K338" s="23">
        <f t="shared" si="200"/>
        <v>-615</v>
      </c>
      <c r="M338" s="19">
        <v>3</v>
      </c>
      <c r="N338" s="65">
        <f t="shared" ref="N338:N342" si="206">M338+O338</f>
        <v>3</v>
      </c>
      <c r="O338" s="101"/>
      <c r="P338" s="21"/>
      <c r="Q338" s="191"/>
      <c r="R338" s="23">
        <f t="shared" si="201"/>
        <v>-30</v>
      </c>
      <c r="S338" s="52">
        <f t="shared" si="202"/>
        <v>0</v>
      </c>
      <c r="U338" s="51">
        <f t="shared" ref="U338:U342" si="207">C338-I338</f>
        <v>63</v>
      </c>
      <c r="V338" s="23"/>
      <c r="W338" s="23">
        <f t="shared" si="203"/>
        <v>-6301</v>
      </c>
      <c r="Y338" s="19">
        <v>72</v>
      </c>
      <c r="Z338" s="62">
        <f t="shared" ref="Z338:Z367" si="208">IF(U337&lt;&gt;"",U337+AA338,IF(U336&lt;&gt;"",U336+AA338,IF(U335&lt;&gt;"",U335+AA338,IF(U334&lt;&gt;"",U334+AA338,IF(U333&lt;&gt;"",U333+AA338,IF(U332&lt;&gt;"",U332+AA338,IF(U331&lt;&gt;"",U331+AA338)))))))</f>
        <v>63</v>
      </c>
      <c r="AA338" s="20"/>
      <c r="AB338" s="21"/>
      <c r="AC338" s="42"/>
      <c r="AD338" s="23">
        <f t="shared" si="204"/>
        <v>-651</v>
      </c>
      <c r="AE338" s="23">
        <f t="shared" si="205"/>
        <v>3</v>
      </c>
      <c r="AF338" s="23"/>
      <c r="AG338" s="52"/>
    </row>
    <row r="339" spans="1:35">
      <c r="A339" s="96">
        <v>45937</v>
      </c>
      <c r="B339" s="17" t="s">
        <v>19</v>
      </c>
      <c r="C339" s="101">
        <v>66</v>
      </c>
      <c r="D339" s="100">
        <f t="shared" si="198"/>
        <v>0</v>
      </c>
      <c r="E339" s="22">
        <f t="shared" si="199"/>
        <v>-6880</v>
      </c>
      <c r="G339" s="17"/>
      <c r="I339" s="51">
        <f>IF(M340&lt;&gt;"",N340,IF(M341&lt;&gt;"",N341,IF(M342&lt;&gt;"",N342,IF(M591&lt;&gt;"",N591,IF(M592&lt;&gt;"",N592,IF(M593&lt;&gt;"",N593))))))</f>
        <v>3</v>
      </c>
      <c r="J339" s="18"/>
      <c r="K339" s="23">
        <f t="shared" si="200"/>
        <v>-618</v>
      </c>
      <c r="M339" s="19">
        <v>3</v>
      </c>
      <c r="N339" s="65">
        <f t="shared" si="206"/>
        <v>3</v>
      </c>
      <c r="O339" s="101"/>
      <c r="P339" s="21"/>
      <c r="Q339" s="191"/>
      <c r="R339" s="23">
        <f t="shared" si="201"/>
        <v>-33</v>
      </c>
      <c r="S339" s="52">
        <f t="shared" si="202"/>
        <v>0</v>
      </c>
      <c r="U339" s="51">
        <f t="shared" si="207"/>
        <v>63</v>
      </c>
      <c r="V339" s="23"/>
      <c r="W339" s="23">
        <f t="shared" si="203"/>
        <v>-6364</v>
      </c>
      <c r="Y339" s="19">
        <v>54</v>
      </c>
      <c r="Z339" s="62">
        <f t="shared" si="208"/>
        <v>63</v>
      </c>
      <c r="AA339" s="20"/>
      <c r="AB339" s="21"/>
      <c r="AC339" s="42"/>
      <c r="AD339" s="23">
        <f t="shared" si="204"/>
        <v>-705</v>
      </c>
      <c r="AE339" s="23">
        <f t="shared" si="205"/>
        <v>12</v>
      </c>
      <c r="AF339" s="23"/>
      <c r="AG339" s="52"/>
    </row>
    <row r="340" spans="1:35">
      <c r="A340" s="96">
        <v>45938</v>
      </c>
      <c r="B340" s="17" t="s">
        <v>20</v>
      </c>
      <c r="C340" s="101">
        <v>60</v>
      </c>
      <c r="D340" s="100">
        <f t="shared" si="198"/>
        <v>0</v>
      </c>
      <c r="E340" s="22">
        <f t="shared" si="199"/>
        <v>-6940</v>
      </c>
      <c r="G340" s="17"/>
      <c r="I340" s="51">
        <f>IF(M341&lt;&gt;"",N341,IF(M342&lt;&gt;"",N342,IF(M343&lt;&gt;"",N343,IF(M592&lt;&gt;"",N592,IF(M593&lt;&gt;"",N593,IF(M594&lt;&gt;"",N594))))))</f>
        <v>0</v>
      </c>
      <c r="J340" s="18"/>
      <c r="K340" s="23">
        <f t="shared" si="200"/>
        <v>-618</v>
      </c>
      <c r="M340" s="19">
        <v>3</v>
      </c>
      <c r="N340" s="65">
        <f t="shared" si="206"/>
        <v>3</v>
      </c>
      <c r="O340" s="101"/>
      <c r="P340" s="21"/>
      <c r="Q340" s="191"/>
      <c r="R340" s="23">
        <f t="shared" si="201"/>
        <v>-36</v>
      </c>
      <c r="S340" s="52">
        <f t="shared" si="202"/>
        <v>0</v>
      </c>
      <c r="U340" s="51">
        <f t="shared" si="207"/>
        <v>60</v>
      </c>
      <c r="V340" s="23"/>
      <c r="W340" s="23">
        <f t="shared" si="203"/>
        <v>-6424</v>
      </c>
      <c r="Y340" s="19">
        <v>69</v>
      </c>
      <c r="Z340" s="62">
        <f t="shared" si="208"/>
        <v>63</v>
      </c>
      <c r="AA340" s="20"/>
      <c r="AB340" s="21"/>
      <c r="AC340" s="42"/>
      <c r="AD340" s="23">
        <f t="shared" si="204"/>
        <v>-774</v>
      </c>
      <c r="AE340" s="23">
        <f t="shared" si="205"/>
        <v>6</v>
      </c>
      <c r="AF340" s="23"/>
      <c r="AG340" s="52"/>
    </row>
    <row r="341" spans="1:35">
      <c r="A341" s="96">
        <v>45939</v>
      </c>
      <c r="B341" s="17" t="s">
        <v>14</v>
      </c>
      <c r="C341" s="101">
        <v>60</v>
      </c>
      <c r="D341" s="100">
        <f t="shared" si="198"/>
        <v>0</v>
      </c>
      <c r="E341" s="22">
        <f t="shared" si="199"/>
        <v>-7000</v>
      </c>
      <c r="G341" s="17"/>
      <c r="I341" s="51">
        <f>IF(M342&lt;&gt;"",N342,IF(M343&lt;&gt;"",N343,IF(M344&lt;&gt;"",N344,IF(M593&lt;&gt;"",N593,IF(M594&lt;&gt;"",N594,IF(M595&lt;&gt;"",N595))))))</f>
        <v>3</v>
      </c>
      <c r="J341" s="18"/>
      <c r="K341" s="23">
        <f t="shared" si="200"/>
        <v>-621</v>
      </c>
      <c r="M341" s="19">
        <v>0</v>
      </c>
      <c r="N341" s="65">
        <f t="shared" si="206"/>
        <v>0</v>
      </c>
      <c r="O341" s="101"/>
      <c r="P341" s="21"/>
      <c r="Q341" s="191"/>
      <c r="R341" s="23">
        <f t="shared" si="201"/>
        <v>-36</v>
      </c>
      <c r="S341" s="52">
        <f t="shared" si="202"/>
        <v>0</v>
      </c>
      <c r="U341" s="51">
        <f t="shared" si="207"/>
        <v>57</v>
      </c>
      <c r="V341" s="23"/>
      <c r="W341" s="23">
        <f t="shared" si="203"/>
        <v>-6481</v>
      </c>
      <c r="Y341" s="19">
        <v>57</v>
      </c>
      <c r="Z341" s="62">
        <f t="shared" si="208"/>
        <v>60</v>
      </c>
      <c r="AA341" s="20"/>
      <c r="AB341" s="21"/>
      <c r="AC341" s="42"/>
      <c r="AD341" s="23">
        <f t="shared" si="204"/>
        <v>-831</v>
      </c>
      <c r="AE341" s="23">
        <f t="shared" si="205"/>
        <v>9</v>
      </c>
      <c r="AF341" s="23"/>
      <c r="AG341" s="52"/>
    </row>
    <row r="342" spans="1:35">
      <c r="A342" s="96">
        <v>45940</v>
      </c>
      <c r="B342" s="17" t="s">
        <v>15</v>
      </c>
      <c r="C342" s="101">
        <v>66</v>
      </c>
      <c r="D342" s="100">
        <f t="shared" si="198"/>
        <v>0</v>
      </c>
      <c r="E342" s="22">
        <f t="shared" si="199"/>
        <v>-7066</v>
      </c>
      <c r="G342" s="17"/>
      <c r="I342" s="51">
        <f>N346</f>
        <v>3</v>
      </c>
      <c r="J342" s="18"/>
      <c r="K342" s="23">
        <f t="shared" si="200"/>
        <v>-624</v>
      </c>
      <c r="M342" s="19">
        <v>3</v>
      </c>
      <c r="N342" s="65">
        <f t="shared" si="206"/>
        <v>3</v>
      </c>
      <c r="O342" s="101"/>
      <c r="P342" s="21"/>
      <c r="Q342" s="191"/>
      <c r="R342" s="23">
        <f t="shared" si="201"/>
        <v>-39</v>
      </c>
      <c r="S342" s="52">
        <f t="shared" si="202"/>
        <v>0</v>
      </c>
      <c r="U342" s="51">
        <f t="shared" si="207"/>
        <v>63</v>
      </c>
      <c r="V342" s="23"/>
      <c r="W342" s="23">
        <f t="shared" si="203"/>
        <v>-6544</v>
      </c>
      <c r="Y342" s="19">
        <v>57</v>
      </c>
      <c r="Z342" s="62">
        <f t="shared" si="208"/>
        <v>57</v>
      </c>
      <c r="AA342" s="20"/>
      <c r="AB342" s="21"/>
      <c r="AC342" s="42"/>
      <c r="AD342" s="23">
        <f t="shared" si="204"/>
        <v>-888</v>
      </c>
      <c r="AE342" s="23">
        <f t="shared" si="205"/>
        <v>9</v>
      </c>
      <c r="AF342" s="23"/>
      <c r="AG342" s="52"/>
      <c r="AI342">
        <f>SUM(M338:M342,Y338:Y342)/COUNT(Y338:Y342)</f>
        <v>64.2</v>
      </c>
    </row>
    <row r="343" spans="1:35" s="12" customFormat="1">
      <c r="A343" s="95">
        <v>45941</v>
      </c>
      <c r="B343" s="25" t="s">
        <v>16</v>
      </c>
      <c r="C343" s="98"/>
      <c r="D343" s="99">
        <f t="shared" si="198"/>
        <v>0</v>
      </c>
      <c r="E343" s="87">
        <f t="shared" si="199"/>
        <v>-7066</v>
      </c>
      <c r="G343" s="25"/>
      <c r="I343" s="53"/>
      <c r="J343" s="26"/>
      <c r="K343" s="29">
        <f t="shared" si="200"/>
        <v>-624</v>
      </c>
      <c r="M343" s="64"/>
      <c r="N343" s="66"/>
      <c r="O343" s="98"/>
      <c r="P343" s="28"/>
      <c r="Q343" s="230"/>
      <c r="R343" s="29">
        <f t="shared" si="201"/>
        <v>-39</v>
      </c>
      <c r="S343" s="54">
        <f t="shared" si="202"/>
        <v>0</v>
      </c>
      <c r="U343" s="53"/>
      <c r="V343" s="29"/>
      <c r="W343" s="29">
        <f t="shared" si="203"/>
        <v>-6544</v>
      </c>
      <c r="Y343" s="64"/>
      <c r="Z343" s="63"/>
      <c r="AA343" s="27"/>
      <c r="AB343" s="28"/>
      <c r="AC343" s="43"/>
      <c r="AD343" s="29">
        <f t="shared" si="204"/>
        <v>-888</v>
      </c>
      <c r="AE343" s="29">
        <f t="shared" si="205"/>
        <v>9</v>
      </c>
      <c r="AF343" s="29"/>
      <c r="AG343" s="54"/>
    </row>
    <row r="344" spans="1:35" s="12" customFormat="1">
      <c r="A344" s="95">
        <v>45942</v>
      </c>
      <c r="B344" s="25" t="s">
        <v>17</v>
      </c>
      <c r="C344" s="98"/>
      <c r="D344" s="99">
        <f t="shared" si="198"/>
        <v>0</v>
      </c>
      <c r="E344" s="87">
        <f t="shared" si="199"/>
        <v>-7066</v>
      </c>
      <c r="G344" s="25"/>
      <c r="I344" s="53"/>
      <c r="J344" s="26"/>
      <c r="K344" s="29">
        <f t="shared" si="200"/>
        <v>-624</v>
      </c>
      <c r="M344" s="64"/>
      <c r="N344" s="66"/>
      <c r="O344" s="98"/>
      <c r="P344" s="28"/>
      <c r="Q344" s="230"/>
      <c r="R344" s="29">
        <f t="shared" si="201"/>
        <v>-39</v>
      </c>
      <c r="S344" s="54">
        <f t="shared" si="202"/>
        <v>0</v>
      </c>
      <c r="U344" s="53"/>
      <c r="V344" s="29"/>
      <c r="W344" s="29">
        <f t="shared" si="203"/>
        <v>-6544</v>
      </c>
      <c r="Y344" s="64"/>
      <c r="Z344" s="63"/>
      <c r="AA344" s="27"/>
      <c r="AB344" s="28"/>
      <c r="AC344" s="43"/>
      <c r="AD344" s="29">
        <f t="shared" si="204"/>
        <v>-888</v>
      </c>
      <c r="AE344" s="29">
        <f t="shared" si="205"/>
        <v>9</v>
      </c>
      <c r="AF344" s="29"/>
      <c r="AG344" s="54"/>
    </row>
    <row r="345" spans="1:35" s="12" customFormat="1">
      <c r="A345" s="95">
        <v>45943</v>
      </c>
      <c r="B345" s="25" t="s">
        <v>18</v>
      </c>
      <c r="C345" s="98"/>
      <c r="D345" s="99">
        <f t="shared" si="198"/>
        <v>0</v>
      </c>
      <c r="E345" s="87">
        <f t="shared" si="199"/>
        <v>-7066</v>
      </c>
      <c r="G345" s="25"/>
      <c r="I345" s="53"/>
      <c r="J345" s="26"/>
      <c r="K345" s="29">
        <f t="shared" si="200"/>
        <v>-624</v>
      </c>
      <c r="M345" s="64"/>
      <c r="N345" s="66"/>
      <c r="O345" s="98"/>
      <c r="P345" s="28"/>
      <c r="Q345" s="230"/>
      <c r="R345" s="29">
        <f t="shared" si="201"/>
        <v>-39</v>
      </c>
      <c r="S345" s="54">
        <f t="shared" si="202"/>
        <v>0</v>
      </c>
      <c r="U345" s="53"/>
      <c r="V345" s="29"/>
      <c r="W345" s="29">
        <f t="shared" si="203"/>
        <v>-6544</v>
      </c>
      <c r="Y345" s="64"/>
      <c r="Z345" s="63"/>
      <c r="AA345" s="27"/>
      <c r="AB345" s="28"/>
      <c r="AC345" s="43"/>
      <c r="AD345" s="29">
        <f t="shared" si="204"/>
        <v>-888</v>
      </c>
      <c r="AE345" s="29">
        <f t="shared" si="205"/>
        <v>9</v>
      </c>
      <c r="AF345" s="29"/>
      <c r="AG345" s="54"/>
    </row>
    <row r="346" spans="1:35">
      <c r="A346" s="96">
        <v>45944</v>
      </c>
      <c r="B346" s="17" t="s">
        <v>19</v>
      </c>
      <c r="C346" s="101">
        <v>60</v>
      </c>
      <c r="D346" s="100">
        <f t="shared" si="198"/>
        <v>0</v>
      </c>
      <c r="E346" s="22">
        <f t="shared" si="199"/>
        <v>-7126</v>
      </c>
      <c r="G346" s="17"/>
      <c r="I346" s="51">
        <f>IF(M347&lt;&gt;"",N347,IF(M348&lt;&gt;"",N348,IF(M349&lt;&gt;"",N349,IF(M598&lt;&gt;"",N598,IF(M599&lt;&gt;"",N599,IF(M600&lt;&gt;"",N600))))))</f>
        <v>0</v>
      </c>
      <c r="J346" s="18"/>
      <c r="K346" s="23">
        <f t="shared" si="200"/>
        <v>-624</v>
      </c>
      <c r="M346" s="19">
        <v>3</v>
      </c>
      <c r="N346" s="65">
        <f t="shared" ref="N346:N349" si="209">M346+O346</f>
        <v>3</v>
      </c>
      <c r="O346" s="101"/>
      <c r="P346" s="21"/>
      <c r="Q346" s="191"/>
      <c r="R346" s="23">
        <f t="shared" si="201"/>
        <v>-42</v>
      </c>
      <c r="S346" s="52">
        <f t="shared" si="202"/>
        <v>0</v>
      </c>
      <c r="U346" s="51">
        <f t="shared" ref="U346:U349" si="210">C346-I346</f>
        <v>60</v>
      </c>
      <c r="V346" s="23"/>
      <c r="W346" s="23">
        <f t="shared" si="203"/>
        <v>-6604</v>
      </c>
      <c r="Y346" s="19">
        <v>60</v>
      </c>
      <c r="Z346" s="62">
        <f t="shared" si="208"/>
        <v>63</v>
      </c>
      <c r="AA346" s="20"/>
      <c r="AB346" s="21"/>
      <c r="AC346" s="42"/>
      <c r="AD346" s="23">
        <f t="shared" si="204"/>
        <v>-948</v>
      </c>
      <c r="AE346" s="23">
        <f t="shared" si="205"/>
        <v>12</v>
      </c>
      <c r="AF346" s="23"/>
      <c r="AG346" s="52"/>
    </row>
    <row r="347" spans="1:35">
      <c r="A347" s="96">
        <v>45945</v>
      </c>
      <c r="B347" s="17" t="s">
        <v>20</v>
      </c>
      <c r="C347" s="101">
        <v>57</v>
      </c>
      <c r="D347" s="100">
        <f t="shared" si="198"/>
        <v>0</v>
      </c>
      <c r="E347" s="22">
        <f t="shared" si="199"/>
        <v>-7183</v>
      </c>
      <c r="G347" s="17"/>
      <c r="I347" s="51">
        <f>IF(M348&lt;&gt;"",N348,IF(M349&lt;&gt;"",N349,IF(M350&lt;&gt;"",N350,IF(M599&lt;&gt;"",N599,IF(M600&lt;&gt;"",N600,IF(M601&lt;&gt;"",N601))))))</f>
        <v>0</v>
      </c>
      <c r="J347" s="18"/>
      <c r="K347" s="23">
        <f t="shared" si="200"/>
        <v>-624</v>
      </c>
      <c r="M347" s="19">
        <v>0</v>
      </c>
      <c r="N347" s="65">
        <f t="shared" si="209"/>
        <v>0</v>
      </c>
      <c r="O347" s="101"/>
      <c r="P347" s="21"/>
      <c r="Q347" s="191"/>
      <c r="R347" s="23">
        <f t="shared" si="201"/>
        <v>-42</v>
      </c>
      <c r="S347" s="52">
        <f t="shared" si="202"/>
        <v>0</v>
      </c>
      <c r="U347" s="51">
        <f t="shared" si="210"/>
        <v>57</v>
      </c>
      <c r="V347" s="23"/>
      <c r="W347" s="23">
        <f t="shared" si="203"/>
        <v>-6661</v>
      </c>
      <c r="Y347" s="19">
        <v>69</v>
      </c>
      <c r="Z347" s="62">
        <f t="shared" si="208"/>
        <v>60</v>
      </c>
      <c r="AA347" s="20"/>
      <c r="AB347" s="21"/>
      <c r="AC347" s="42"/>
      <c r="AD347" s="23">
        <f t="shared" si="204"/>
        <v>-1017</v>
      </c>
      <c r="AE347" s="23">
        <f t="shared" si="205"/>
        <v>3</v>
      </c>
      <c r="AF347" s="23"/>
      <c r="AG347" s="52"/>
    </row>
    <row r="348" spans="1:35">
      <c r="A348" s="96">
        <v>45946</v>
      </c>
      <c r="B348" s="17" t="s">
        <v>14</v>
      </c>
      <c r="C348" s="101">
        <v>57</v>
      </c>
      <c r="D348" s="100">
        <f t="shared" si="198"/>
        <v>0</v>
      </c>
      <c r="E348" s="22">
        <f t="shared" si="199"/>
        <v>-7240</v>
      </c>
      <c r="G348" s="17"/>
      <c r="I348" s="51">
        <f>IF(M349&lt;&gt;"",N349,IF(M350&lt;&gt;"",N350,IF(M351&lt;&gt;"",N351,IF(M600&lt;&gt;"",N600,IF(M601&lt;&gt;"",N601,IF(M602&lt;&gt;"",N602))))))</f>
        <v>3</v>
      </c>
      <c r="J348" s="18"/>
      <c r="K348" s="23">
        <f t="shared" si="200"/>
        <v>-627</v>
      </c>
      <c r="M348" s="19">
        <v>0</v>
      </c>
      <c r="N348" s="65">
        <f t="shared" si="209"/>
        <v>0</v>
      </c>
      <c r="O348" s="101"/>
      <c r="P348" s="21"/>
      <c r="Q348" s="191"/>
      <c r="R348" s="23">
        <f t="shared" si="201"/>
        <v>-42</v>
      </c>
      <c r="S348" s="52">
        <f t="shared" si="202"/>
        <v>0</v>
      </c>
      <c r="U348" s="51">
        <f t="shared" si="210"/>
        <v>54</v>
      </c>
      <c r="V348" s="23"/>
      <c r="W348" s="23">
        <f t="shared" si="203"/>
        <v>-6715</v>
      </c>
      <c r="Y348" s="19">
        <v>45</v>
      </c>
      <c r="Z348" s="62">
        <f t="shared" si="208"/>
        <v>57</v>
      </c>
      <c r="AA348" s="20"/>
      <c r="AB348" s="21"/>
      <c r="AC348" s="42"/>
      <c r="AD348" s="23">
        <f t="shared" si="204"/>
        <v>-1062</v>
      </c>
      <c r="AE348" s="23">
        <f t="shared" si="205"/>
        <v>15</v>
      </c>
      <c r="AF348" s="23"/>
      <c r="AG348" s="52"/>
    </row>
    <row r="349" spans="1:35">
      <c r="A349" s="96">
        <v>45947</v>
      </c>
      <c r="B349" s="17" t="s">
        <v>15</v>
      </c>
      <c r="C349" s="101">
        <v>57</v>
      </c>
      <c r="D349" s="100">
        <f t="shared" si="198"/>
        <v>0</v>
      </c>
      <c r="E349" s="22">
        <f t="shared" si="199"/>
        <v>-7297</v>
      </c>
      <c r="G349" s="17"/>
      <c r="I349" s="51">
        <f>IF(M350&lt;&gt;"",N350,IF(M351&lt;&gt;"",N351,IF(M352&lt;&gt;"",N352,IF(M601&lt;&gt;"",N601,IF(M602&lt;&gt;"",N602,IF(M603&lt;&gt;"",N603))))))</f>
        <v>0</v>
      </c>
      <c r="J349" s="18"/>
      <c r="K349" s="23">
        <f t="shared" si="200"/>
        <v>-627</v>
      </c>
      <c r="M349" s="19">
        <v>3</v>
      </c>
      <c r="N349" s="65">
        <f t="shared" si="209"/>
        <v>3</v>
      </c>
      <c r="O349" s="101"/>
      <c r="P349" s="21"/>
      <c r="Q349" s="191"/>
      <c r="R349" s="23">
        <f t="shared" si="201"/>
        <v>-45</v>
      </c>
      <c r="S349" s="52">
        <f t="shared" si="202"/>
        <v>0</v>
      </c>
      <c r="U349" s="51">
        <f t="shared" si="210"/>
        <v>57</v>
      </c>
      <c r="V349" s="23"/>
      <c r="W349" s="23">
        <f t="shared" si="203"/>
        <v>-6772</v>
      </c>
      <c r="Y349" s="19">
        <v>57</v>
      </c>
      <c r="Z349" s="62">
        <f t="shared" si="208"/>
        <v>54</v>
      </c>
      <c r="AA349" s="20"/>
      <c r="AB349" s="21"/>
      <c r="AC349" s="42"/>
      <c r="AD349" s="23">
        <f t="shared" si="204"/>
        <v>-1119</v>
      </c>
      <c r="AE349" s="23">
        <f t="shared" si="205"/>
        <v>12</v>
      </c>
      <c r="AF349" s="23"/>
      <c r="AG349" s="52"/>
      <c r="AI349">
        <f>SUM(M346:M349,Y346:Y349)/COUNT(Y346:Y349)</f>
        <v>59.25</v>
      </c>
    </row>
    <row r="350" spans="1:35" s="12" customFormat="1">
      <c r="A350" s="95">
        <v>45948</v>
      </c>
      <c r="B350" s="25" t="s">
        <v>16</v>
      </c>
      <c r="C350" s="98"/>
      <c r="D350" s="99">
        <f t="shared" si="198"/>
        <v>0</v>
      </c>
      <c r="E350" s="87">
        <f t="shared" si="199"/>
        <v>-7297</v>
      </c>
      <c r="G350" s="25"/>
      <c r="I350" s="53"/>
      <c r="J350" s="26"/>
      <c r="K350" s="29">
        <f t="shared" si="200"/>
        <v>-627</v>
      </c>
      <c r="M350" s="64"/>
      <c r="N350" s="66"/>
      <c r="O350" s="98"/>
      <c r="P350" s="28"/>
      <c r="Q350" s="230"/>
      <c r="R350" s="29">
        <f t="shared" si="201"/>
        <v>-45</v>
      </c>
      <c r="S350" s="54">
        <f t="shared" si="202"/>
        <v>0</v>
      </c>
      <c r="U350" s="53"/>
      <c r="V350" s="29"/>
      <c r="W350" s="29">
        <f t="shared" si="203"/>
        <v>-6772</v>
      </c>
      <c r="Y350" s="64"/>
      <c r="Z350" s="63"/>
      <c r="AA350" s="27"/>
      <c r="AB350" s="28"/>
      <c r="AC350" s="43"/>
      <c r="AD350" s="29">
        <f t="shared" si="204"/>
        <v>-1119</v>
      </c>
      <c r="AE350" s="29">
        <f t="shared" si="205"/>
        <v>12</v>
      </c>
      <c r="AF350" s="29"/>
      <c r="AG350" s="54"/>
    </row>
    <row r="351" spans="1:35" s="12" customFormat="1">
      <c r="A351" s="95">
        <v>45949</v>
      </c>
      <c r="B351" s="25" t="s">
        <v>17</v>
      </c>
      <c r="C351" s="98"/>
      <c r="D351" s="99">
        <f t="shared" si="198"/>
        <v>0</v>
      </c>
      <c r="E351" s="87">
        <f t="shared" si="199"/>
        <v>-7297</v>
      </c>
      <c r="G351" s="25"/>
      <c r="I351" s="53"/>
      <c r="J351" s="26"/>
      <c r="K351" s="29">
        <f t="shared" si="200"/>
        <v>-627</v>
      </c>
      <c r="M351" s="64"/>
      <c r="N351" s="66"/>
      <c r="O351" s="98"/>
      <c r="P351" s="28"/>
      <c r="Q351" s="230"/>
      <c r="R351" s="29">
        <f t="shared" si="201"/>
        <v>-45</v>
      </c>
      <c r="S351" s="54">
        <f t="shared" si="202"/>
        <v>0</v>
      </c>
      <c r="U351" s="53"/>
      <c r="V351" s="29"/>
      <c r="W351" s="29">
        <f t="shared" si="203"/>
        <v>-6772</v>
      </c>
      <c r="Y351" s="64"/>
      <c r="Z351" s="63"/>
      <c r="AA351" s="27"/>
      <c r="AB351" s="28"/>
      <c r="AC351" s="43"/>
      <c r="AD351" s="29">
        <f t="shared" si="204"/>
        <v>-1119</v>
      </c>
      <c r="AE351" s="29">
        <f t="shared" si="205"/>
        <v>12</v>
      </c>
      <c r="AF351" s="29"/>
      <c r="AG351" s="54"/>
    </row>
    <row r="352" spans="1:35">
      <c r="A352" s="96">
        <v>45950</v>
      </c>
      <c r="B352" s="17" t="s">
        <v>18</v>
      </c>
      <c r="C352" s="101">
        <v>60</v>
      </c>
      <c r="D352" s="100">
        <f t="shared" si="198"/>
        <v>0</v>
      </c>
      <c r="E352" s="22">
        <f t="shared" si="199"/>
        <v>-7357</v>
      </c>
      <c r="G352" s="17"/>
      <c r="I352" s="51">
        <f>IF(M353&lt;&gt;"",N353,IF(M354&lt;&gt;"",N354,IF(M355&lt;&gt;"",N355,IF(M604&lt;&gt;"",N604,IF(M605&lt;&gt;"",N605,IF(M606&lt;&gt;"",N606))))))</f>
        <v>3</v>
      </c>
      <c r="J352" s="18"/>
      <c r="K352" s="23">
        <f t="shared" si="200"/>
        <v>-630</v>
      </c>
      <c r="M352" s="19">
        <v>0</v>
      </c>
      <c r="N352" s="65">
        <f t="shared" ref="N352:N356" si="211">M352+O352</f>
        <v>0</v>
      </c>
      <c r="O352" s="101"/>
      <c r="P352" s="21"/>
      <c r="Q352" s="191"/>
      <c r="R352" s="23">
        <f t="shared" si="201"/>
        <v>-45</v>
      </c>
      <c r="S352" s="52">
        <f t="shared" si="202"/>
        <v>0</v>
      </c>
      <c r="U352" s="51">
        <f t="shared" ref="U352:U356" si="212">C352-I352</f>
        <v>57</v>
      </c>
      <c r="V352" s="23"/>
      <c r="W352" s="23">
        <f t="shared" si="203"/>
        <v>-6829</v>
      </c>
      <c r="Y352" s="19">
        <v>54</v>
      </c>
      <c r="Z352" s="62">
        <f t="shared" si="208"/>
        <v>57</v>
      </c>
      <c r="AA352" s="20"/>
      <c r="AB352" s="21"/>
      <c r="AC352" s="42"/>
      <c r="AD352" s="23">
        <f t="shared" si="204"/>
        <v>-1173</v>
      </c>
      <c r="AE352" s="23">
        <f t="shared" si="205"/>
        <v>15</v>
      </c>
      <c r="AF352" s="23"/>
      <c r="AG352" s="52"/>
    </row>
    <row r="353" spans="1:35">
      <c r="A353" s="96">
        <v>45951</v>
      </c>
      <c r="B353" s="17" t="s">
        <v>19</v>
      </c>
      <c r="C353" s="101">
        <v>66</v>
      </c>
      <c r="D353" s="100">
        <f t="shared" si="198"/>
        <v>0</v>
      </c>
      <c r="E353" s="22">
        <f t="shared" si="199"/>
        <v>-7423</v>
      </c>
      <c r="G353" s="17"/>
      <c r="I353" s="51">
        <f>IF(M354&lt;&gt;"",N354,IF(M355&lt;&gt;"",N355,IF(M356&lt;&gt;"",N356,IF(M605&lt;&gt;"",N605,IF(M606&lt;&gt;"",N606,IF(M607&lt;&gt;"",N607))))))</f>
        <v>3</v>
      </c>
      <c r="J353" s="18"/>
      <c r="K353" s="23">
        <f t="shared" si="200"/>
        <v>-633</v>
      </c>
      <c r="M353" s="19">
        <v>3</v>
      </c>
      <c r="N353" s="65">
        <f t="shared" si="211"/>
        <v>3</v>
      </c>
      <c r="O353" s="101"/>
      <c r="P353" s="21"/>
      <c r="Q353" s="191"/>
      <c r="R353" s="23">
        <f t="shared" si="201"/>
        <v>-48</v>
      </c>
      <c r="S353" s="52">
        <f t="shared" si="202"/>
        <v>0</v>
      </c>
      <c r="U353" s="51">
        <f t="shared" si="212"/>
        <v>63</v>
      </c>
      <c r="V353" s="23"/>
      <c r="W353" s="23">
        <f t="shared" si="203"/>
        <v>-6892</v>
      </c>
      <c r="Y353" s="19">
        <v>51</v>
      </c>
      <c r="Z353" s="62">
        <f t="shared" si="208"/>
        <v>57</v>
      </c>
      <c r="AA353" s="20"/>
      <c r="AB353" s="21"/>
      <c r="AC353" s="42"/>
      <c r="AD353" s="23">
        <f t="shared" si="204"/>
        <v>-1224</v>
      </c>
      <c r="AE353" s="23">
        <f t="shared" si="205"/>
        <v>21</v>
      </c>
      <c r="AF353" s="23"/>
      <c r="AG353" s="52"/>
    </row>
    <row r="354" spans="1:35">
      <c r="A354" s="96">
        <v>45952</v>
      </c>
      <c r="B354" s="17" t="s">
        <v>20</v>
      </c>
      <c r="C354" s="101">
        <v>66</v>
      </c>
      <c r="D354" s="100">
        <f t="shared" si="198"/>
        <v>0</v>
      </c>
      <c r="E354" s="22">
        <f t="shared" si="199"/>
        <v>-7489</v>
      </c>
      <c r="G354" s="17"/>
      <c r="I354" s="51">
        <f>IF(M355&lt;&gt;"",N355,IF(M356&lt;&gt;"",N356,IF(M357&lt;&gt;"",N357,IF(M606&lt;&gt;"",N606,IF(M607&lt;&gt;"",N607,IF(M608&lt;&gt;"",N608))))))</f>
        <v>3</v>
      </c>
      <c r="J354" s="18"/>
      <c r="K354" s="23">
        <f t="shared" si="200"/>
        <v>-636</v>
      </c>
      <c r="M354" s="19">
        <v>3</v>
      </c>
      <c r="N354" s="65">
        <f t="shared" si="211"/>
        <v>3</v>
      </c>
      <c r="O354" s="101"/>
      <c r="P354" s="21"/>
      <c r="Q354" s="191"/>
      <c r="R354" s="23">
        <f t="shared" si="201"/>
        <v>-51</v>
      </c>
      <c r="S354" s="52">
        <f t="shared" si="202"/>
        <v>0</v>
      </c>
      <c r="U354" s="51">
        <f t="shared" si="212"/>
        <v>63</v>
      </c>
      <c r="V354" s="23"/>
      <c r="W354" s="23">
        <f t="shared" si="203"/>
        <v>-6955</v>
      </c>
      <c r="Y354" s="19">
        <v>72</v>
      </c>
      <c r="Z354" s="62">
        <f t="shared" si="208"/>
        <v>63</v>
      </c>
      <c r="AA354" s="20"/>
      <c r="AB354" s="21"/>
      <c r="AC354" s="42"/>
      <c r="AD354" s="23">
        <f t="shared" si="204"/>
        <v>-1296</v>
      </c>
      <c r="AE354" s="23">
        <f t="shared" si="205"/>
        <v>12</v>
      </c>
      <c r="AF354" s="23"/>
      <c r="AG354" s="52"/>
    </row>
    <row r="355" spans="1:35">
      <c r="A355" s="96">
        <v>45953</v>
      </c>
      <c r="B355" s="17" t="s">
        <v>14</v>
      </c>
      <c r="C355" s="101">
        <v>66</v>
      </c>
      <c r="D355" s="100">
        <f t="shared" si="198"/>
        <v>0</v>
      </c>
      <c r="E355" s="22">
        <f t="shared" si="199"/>
        <v>-7555</v>
      </c>
      <c r="G355" s="17"/>
      <c r="I355" s="51">
        <f>IF(M356&lt;&gt;"",N356,IF(M357&lt;&gt;"",N357,IF(M358&lt;&gt;"",N358,IF(M607&lt;&gt;"",N607,IF(M608&lt;&gt;"",N608,IF(M609&lt;&gt;"",N609))))))</f>
        <v>6</v>
      </c>
      <c r="J355" s="18"/>
      <c r="K355" s="23">
        <f t="shared" si="200"/>
        <v>-642</v>
      </c>
      <c r="M355" s="19">
        <v>3</v>
      </c>
      <c r="N355" s="65">
        <f t="shared" si="211"/>
        <v>3</v>
      </c>
      <c r="O355" s="101"/>
      <c r="P355" s="21"/>
      <c r="Q355" s="191"/>
      <c r="R355" s="23">
        <f t="shared" si="201"/>
        <v>-54</v>
      </c>
      <c r="S355" s="52">
        <f t="shared" si="202"/>
        <v>0</v>
      </c>
      <c r="U355" s="51">
        <f t="shared" si="212"/>
        <v>60</v>
      </c>
      <c r="V355" s="23"/>
      <c r="W355" s="23">
        <f t="shared" si="203"/>
        <v>-7015</v>
      </c>
      <c r="Y355" s="19">
        <v>69</v>
      </c>
      <c r="Z355" s="62">
        <f t="shared" si="208"/>
        <v>63</v>
      </c>
      <c r="AA355" s="20"/>
      <c r="AB355" s="21"/>
      <c r="AC355" s="42"/>
      <c r="AD355" s="23">
        <f t="shared" si="204"/>
        <v>-1365</v>
      </c>
      <c r="AE355" s="23">
        <f t="shared" si="205"/>
        <v>6</v>
      </c>
      <c r="AF355" s="23"/>
      <c r="AG355" s="52"/>
    </row>
    <row r="356" spans="1:35">
      <c r="A356" s="96">
        <v>45954</v>
      </c>
      <c r="B356" s="17" t="s">
        <v>15</v>
      </c>
      <c r="C356" s="101">
        <v>66</v>
      </c>
      <c r="D356" s="100">
        <f t="shared" si="198"/>
        <v>0</v>
      </c>
      <c r="E356" s="22">
        <f t="shared" si="199"/>
        <v>-7621</v>
      </c>
      <c r="G356" s="17"/>
      <c r="I356" s="51">
        <f>IF(M357&lt;&gt;"",N357,IF(M358&lt;&gt;"",N358,IF(M359&lt;&gt;"",N359,IF(M608&lt;&gt;"",N608,IF(M609&lt;&gt;"",N609,IF(M610&lt;&gt;"",N610))))))</f>
        <v>6</v>
      </c>
      <c r="J356" s="18"/>
      <c r="K356" s="23">
        <f t="shared" si="200"/>
        <v>-648</v>
      </c>
      <c r="M356" s="19">
        <v>6</v>
      </c>
      <c r="N356" s="65">
        <f t="shared" si="211"/>
        <v>6</v>
      </c>
      <c r="O356" s="101"/>
      <c r="P356" s="21"/>
      <c r="Q356" s="191"/>
      <c r="R356" s="23">
        <f t="shared" si="201"/>
        <v>-60</v>
      </c>
      <c r="S356" s="52">
        <f t="shared" si="202"/>
        <v>0</v>
      </c>
      <c r="U356" s="51">
        <f t="shared" si="212"/>
        <v>60</v>
      </c>
      <c r="V356" s="23"/>
      <c r="W356" s="23">
        <f t="shared" si="203"/>
        <v>-7075</v>
      </c>
      <c r="Y356" s="19">
        <v>54</v>
      </c>
      <c r="Z356" s="62">
        <f t="shared" si="208"/>
        <v>60</v>
      </c>
      <c r="AA356" s="20"/>
      <c r="AB356" s="21"/>
      <c r="AC356" s="42"/>
      <c r="AD356" s="23">
        <f t="shared" si="204"/>
        <v>-1419</v>
      </c>
      <c r="AE356" s="23">
        <f t="shared" si="205"/>
        <v>12</v>
      </c>
      <c r="AF356" s="23"/>
      <c r="AG356" s="52"/>
      <c r="AI356">
        <f>SUM(M352:M356,Y352:Y356)/COUNT(Y352:Y356)</f>
        <v>63</v>
      </c>
    </row>
    <row r="357" spans="1:35" s="12" customFormat="1">
      <c r="A357" s="95">
        <v>45955</v>
      </c>
      <c r="B357" s="25" t="s">
        <v>16</v>
      </c>
      <c r="C357" s="98"/>
      <c r="D357" s="99">
        <f t="shared" si="198"/>
        <v>0</v>
      </c>
      <c r="E357" s="87">
        <f t="shared" si="199"/>
        <v>-7621</v>
      </c>
      <c r="G357" s="25"/>
      <c r="I357" s="53"/>
      <c r="J357" s="26"/>
      <c r="K357" s="29">
        <f t="shared" si="200"/>
        <v>-648</v>
      </c>
      <c r="M357" s="64"/>
      <c r="N357" s="66"/>
      <c r="O357" s="98"/>
      <c r="P357" s="28"/>
      <c r="Q357" s="230"/>
      <c r="R357" s="29">
        <f t="shared" si="201"/>
        <v>-60</v>
      </c>
      <c r="S357" s="54">
        <f t="shared" si="202"/>
        <v>0</v>
      </c>
      <c r="U357" s="53"/>
      <c r="V357" s="29"/>
      <c r="W357" s="29">
        <f t="shared" si="203"/>
        <v>-7075</v>
      </c>
      <c r="Y357" s="64"/>
      <c r="Z357" s="63"/>
      <c r="AA357" s="27"/>
      <c r="AB357" s="28"/>
      <c r="AC357" s="43"/>
      <c r="AD357" s="29">
        <f t="shared" si="204"/>
        <v>-1419</v>
      </c>
      <c r="AE357" s="29">
        <f t="shared" si="205"/>
        <v>12</v>
      </c>
      <c r="AF357" s="29"/>
      <c r="AG357" s="54"/>
    </row>
    <row r="358" spans="1:35" s="12" customFormat="1">
      <c r="A358" s="95">
        <v>45956</v>
      </c>
      <c r="B358" s="25" t="s">
        <v>17</v>
      </c>
      <c r="C358" s="98"/>
      <c r="D358" s="99">
        <f t="shared" si="198"/>
        <v>0</v>
      </c>
      <c r="E358" s="87">
        <f t="shared" si="199"/>
        <v>-7621</v>
      </c>
      <c r="G358" s="25"/>
      <c r="I358" s="53"/>
      <c r="J358" s="26"/>
      <c r="K358" s="29">
        <f t="shared" si="200"/>
        <v>-648</v>
      </c>
      <c r="M358" s="64"/>
      <c r="N358" s="66"/>
      <c r="O358" s="98"/>
      <c r="P358" s="28"/>
      <c r="Q358" s="230"/>
      <c r="R358" s="29">
        <f t="shared" si="201"/>
        <v>-60</v>
      </c>
      <c r="S358" s="54">
        <f t="shared" si="202"/>
        <v>0</v>
      </c>
      <c r="U358" s="53"/>
      <c r="V358" s="29"/>
      <c r="W358" s="29">
        <f t="shared" si="203"/>
        <v>-7075</v>
      </c>
      <c r="Y358" s="64"/>
      <c r="Z358" s="63"/>
      <c r="AA358" s="27"/>
      <c r="AB358" s="28"/>
      <c r="AC358" s="43"/>
      <c r="AD358" s="29">
        <f t="shared" si="204"/>
        <v>-1419</v>
      </c>
      <c r="AE358" s="29">
        <f t="shared" si="205"/>
        <v>12</v>
      </c>
      <c r="AF358" s="29"/>
      <c r="AG358" s="54"/>
    </row>
    <row r="359" spans="1:35">
      <c r="A359" s="96">
        <v>45957</v>
      </c>
      <c r="B359" s="17" t="s">
        <v>18</v>
      </c>
      <c r="C359" s="101">
        <v>60</v>
      </c>
      <c r="D359" s="100">
        <f t="shared" si="198"/>
        <v>0</v>
      </c>
      <c r="E359" s="22">
        <f t="shared" si="199"/>
        <v>-7681</v>
      </c>
      <c r="G359" s="17"/>
      <c r="I359" s="51">
        <f t="shared" ref="I359:I362" si="213">IF(M360&lt;&gt;"",N360,IF(M361&lt;&gt;"",N361,IF(M362&lt;&gt;"",N362,IF(M611&lt;&gt;"",N611,IF(M612&lt;&gt;"",N612,IF(M613&lt;&gt;"",N613))))))</f>
        <v>3</v>
      </c>
      <c r="J359" s="18"/>
      <c r="K359" s="23">
        <f t="shared" si="200"/>
        <v>-651</v>
      </c>
      <c r="M359" s="19">
        <v>6</v>
      </c>
      <c r="N359" s="65">
        <f t="shared" ref="N359:N363" si="214">M359+O359</f>
        <v>6</v>
      </c>
      <c r="O359" s="101"/>
      <c r="P359" s="21"/>
      <c r="Q359" s="191"/>
      <c r="R359" s="23">
        <f t="shared" si="201"/>
        <v>-66</v>
      </c>
      <c r="S359" s="52">
        <f t="shared" si="202"/>
        <v>0</v>
      </c>
      <c r="U359" s="51">
        <f t="shared" ref="U359:U363" si="215">C359-I359</f>
        <v>57</v>
      </c>
      <c r="V359" s="23"/>
      <c r="W359" s="23">
        <f t="shared" si="203"/>
        <v>-7132</v>
      </c>
      <c r="Y359" s="19">
        <v>66</v>
      </c>
      <c r="Z359" s="62">
        <f t="shared" si="208"/>
        <v>60</v>
      </c>
      <c r="AA359" s="20"/>
      <c r="AB359" s="21"/>
      <c r="AC359" s="42"/>
      <c r="AD359" s="23">
        <f t="shared" si="204"/>
        <v>-1485</v>
      </c>
      <c r="AE359" s="23">
        <f t="shared" si="205"/>
        <v>6</v>
      </c>
      <c r="AF359" s="23"/>
      <c r="AG359" s="52"/>
    </row>
    <row r="360" spans="1:35">
      <c r="A360" s="96">
        <v>45958</v>
      </c>
      <c r="B360" s="17" t="s">
        <v>19</v>
      </c>
      <c r="C360" s="101">
        <v>60</v>
      </c>
      <c r="D360" s="100">
        <f t="shared" si="198"/>
        <v>0</v>
      </c>
      <c r="E360" s="22">
        <f t="shared" si="199"/>
        <v>-7741</v>
      </c>
      <c r="G360" s="17"/>
      <c r="I360" s="51">
        <f t="shared" si="213"/>
        <v>3</v>
      </c>
      <c r="J360" s="18"/>
      <c r="K360" s="23">
        <f t="shared" si="200"/>
        <v>-654</v>
      </c>
      <c r="M360" s="19">
        <v>3</v>
      </c>
      <c r="N360" s="65">
        <f t="shared" si="214"/>
        <v>3</v>
      </c>
      <c r="O360" s="101"/>
      <c r="P360" s="21"/>
      <c r="Q360" s="191"/>
      <c r="R360" s="23">
        <f t="shared" si="201"/>
        <v>-69</v>
      </c>
      <c r="S360" s="52">
        <f t="shared" si="202"/>
        <v>0</v>
      </c>
      <c r="U360" s="51">
        <f t="shared" si="215"/>
        <v>57</v>
      </c>
      <c r="V360" s="23"/>
      <c r="W360" s="23">
        <f t="shared" si="203"/>
        <v>-7189</v>
      </c>
      <c r="Y360" s="19">
        <v>54</v>
      </c>
      <c r="Z360" s="62">
        <f t="shared" si="208"/>
        <v>57</v>
      </c>
      <c r="AA360" s="20"/>
      <c r="AB360" s="21"/>
      <c r="AC360" s="42"/>
      <c r="AD360" s="23">
        <f t="shared" si="204"/>
        <v>-1539</v>
      </c>
      <c r="AE360" s="23">
        <f t="shared" si="205"/>
        <v>9</v>
      </c>
      <c r="AF360" s="23"/>
      <c r="AG360" s="52"/>
    </row>
    <row r="361" spans="1:35">
      <c r="A361" s="96">
        <v>45959</v>
      </c>
      <c r="B361" s="17" t="s">
        <v>20</v>
      </c>
      <c r="C361" s="101">
        <v>60</v>
      </c>
      <c r="D361" s="100">
        <f t="shared" si="198"/>
        <v>0</v>
      </c>
      <c r="E361" s="22">
        <f t="shared" si="199"/>
        <v>-7801</v>
      </c>
      <c r="G361" s="17"/>
      <c r="I361" s="51">
        <f t="shared" si="213"/>
        <v>0</v>
      </c>
      <c r="J361" s="18"/>
      <c r="K361" s="23">
        <f t="shared" si="200"/>
        <v>-654</v>
      </c>
      <c r="M361" s="19">
        <v>3</v>
      </c>
      <c r="N361" s="65">
        <f t="shared" si="214"/>
        <v>3</v>
      </c>
      <c r="O361" s="101"/>
      <c r="P361" s="21"/>
      <c r="Q361" s="191"/>
      <c r="R361" s="23">
        <f t="shared" si="201"/>
        <v>-72</v>
      </c>
      <c r="S361" s="52">
        <f t="shared" si="202"/>
        <v>0</v>
      </c>
      <c r="U361" s="51">
        <f t="shared" si="215"/>
        <v>60</v>
      </c>
      <c r="V361" s="23"/>
      <c r="W361" s="23">
        <f t="shared" si="203"/>
        <v>-7249</v>
      </c>
      <c r="Y361" s="19">
        <v>54</v>
      </c>
      <c r="Z361" s="62">
        <f t="shared" si="208"/>
        <v>57</v>
      </c>
      <c r="AA361" s="20"/>
      <c r="AB361" s="21"/>
      <c r="AC361" s="42"/>
      <c r="AD361" s="23">
        <f t="shared" si="204"/>
        <v>-1593</v>
      </c>
      <c r="AE361" s="23">
        <f t="shared" si="205"/>
        <v>12</v>
      </c>
      <c r="AF361" s="23"/>
      <c r="AG361" s="52"/>
    </row>
    <row r="362" spans="1:35">
      <c r="A362" s="96">
        <v>45960</v>
      </c>
      <c r="B362" s="17" t="s">
        <v>14</v>
      </c>
      <c r="C362" s="101">
        <v>60</v>
      </c>
      <c r="D362" s="100">
        <f t="shared" si="198"/>
        <v>0</v>
      </c>
      <c r="E362" s="22">
        <f t="shared" si="199"/>
        <v>-7861</v>
      </c>
      <c r="G362" s="17"/>
      <c r="I362" s="51">
        <f t="shared" si="213"/>
        <v>3</v>
      </c>
      <c r="J362" s="18"/>
      <c r="K362" s="23">
        <f t="shared" si="200"/>
        <v>-657</v>
      </c>
      <c r="M362" s="19">
        <v>0</v>
      </c>
      <c r="N362" s="65">
        <f t="shared" si="214"/>
        <v>0</v>
      </c>
      <c r="O362" s="101"/>
      <c r="P362" s="21"/>
      <c r="Q362" s="191"/>
      <c r="R362" s="23">
        <f t="shared" si="201"/>
        <v>-72</v>
      </c>
      <c r="S362" s="52">
        <f t="shared" si="202"/>
        <v>0</v>
      </c>
      <c r="U362" s="51">
        <f t="shared" si="215"/>
        <v>57</v>
      </c>
      <c r="V362" s="23"/>
      <c r="W362" s="23">
        <f t="shared" si="203"/>
        <v>-7306</v>
      </c>
      <c r="Y362" s="19">
        <v>57</v>
      </c>
      <c r="Z362" s="62">
        <f t="shared" si="208"/>
        <v>60</v>
      </c>
      <c r="AA362" s="20"/>
      <c r="AB362" s="21"/>
      <c r="AC362" s="42"/>
      <c r="AD362" s="23">
        <f t="shared" si="204"/>
        <v>-1650</v>
      </c>
      <c r="AE362" s="23">
        <f t="shared" si="205"/>
        <v>15</v>
      </c>
      <c r="AF362" s="23"/>
      <c r="AG362" s="52"/>
    </row>
    <row r="363" spans="1:35">
      <c r="A363" s="96">
        <v>45961</v>
      </c>
      <c r="B363" s="17" t="s">
        <v>15</v>
      </c>
      <c r="C363" s="101">
        <v>57</v>
      </c>
      <c r="D363" s="100">
        <f t="shared" si="198"/>
        <v>0</v>
      </c>
      <c r="E363" s="22">
        <f t="shared" si="199"/>
        <v>-7918</v>
      </c>
      <c r="G363" s="17"/>
      <c r="I363" s="51">
        <f>M367</f>
        <v>3</v>
      </c>
      <c r="J363" s="18"/>
      <c r="K363" s="23">
        <f t="shared" si="200"/>
        <v>-660</v>
      </c>
      <c r="M363" s="19">
        <v>3</v>
      </c>
      <c r="N363" s="65">
        <f t="shared" si="214"/>
        <v>3</v>
      </c>
      <c r="O363" s="101"/>
      <c r="P363" s="21"/>
      <c r="Q363" s="191"/>
      <c r="R363" s="23">
        <f t="shared" si="201"/>
        <v>-75</v>
      </c>
      <c r="S363" s="52">
        <f t="shared" si="202"/>
        <v>0</v>
      </c>
      <c r="U363" s="51">
        <f t="shared" si="215"/>
        <v>54</v>
      </c>
      <c r="V363" s="23"/>
      <c r="W363" s="23">
        <f t="shared" si="203"/>
        <v>-7360</v>
      </c>
      <c r="Y363" s="19">
        <v>57</v>
      </c>
      <c r="Z363" s="62">
        <f t="shared" si="208"/>
        <v>57</v>
      </c>
      <c r="AA363" s="20"/>
      <c r="AB363" s="21"/>
      <c r="AC363" s="42"/>
      <c r="AD363" s="23">
        <f t="shared" si="204"/>
        <v>-1707</v>
      </c>
      <c r="AE363" s="23">
        <f t="shared" si="205"/>
        <v>15</v>
      </c>
      <c r="AF363" s="23"/>
      <c r="AG363" s="52"/>
      <c r="AI363">
        <f>SUM(M359:M363,Y359:Y363)/COUNT(Y359:Y363)</f>
        <v>60.6</v>
      </c>
    </row>
    <row r="364" spans="1:35" s="12" customFormat="1">
      <c r="A364" s="95">
        <v>45962</v>
      </c>
      <c r="B364" s="25" t="s">
        <v>16</v>
      </c>
      <c r="C364" s="98"/>
      <c r="D364" s="99">
        <f t="shared" si="198"/>
        <v>0</v>
      </c>
      <c r="E364" s="87">
        <f t="shared" si="199"/>
        <v>-7918</v>
      </c>
      <c r="G364" s="25"/>
      <c r="I364" s="53"/>
      <c r="J364" s="26"/>
      <c r="K364" s="29">
        <f t="shared" si="200"/>
        <v>-660</v>
      </c>
      <c r="M364" s="64"/>
      <c r="N364" s="66"/>
      <c r="O364" s="98"/>
      <c r="P364" s="28"/>
      <c r="Q364" s="230"/>
      <c r="R364" s="29">
        <f t="shared" si="201"/>
        <v>-75</v>
      </c>
      <c r="S364" s="54">
        <f t="shared" si="202"/>
        <v>0</v>
      </c>
      <c r="U364" s="53"/>
      <c r="V364" s="29"/>
      <c r="W364" s="29">
        <f t="shared" si="203"/>
        <v>-7360</v>
      </c>
      <c r="Y364" s="64"/>
      <c r="Z364" s="63"/>
      <c r="AA364" s="27"/>
      <c r="AB364" s="28"/>
      <c r="AC364" s="43"/>
      <c r="AD364" s="29">
        <f t="shared" si="204"/>
        <v>-1707</v>
      </c>
      <c r="AE364" s="29">
        <f t="shared" si="205"/>
        <v>15</v>
      </c>
      <c r="AF364" s="29"/>
      <c r="AG364" s="54"/>
    </row>
    <row r="365" spans="1:35" s="12" customFormat="1">
      <c r="A365" s="95">
        <v>45963</v>
      </c>
      <c r="B365" s="25" t="s">
        <v>17</v>
      </c>
      <c r="C365" s="98"/>
      <c r="D365" s="99">
        <f t="shared" si="198"/>
        <v>0</v>
      </c>
      <c r="E365" s="87">
        <f t="shared" si="199"/>
        <v>-7918</v>
      </c>
      <c r="G365" s="25"/>
      <c r="I365" s="53"/>
      <c r="J365" s="26"/>
      <c r="K365" s="29">
        <f t="shared" si="200"/>
        <v>-660</v>
      </c>
      <c r="M365" s="64"/>
      <c r="N365" s="66"/>
      <c r="O365" s="98"/>
      <c r="P365" s="28"/>
      <c r="Q365" s="230"/>
      <c r="R365" s="29">
        <f t="shared" si="201"/>
        <v>-75</v>
      </c>
      <c r="S365" s="54">
        <f t="shared" si="202"/>
        <v>0</v>
      </c>
      <c r="U365" s="53"/>
      <c r="V365" s="29"/>
      <c r="W365" s="29">
        <f t="shared" si="203"/>
        <v>-7360</v>
      </c>
      <c r="Y365" s="64"/>
      <c r="Z365" s="63"/>
      <c r="AA365" s="27"/>
      <c r="AB365" s="28"/>
      <c r="AC365" s="43"/>
      <c r="AD365" s="29">
        <f t="shared" si="204"/>
        <v>-1707</v>
      </c>
      <c r="AE365" s="29">
        <f t="shared" si="205"/>
        <v>15</v>
      </c>
      <c r="AF365" s="29"/>
      <c r="AG365" s="54"/>
    </row>
    <row r="366" spans="1:35" s="12" customFormat="1">
      <c r="A366" s="95">
        <v>45964</v>
      </c>
      <c r="B366" s="25" t="s">
        <v>18</v>
      </c>
      <c r="C366" s="98"/>
      <c r="D366" s="99">
        <f t="shared" si="198"/>
        <v>0</v>
      </c>
      <c r="E366" s="87">
        <f t="shared" si="199"/>
        <v>-7918</v>
      </c>
      <c r="G366" s="25"/>
      <c r="I366" s="53"/>
      <c r="J366" s="26"/>
      <c r="K366" s="29">
        <f t="shared" si="200"/>
        <v>-660</v>
      </c>
      <c r="M366" s="64"/>
      <c r="N366" s="66"/>
      <c r="O366" s="98"/>
      <c r="P366" s="28"/>
      <c r="Q366" s="230"/>
      <c r="R366" s="29">
        <f t="shared" si="201"/>
        <v>-75</v>
      </c>
      <c r="S366" s="54">
        <f t="shared" si="202"/>
        <v>0</v>
      </c>
      <c r="U366" s="53"/>
      <c r="V366" s="29"/>
      <c r="W366" s="29">
        <f t="shared" si="203"/>
        <v>-7360</v>
      </c>
      <c r="Y366" s="64"/>
      <c r="Z366" s="63"/>
      <c r="AA366" s="27"/>
      <c r="AB366" s="28"/>
      <c r="AC366" s="43"/>
      <c r="AD366" s="29">
        <f t="shared" si="204"/>
        <v>-1707</v>
      </c>
      <c r="AE366" s="29">
        <f t="shared" si="205"/>
        <v>15</v>
      </c>
      <c r="AF366" s="29"/>
      <c r="AG366" s="54"/>
    </row>
    <row r="367" spans="1:35">
      <c r="A367" s="96">
        <v>45965</v>
      </c>
      <c r="B367" s="17" t="s">
        <v>19</v>
      </c>
      <c r="C367" s="101">
        <v>57</v>
      </c>
      <c r="D367" s="100">
        <f t="shared" si="198"/>
        <v>0</v>
      </c>
      <c r="E367" s="22">
        <f t="shared" si="199"/>
        <v>-7975</v>
      </c>
      <c r="G367" s="17"/>
      <c r="I367" s="51">
        <f t="shared" ref="I367:I370" si="216">IF(M368&lt;&gt;"",N368,IF(M369&lt;&gt;"",N369,IF(M370&lt;&gt;"",N370,IF(M619&lt;&gt;"",N619,IF(M620&lt;&gt;"",N620,IF(M621&lt;&gt;"",N621))))))</f>
        <v>0</v>
      </c>
      <c r="J367" s="18"/>
      <c r="K367" s="23">
        <f t="shared" si="200"/>
        <v>-660</v>
      </c>
      <c r="M367" s="19">
        <v>3</v>
      </c>
      <c r="N367" s="65">
        <f t="shared" ref="N367:N370" si="217">M367+O367</f>
        <v>3</v>
      </c>
      <c r="O367" s="101"/>
      <c r="P367" s="21"/>
      <c r="Q367" s="191"/>
      <c r="R367" s="23">
        <f t="shared" si="201"/>
        <v>-78</v>
      </c>
      <c r="S367" s="52">
        <f t="shared" si="202"/>
        <v>0</v>
      </c>
      <c r="U367" s="51">
        <f t="shared" ref="U367:U370" si="218">C367-I367</f>
        <v>57</v>
      </c>
      <c r="V367" s="23"/>
      <c r="W367" s="23">
        <f t="shared" si="203"/>
        <v>-7417</v>
      </c>
      <c r="Y367" s="19">
        <v>57</v>
      </c>
      <c r="Z367" s="62">
        <f t="shared" si="208"/>
        <v>54</v>
      </c>
      <c r="AA367" s="20"/>
      <c r="AB367" s="21"/>
      <c r="AC367" s="42"/>
      <c r="AD367" s="23">
        <f t="shared" si="204"/>
        <v>-1764</v>
      </c>
      <c r="AE367" s="23">
        <f t="shared" si="205"/>
        <v>12</v>
      </c>
      <c r="AF367" s="23"/>
      <c r="AG367" s="52"/>
    </row>
    <row r="368" spans="1:35">
      <c r="A368" s="96">
        <v>45966</v>
      </c>
      <c r="B368" s="17" t="s">
        <v>20</v>
      </c>
      <c r="C368" s="101">
        <v>57</v>
      </c>
      <c r="D368" s="100">
        <f t="shared" ref="D368:D399" si="219">J368+V368</f>
        <v>0</v>
      </c>
      <c r="E368" s="22">
        <f t="shared" ref="E368:E399" si="220">E367-C368+D368</f>
        <v>-8032</v>
      </c>
      <c r="G368" s="17"/>
      <c r="I368" s="51">
        <f t="shared" si="216"/>
        <v>3</v>
      </c>
      <c r="J368" s="18"/>
      <c r="K368" s="23">
        <f t="shared" ref="K368:K399" si="221">J368-I368+K367</f>
        <v>-663</v>
      </c>
      <c r="M368" s="19">
        <v>0</v>
      </c>
      <c r="N368" s="65">
        <f t="shared" si="217"/>
        <v>0</v>
      </c>
      <c r="O368" s="101"/>
      <c r="P368" s="21"/>
      <c r="Q368" s="191"/>
      <c r="R368" s="23">
        <f t="shared" ref="R368:R399" si="222">R367-M368+Q368</f>
        <v>-78</v>
      </c>
      <c r="S368" s="52">
        <f t="shared" ref="S368:S399" si="223">S367-M368+N368</f>
        <v>0</v>
      </c>
      <c r="U368" s="51">
        <f t="shared" si="218"/>
        <v>54</v>
      </c>
      <c r="V368" s="23"/>
      <c r="W368" s="23">
        <f t="shared" ref="W368:W399" si="224">V368-U368+W367</f>
        <v>-7471</v>
      </c>
      <c r="Y368" s="19">
        <v>54</v>
      </c>
      <c r="Z368" s="62">
        <f t="shared" ref="Z368:Z399" si="225">IF(U367&lt;&gt;"",U367+AA368,IF(U366&lt;&gt;"",U366+AA368,IF(U365&lt;&gt;"",U365+AA368,IF(U364&lt;&gt;"",U364+AA368,IF(U363&lt;&gt;"",U363+AA368,IF(U362&lt;&gt;"",U362+AA368,IF(U361&lt;&gt;"",U361+AA368)))))))</f>
        <v>57</v>
      </c>
      <c r="AA368" s="20"/>
      <c r="AB368" s="21"/>
      <c r="AC368" s="42"/>
      <c r="AD368" s="23">
        <f t="shared" ref="AD368:AD399" si="226">AD367-Y368+AC368</f>
        <v>-1818</v>
      </c>
      <c r="AE368" s="23">
        <f t="shared" ref="AE368:AE399" si="227">AE367-Y368+Z368</f>
        <v>15</v>
      </c>
      <c r="AF368" s="23"/>
      <c r="AG368" s="52"/>
    </row>
    <row r="369" spans="1:33">
      <c r="A369" s="96">
        <v>45967</v>
      </c>
      <c r="B369" s="17" t="s">
        <v>14</v>
      </c>
      <c r="C369" s="101">
        <v>57</v>
      </c>
      <c r="D369" s="100">
        <f t="shared" si="219"/>
        <v>0</v>
      </c>
      <c r="E369" s="22">
        <f t="shared" si="220"/>
        <v>-8089</v>
      </c>
      <c r="G369" s="17"/>
      <c r="I369" s="51">
        <f t="shared" si="216"/>
        <v>3</v>
      </c>
      <c r="J369" s="18"/>
      <c r="K369" s="23">
        <f t="shared" si="221"/>
        <v>-666</v>
      </c>
      <c r="M369" s="19">
        <v>3</v>
      </c>
      <c r="N369" s="65">
        <f t="shared" si="217"/>
        <v>3</v>
      </c>
      <c r="O369" s="101"/>
      <c r="P369" s="21"/>
      <c r="Q369" s="191"/>
      <c r="R369" s="23">
        <f t="shared" si="222"/>
        <v>-81</v>
      </c>
      <c r="S369" s="52">
        <f t="shared" si="223"/>
        <v>0</v>
      </c>
      <c r="U369" s="51">
        <f t="shared" si="218"/>
        <v>54</v>
      </c>
      <c r="V369" s="23"/>
      <c r="W369" s="23">
        <f t="shared" si="224"/>
        <v>-7525</v>
      </c>
      <c r="Y369" s="19">
        <v>57</v>
      </c>
      <c r="Z369" s="62">
        <f t="shared" si="225"/>
        <v>54</v>
      </c>
      <c r="AA369" s="20"/>
      <c r="AB369" s="21"/>
      <c r="AC369" s="42"/>
      <c r="AD369" s="23">
        <f t="shared" si="226"/>
        <v>-1875</v>
      </c>
      <c r="AE369" s="23">
        <f t="shared" si="227"/>
        <v>12</v>
      </c>
      <c r="AF369" s="23"/>
      <c r="AG369" s="52"/>
    </row>
    <row r="370" spans="1:33">
      <c r="A370" s="96">
        <v>45968</v>
      </c>
      <c r="B370" s="17" t="s">
        <v>15</v>
      </c>
      <c r="C370" s="101">
        <v>57</v>
      </c>
      <c r="D370" s="100">
        <f t="shared" si="219"/>
        <v>0</v>
      </c>
      <c r="E370" s="22">
        <f t="shared" si="220"/>
        <v>-8146</v>
      </c>
      <c r="G370" s="17"/>
      <c r="I370" s="51">
        <f t="shared" si="216"/>
        <v>0</v>
      </c>
      <c r="J370" s="18"/>
      <c r="K370" s="23">
        <f t="shared" si="221"/>
        <v>-666</v>
      </c>
      <c r="M370" s="19">
        <v>3</v>
      </c>
      <c r="N370" s="65">
        <f t="shared" si="217"/>
        <v>3</v>
      </c>
      <c r="O370" s="101"/>
      <c r="P370" s="21"/>
      <c r="Q370" s="191"/>
      <c r="R370" s="23">
        <f t="shared" si="222"/>
        <v>-84</v>
      </c>
      <c r="S370" s="52">
        <f t="shared" si="223"/>
        <v>0</v>
      </c>
      <c r="U370" s="51">
        <f t="shared" si="218"/>
        <v>57</v>
      </c>
      <c r="V370" s="23"/>
      <c r="W370" s="23">
        <f t="shared" si="224"/>
        <v>-7582</v>
      </c>
      <c r="Y370" s="19">
        <v>57</v>
      </c>
      <c r="Z370" s="62">
        <f t="shared" si="225"/>
        <v>54</v>
      </c>
      <c r="AA370" s="20"/>
      <c r="AB370" s="21"/>
      <c r="AC370" s="42"/>
      <c r="AD370" s="23">
        <f t="shared" si="226"/>
        <v>-1932</v>
      </c>
      <c r="AE370" s="23">
        <f t="shared" si="227"/>
        <v>9</v>
      </c>
      <c r="AF370" s="23"/>
      <c r="AG370" s="52"/>
    </row>
    <row r="371" spans="1:33" s="12" customFormat="1">
      <c r="A371" s="95">
        <v>45969</v>
      </c>
      <c r="B371" s="25" t="s">
        <v>16</v>
      </c>
      <c r="C371" s="98"/>
      <c r="D371" s="99">
        <f t="shared" si="219"/>
        <v>0</v>
      </c>
      <c r="E371" s="87">
        <f t="shared" si="220"/>
        <v>-8146</v>
      </c>
      <c r="G371" s="25"/>
      <c r="I371" s="53"/>
      <c r="J371" s="26"/>
      <c r="K371" s="29">
        <f t="shared" si="221"/>
        <v>-666</v>
      </c>
      <c r="M371" s="64"/>
      <c r="N371" s="66"/>
      <c r="O371" s="98"/>
      <c r="P371" s="28"/>
      <c r="Q371" s="230"/>
      <c r="R371" s="29">
        <f t="shared" si="222"/>
        <v>-84</v>
      </c>
      <c r="S371" s="54">
        <f t="shared" si="223"/>
        <v>0</v>
      </c>
      <c r="U371" s="53"/>
      <c r="V371" s="29"/>
      <c r="W371" s="29">
        <f t="shared" si="224"/>
        <v>-7582</v>
      </c>
      <c r="Y371" s="64"/>
      <c r="Z371" s="63"/>
      <c r="AA371" s="27"/>
      <c r="AB371" s="28"/>
      <c r="AC371" s="43"/>
      <c r="AD371" s="29">
        <f t="shared" si="226"/>
        <v>-1932</v>
      </c>
      <c r="AE371" s="29">
        <f t="shared" si="227"/>
        <v>9</v>
      </c>
      <c r="AF371" s="29"/>
      <c r="AG371" s="54"/>
    </row>
    <row r="372" spans="1:33" s="12" customFormat="1">
      <c r="A372" s="95">
        <v>45970</v>
      </c>
      <c r="B372" s="25" t="s">
        <v>17</v>
      </c>
      <c r="C372" s="98"/>
      <c r="D372" s="99">
        <f t="shared" si="219"/>
        <v>0</v>
      </c>
      <c r="E372" s="87">
        <f t="shared" si="220"/>
        <v>-8146</v>
      </c>
      <c r="G372" s="25"/>
      <c r="I372" s="53"/>
      <c r="J372" s="26"/>
      <c r="K372" s="29">
        <f t="shared" si="221"/>
        <v>-666</v>
      </c>
      <c r="M372" s="64"/>
      <c r="N372" s="66"/>
      <c r="O372" s="98"/>
      <c r="P372" s="28"/>
      <c r="Q372" s="230"/>
      <c r="R372" s="29">
        <f t="shared" si="222"/>
        <v>-84</v>
      </c>
      <c r="S372" s="54">
        <f t="shared" si="223"/>
        <v>0</v>
      </c>
      <c r="U372" s="53"/>
      <c r="V372" s="29"/>
      <c r="W372" s="29">
        <f t="shared" si="224"/>
        <v>-7582</v>
      </c>
      <c r="Y372" s="64"/>
      <c r="Z372" s="63"/>
      <c r="AA372" s="27"/>
      <c r="AB372" s="28"/>
      <c r="AC372" s="43"/>
      <c r="AD372" s="29">
        <f t="shared" si="226"/>
        <v>-1932</v>
      </c>
      <c r="AE372" s="29">
        <f t="shared" si="227"/>
        <v>9</v>
      </c>
      <c r="AF372" s="29"/>
      <c r="AG372" s="54"/>
    </row>
    <row r="373" spans="1:33">
      <c r="A373" s="96">
        <v>45971</v>
      </c>
      <c r="B373" s="17" t="s">
        <v>18</v>
      </c>
      <c r="C373" s="101">
        <v>60</v>
      </c>
      <c r="D373" s="100">
        <f t="shared" si="219"/>
        <v>0</v>
      </c>
      <c r="E373" s="22">
        <f t="shared" si="220"/>
        <v>-8206</v>
      </c>
      <c r="G373" s="17"/>
      <c r="I373" s="51">
        <f t="shared" ref="I373:I377" si="228">IF(M374&lt;&gt;"",N374,IF(M375&lt;&gt;"",N375,IF(M376&lt;&gt;"",N376,IF(M625&lt;&gt;"",N625,IF(M626&lt;&gt;"",N626,IF(M627&lt;&gt;"",N627))))))</f>
        <v>3</v>
      </c>
      <c r="J373" s="18"/>
      <c r="K373" s="23">
        <f t="shared" si="221"/>
        <v>-669</v>
      </c>
      <c r="M373" s="19">
        <v>0</v>
      </c>
      <c r="N373" s="65">
        <f t="shared" ref="N373:N377" si="229">M373+O373</f>
        <v>0</v>
      </c>
      <c r="O373" s="101"/>
      <c r="P373" s="21"/>
      <c r="Q373" s="191"/>
      <c r="R373" s="23">
        <f t="shared" si="222"/>
        <v>-84</v>
      </c>
      <c r="S373" s="52">
        <f t="shared" si="223"/>
        <v>0</v>
      </c>
      <c r="U373" s="51">
        <f t="shared" ref="U373:U377" si="230">C373-I373</f>
        <v>57</v>
      </c>
      <c r="V373" s="23"/>
      <c r="W373" s="23">
        <f t="shared" si="224"/>
        <v>-7639</v>
      </c>
      <c r="Y373" s="19">
        <v>54</v>
      </c>
      <c r="Z373" s="62">
        <f t="shared" si="225"/>
        <v>57</v>
      </c>
      <c r="AA373" s="20"/>
      <c r="AB373" s="21"/>
      <c r="AC373" s="42"/>
      <c r="AD373" s="23">
        <f t="shared" si="226"/>
        <v>-1986</v>
      </c>
      <c r="AE373" s="23">
        <f t="shared" si="227"/>
        <v>12</v>
      </c>
      <c r="AF373" s="23"/>
      <c r="AG373" s="52"/>
    </row>
    <row r="374" spans="1:33">
      <c r="A374" s="96">
        <v>45972</v>
      </c>
      <c r="B374" s="17" t="s">
        <v>19</v>
      </c>
      <c r="C374" s="101">
        <v>60</v>
      </c>
      <c r="D374" s="100">
        <f t="shared" si="219"/>
        <v>0</v>
      </c>
      <c r="E374" s="22">
        <f t="shared" si="220"/>
        <v>-8266</v>
      </c>
      <c r="G374" s="17"/>
      <c r="I374" s="51">
        <f t="shared" si="228"/>
        <v>0</v>
      </c>
      <c r="J374" s="18"/>
      <c r="K374" s="23">
        <f t="shared" si="221"/>
        <v>-669</v>
      </c>
      <c r="M374" s="19">
        <v>3</v>
      </c>
      <c r="N374" s="65">
        <f t="shared" si="229"/>
        <v>3</v>
      </c>
      <c r="O374" s="101"/>
      <c r="P374" s="21"/>
      <c r="Q374" s="191"/>
      <c r="R374" s="23">
        <f t="shared" si="222"/>
        <v>-87</v>
      </c>
      <c r="S374" s="52">
        <f t="shared" si="223"/>
        <v>0</v>
      </c>
      <c r="U374" s="51">
        <f t="shared" si="230"/>
        <v>60</v>
      </c>
      <c r="V374" s="23"/>
      <c r="W374" s="23">
        <f t="shared" si="224"/>
        <v>-7699</v>
      </c>
      <c r="Y374" s="19">
        <v>57</v>
      </c>
      <c r="Z374" s="62">
        <f t="shared" si="225"/>
        <v>57</v>
      </c>
      <c r="AA374" s="20"/>
      <c r="AB374" s="21"/>
      <c r="AC374" s="42"/>
      <c r="AD374" s="23">
        <f t="shared" si="226"/>
        <v>-2043</v>
      </c>
      <c r="AE374" s="23">
        <f t="shared" si="227"/>
        <v>12</v>
      </c>
      <c r="AF374" s="23"/>
      <c r="AG374" s="52"/>
    </row>
    <row r="375" spans="1:33">
      <c r="A375" s="96">
        <v>45973</v>
      </c>
      <c r="B375" s="17" t="s">
        <v>20</v>
      </c>
      <c r="C375" s="101">
        <v>60</v>
      </c>
      <c r="D375" s="100">
        <f t="shared" si="219"/>
        <v>0</v>
      </c>
      <c r="E375" s="22">
        <f t="shared" si="220"/>
        <v>-8326</v>
      </c>
      <c r="G375" s="17"/>
      <c r="I375" s="51">
        <f t="shared" si="228"/>
        <v>3</v>
      </c>
      <c r="J375" s="18"/>
      <c r="K375" s="23">
        <f t="shared" si="221"/>
        <v>-672</v>
      </c>
      <c r="M375" s="19">
        <v>0</v>
      </c>
      <c r="N375" s="65">
        <f t="shared" si="229"/>
        <v>0</v>
      </c>
      <c r="O375" s="101"/>
      <c r="P375" s="21"/>
      <c r="Q375" s="191"/>
      <c r="R375" s="23">
        <f t="shared" si="222"/>
        <v>-87</v>
      </c>
      <c r="S375" s="52">
        <f t="shared" si="223"/>
        <v>0</v>
      </c>
      <c r="U375" s="51">
        <f t="shared" si="230"/>
        <v>57</v>
      </c>
      <c r="V375" s="23"/>
      <c r="W375" s="23">
        <f t="shared" si="224"/>
        <v>-7756</v>
      </c>
      <c r="Y375" s="19">
        <v>60</v>
      </c>
      <c r="Z375" s="62">
        <f t="shared" si="225"/>
        <v>60</v>
      </c>
      <c r="AA375" s="20"/>
      <c r="AB375" s="21"/>
      <c r="AC375" s="42"/>
      <c r="AD375" s="23">
        <f t="shared" si="226"/>
        <v>-2103</v>
      </c>
      <c r="AE375" s="23">
        <f t="shared" si="227"/>
        <v>12</v>
      </c>
      <c r="AF375" s="23"/>
      <c r="AG375" s="52"/>
    </row>
    <row r="376" spans="1:33">
      <c r="A376" s="96">
        <v>45974</v>
      </c>
      <c r="B376" s="17" t="s">
        <v>14</v>
      </c>
      <c r="C376" s="101">
        <v>60</v>
      </c>
      <c r="D376" s="100">
        <f t="shared" si="219"/>
        <v>0</v>
      </c>
      <c r="E376" s="22">
        <f t="shared" si="220"/>
        <v>-8386</v>
      </c>
      <c r="G376" s="17"/>
      <c r="I376" s="51">
        <f t="shared" si="228"/>
        <v>3</v>
      </c>
      <c r="J376" s="18"/>
      <c r="K376" s="23">
        <f t="shared" si="221"/>
        <v>-675</v>
      </c>
      <c r="M376" s="19">
        <v>3</v>
      </c>
      <c r="N376" s="65">
        <f t="shared" si="229"/>
        <v>3</v>
      </c>
      <c r="O376" s="101"/>
      <c r="P376" s="21"/>
      <c r="Q376" s="191"/>
      <c r="R376" s="23">
        <f t="shared" si="222"/>
        <v>-90</v>
      </c>
      <c r="S376" s="52">
        <f t="shared" si="223"/>
        <v>0</v>
      </c>
      <c r="U376" s="51">
        <f t="shared" si="230"/>
        <v>57</v>
      </c>
      <c r="V376" s="23"/>
      <c r="W376" s="23">
        <f t="shared" si="224"/>
        <v>-7813</v>
      </c>
      <c r="Y376" s="19">
        <v>57</v>
      </c>
      <c r="Z376" s="62">
        <f t="shared" si="225"/>
        <v>57</v>
      </c>
      <c r="AA376" s="20"/>
      <c r="AB376" s="21"/>
      <c r="AC376" s="42"/>
      <c r="AD376" s="23">
        <f t="shared" si="226"/>
        <v>-2160</v>
      </c>
      <c r="AE376" s="23">
        <f t="shared" si="227"/>
        <v>12</v>
      </c>
      <c r="AF376" s="23"/>
      <c r="AG376" s="52"/>
    </row>
    <row r="377" spans="1:33">
      <c r="A377" s="96">
        <v>45975</v>
      </c>
      <c r="B377" s="17" t="s">
        <v>15</v>
      </c>
      <c r="C377" s="101">
        <v>66</v>
      </c>
      <c r="D377" s="100">
        <f t="shared" si="219"/>
        <v>0</v>
      </c>
      <c r="E377" s="22">
        <f t="shared" si="220"/>
        <v>-8452</v>
      </c>
      <c r="G377" s="17"/>
      <c r="I377" s="51">
        <f t="shared" si="228"/>
        <v>3</v>
      </c>
      <c r="J377" s="18"/>
      <c r="K377" s="23">
        <f t="shared" si="221"/>
        <v>-678</v>
      </c>
      <c r="M377" s="19">
        <v>3</v>
      </c>
      <c r="N377" s="65">
        <f t="shared" si="229"/>
        <v>3</v>
      </c>
      <c r="O377" s="101"/>
      <c r="P377" s="21"/>
      <c r="Q377" s="191"/>
      <c r="R377" s="23">
        <f t="shared" si="222"/>
        <v>-93</v>
      </c>
      <c r="S377" s="52">
        <f t="shared" si="223"/>
        <v>0</v>
      </c>
      <c r="U377" s="51">
        <f t="shared" si="230"/>
        <v>63</v>
      </c>
      <c r="V377" s="23"/>
      <c r="W377" s="23">
        <f t="shared" si="224"/>
        <v>-7876</v>
      </c>
      <c r="Y377" s="19">
        <v>54</v>
      </c>
      <c r="Z377" s="62">
        <f t="shared" si="225"/>
        <v>57</v>
      </c>
      <c r="AA377" s="20"/>
      <c r="AB377" s="21"/>
      <c r="AC377" s="42"/>
      <c r="AD377" s="23">
        <f t="shared" si="226"/>
        <v>-2214</v>
      </c>
      <c r="AE377" s="23">
        <f t="shared" si="227"/>
        <v>15</v>
      </c>
      <c r="AF377" s="23"/>
      <c r="AG377" s="52"/>
    </row>
    <row r="378" spans="1:33" s="12" customFormat="1">
      <c r="A378" s="95">
        <v>45976</v>
      </c>
      <c r="B378" s="25" t="s">
        <v>16</v>
      </c>
      <c r="C378" s="98"/>
      <c r="D378" s="99">
        <f t="shared" si="219"/>
        <v>0</v>
      </c>
      <c r="E378" s="87">
        <f t="shared" si="220"/>
        <v>-8452</v>
      </c>
      <c r="G378" s="25"/>
      <c r="I378" s="53"/>
      <c r="J378" s="26"/>
      <c r="K378" s="29">
        <f t="shared" si="221"/>
        <v>-678</v>
      </c>
      <c r="M378" s="64"/>
      <c r="N378" s="66"/>
      <c r="O378" s="98"/>
      <c r="P378" s="28"/>
      <c r="Q378" s="230"/>
      <c r="R378" s="29">
        <f t="shared" si="222"/>
        <v>-93</v>
      </c>
      <c r="S378" s="54">
        <f t="shared" si="223"/>
        <v>0</v>
      </c>
      <c r="U378" s="53"/>
      <c r="V378" s="29"/>
      <c r="W378" s="29">
        <f t="shared" si="224"/>
        <v>-7876</v>
      </c>
      <c r="Y378" s="64"/>
      <c r="Z378" s="63"/>
      <c r="AA378" s="27"/>
      <c r="AB378" s="28"/>
      <c r="AC378" s="43"/>
      <c r="AD378" s="29">
        <f t="shared" si="226"/>
        <v>-2214</v>
      </c>
      <c r="AE378" s="29">
        <f t="shared" si="227"/>
        <v>15</v>
      </c>
      <c r="AF378" s="29"/>
      <c r="AG378" s="54"/>
    </row>
    <row r="379" spans="1:33" s="12" customFormat="1">
      <c r="A379" s="95">
        <v>45977</v>
      </c>
      <c r="B379" s="25" t="s">
        <v>17</v>
      </c>
      <c r="C379" s="98"/>
      <c r="D379" s="99">
        <f t="shared" si="219"/>
        <v>0</v>
      </c>
      <c r="E379" s="87">
        <f t="shared" si="220"/>
        <v>-8452</v>
      </c>
      <c r="G379" s="25"/>
      <c r="I379" s="53"/>
      <c r="J379" s="26"/>
      <c r="K379" s="29">
        <f t="shared" si="221"/>
        <v>-678</v>
      </c>
      <c r="M379" s="64"/>
      <c r="N379" s="66"/>
      <c r="O379" s="98"/>
      <c r="P379" s="28"/>
      <c r="Q379" s="230"/>
      <c r="R379" s="29">
        <f t="shared" si="222"/>
        <v>-93</v>
      </c>
      <c r="S379" s="54">
        <f t="shared" si="223"/>
        <v>0</v>
      </c>
      <c r="U379" s="53"/>
      <c r="V379" s="29"/>
      <c r="W379" s="29">
        <f t="shared" si="224"/>
        <v>-7876</v>
      </c>
      <c r="Y379" s="64"/>
      <c r="Z379" s="63"/>
      <c r="AA379" s="27"/>
      <c r="AB379" s="28"/>
      <c r="AC379" s="43"/>
      <c r="AD379" s="29">
        <f t="shared" si="226"/>
        <v>-2214</v>
      </c>
      <c r="AE379" s="29">
        <f t="shared" si="227"/>
        <v>15</v>
      </c>
      <c r="AF379" s="29"/>
      <c r="AG379" s="54"/>
    </row>
    <row r="380" spans="1:33">
      <c r="A380" s="96">
        <v>45978</v>
      </c>
      <c r="B380" s="17" t="s">
        <v>18</v>
      </c>
      <c r="C380" s="101">
        <v>66</v>
      </c>
      <c r="D380" s="100">
        <f t="shared" si="219"/>
        <v>0</v>
      </c>
      <c r="E380" s="22">
        <f t="shared" si="220"/>
        <v>-8518</v>
      </c>
      <c r="G380" s="17"/>
      <c r="I380" s="51">
        <f t="shared" ref="I380:I384" si="231">IF(M381&lt;&gt;"",N381,IF(M382&lt;&gt;"",N382,IF(M383&lt;&gt;"",N383,IF(M632&lt;&gt;"",N632,IF(M633&lt;&gt;"",N633,IF(M634&lt;&gt;"",N634))))))</f>
        <v>3</v>
      </c>
      <c r="J380" s="18"/>
      <c r="K380" s="23">
        <f t="shared" si="221"/>
        <v>-681</v>
      </c>
      <c r="M380" s="19">
        <v>3</v>
      </c>
      <c r="N380" s="65">
        <f t="shared" ref="N380:N384" si="232">M380+O380</f>
        <v>3</v>
      </c>
      <c r="O380" s="101"/>
      <c r="P380" s="21"/>
      <c r="Q380" s="191"/>
      <c r="R380" s="23">
        <f t="shared" si="222"/>
        <v>-96</v>
      </c>
      <c r="S380" s="52">
        <f t="shared" si="223"/>
        <v>0</v>
      </c>
      <c r="U380" s="51">
        <f t="shared" ref="U380:U384" si="233">C380-I380</f>
        <v>63</v>
      </c>
      <c r="V380" s="23"/>
      <c r="W380" s="23">
        <f t="shared" si="224"/>
        <v>-7939</v>
      </c>
      <c r="Y380" s="19">
        <v>63</v>
      </c>
      <c r="Z380" s="62">
        <f t="shared" si="225"/>
        <v>63</v>
      </c>
      <c r="AA380" s="20"/>
      <c r="AB380" s="21"/>
      <c r="AC380" s="42"/>
      <c r="AD380" s="23">
        <f t="shared" si="226"/>
        <v>-2277</v>
      </c>
      <c r="AE380" s="23">
        <f t="shared" si="227"/>
        <v>15</v>
      </c>
      <c r="AF380" s="23"/>
      <c r="AG380" s="52"/>
    </row>
    <row r="381" spans="1:33">
      <c r="A381" s="96">
        <v>45979</v>
      </c>
      <c r="B381" s="17" t="s">
        <v>19</v>
      </c>
      <c r="C381" s="101">
        <v>66</v>
      </c>
      <c r="D381" s="100">
        <f t="shared" si="219"/>
        <v>0</v>
      </c>
      <c r="E381" s="22">
        <f t="shared" si="220"/>
        <v>-8584</v>
      </c>
      <c r="G381" s="17"/>
      <c r="I381" s="51">
        <f t="shared" si="231"/>
        <v>6</v>
      </c>
      <c r="J381" s="18"/>
      <c r="K381" s="23">
        <f t="shared" si="221"/>
        <v>-687</v>
      </c>
      <c r="M381" s="19">
        <v>3</v>
      </c>
      <c r="N381" s="65">
        <f t="shared" si="232"/>
        <v>3</v>
      </c>
      <c r="O381" s="101"/>
      <c r="P381" s="21"/>
      <c r="Q381" s="191"/>
      <c r="R381" s="23">
        <f t="shared" si="222"/>
        <v>-99</v>
      </c>
      <c r="S381" s="52">
        <f t="shared" si="223"/>
        <v>0</v>
      </c>
      <c r="U381" s="51">
        <f t="shared" si="233"/>
        <v>60</v>
      </c>
      <c r="V381" s="23"/>
      <c r="W381" s="23">
        <f t="shared" si="224"/>
        <v>-7999</v>
      </c>
      <c r="Y381" s="19">
        <v>60</v>
      </c>
      <c r="Z381" s="62">
        <f t="shared" si="225"/>
        <v>63</v>
      </c>
      <c r="AA381" s="20"/>
      <c r="AB381" s="21"/>
      <c r="AC381" s="42"/>
      <c r="AD381" s="23">
        <f t="shared" si="226"/>
        <v>-2337</v>
      </c>
      <c r="AE381" s="23">
        <f t="shared" si="227"/>
        <v>18</v>
      </c>
      <c r="AF381" s="23"/>
      <c r="AG381" s="52"/>
    </row>
    <row r="382" spans="1:33">
      <c r="A382" s="96">
        <v>45980</v>
      </c>
      <c r="B382" s="17" t="s">
        <v>20</v>
      </c>
      <c r="C382" s="101">
        <v>66</v>
      </c>
      <c r="D382" s="100">
        <f t="shared" si="219"/>
        <v>0</v>
      </c>
      <c r="E382" s="22">
        <f t="shared" si="220"/>
        <v>-8650</v>
      </c>
      <c r="G382" s="17"/>
      <c r="I382" s="51">
        <f t="shared" si="231"/>
        <v>6</v>
      </c>
      <c r="J382" s="18"/>
      <c r="K382" s="23">
        <f t="shared" si="221"/>
        <v>-693</v>
      </c>
      <c r="M382" s="19">
        <v>6</v>
      </c>
      <c r="N382" s="65">
        <f t="shared" si="232"/>
        <v>6</v>
      </c>
      <c r="O382" s="101"/>
      <c r="P382" s="21"/>
      <c r="Q382" s="191"/>
      <c r="R382" s="23">
        <f t="shared" si="222"/>
        <v>-105</v>
      </c>
      <c r="S382" s="52">
        <f t="shared" si="223"/>
        <v>0</v>
      </c>
      <c r="U382" s="51">
        <f t="shared" si="233"/>
        <v>60</v>
      </c>
      <c r="V382" s="23"/>
      <c r="W382" s="23">
        <f t="shared" si="224"/>
        <v>-8059</v>
      </c>
      <c r="Y382" s="19">
        <v>63</v>
      </c>
      <c r="Z382" s="62">
        <f t="shared" si="225"/>
        <v>60</v>
      </c>
      <c r="AA382" s="20"/>
      <c r="AB382" s="21"/>
      <c r="AC382" s="42"/>
      <c r="AD382" s="23">
        <f t="shared" si="226"/>
        <v>-2400</v>
      </c>
      <c r="AE382" s="23">
        <f t="shared" si="227"/>
        <v>15</v>
      </c>
      <c r="AF382" s="23"/>
      <c r="AG382" s="52"/>
    </row>
    <row r="383" spans="1:33">
      <c r="A383" s="96">
        <v>45981</v>
      </c>
      <c r="B383" s="17" t="s">
        <v>14</v>
      </c>
      <c r="C383" s="101">
        <v>66</v>
      </c>
      <c r="D383" s="100">
        <f t="shared" si="219"/>
        <v>0</v>
      </c>
      <c r="E383" s="22">
        <f t="shared" si="220"/>
        <v>-8716</v>
      </c>
      <c r="G383" s="17"/>
      <c r="I383" s="51">
        <f t="shared" si="231"/>
        <v>0</v>
      </c>
      <c r="J383" s="18"/>
      <c r="K383" s="23">
        <f t="shared" si="221"/>
        <v>-693</v>
      </c>
      <c r="M383" s="19">
        <v>6</v>
      </c>
      <c r="N383" s="65">
        <f t="shared" si="232"/>
        <v>6</v>
      </c>
      <c r="O383" s="101"/>
      <c r="P383" s="21"/>
      <c r="Q383" s="191"/>
      <c r="R383" s="23">
        <f t="shared" si="222"/>
        <v>-111</v>
      </c>
      <c r="S383" s="52">
        <f t="shared" si="223"/>
        <v>0</v>
      </c>
      <c r="U383" s="51">
        <f t="shared" si="233"/>
        <v>66</v>
      </c>
      <c r="V383" s="23"/>
      <c r="W383" s="23">
        <f t="shared" si="224"/>
        <v>-8125</v>
      </c>
      <c r="Y383" s="19">
        <v>60</v>
      </c>
      <c r="Z383" s="62">
        <f t="shared" si="225"/>
        <v>60</v>
      </c>
      <c r="AA383" s="20"/>
      <c r="AB383" s="21"/>
      <c r="AC383" s="42"/>
      <c r="AD383" s="23">
        <f t="shared" si="226"/>
        <v>-2460</v>
      </c>
      <c r="AE383" s="23">
        <f t="shared" si="227"/>
        <v>15</v>
      </c>
      <c r="AF383" s="23"/>
      <c r="AG383" s="52"/>
    </row>
    <row r="384" spans="1:33">
      <c r="A384" s="96">
        <v>45982</v>
      </c>
      <c r="B384" s="17" t="s">
        <v>15</v>
      </c>
      <c r="C384" s="101">
        <v>60</v>
      </c>
      <c r="D384" s="100">
        <f t="shared" si="219"/>
        <v>0</v>
      </c>
      <c r="E384" s="22">
        <f t="shared" si="220"/>
        <v>-8776</v>
      </c>
      <c r="G384" s="17"/>
      <c r="I384" s="51">
        <f t="shared" si="231"/>
        <v>3</v>
      </c>
      <c r="J384" s="18"/>
      <c r="K384" s="23">
        <f t="shared" si="221"/>
        <v>-696</v>
      </c>
      <c r="M384" s="19">
        <v>0</v>
      </c>
      <c r="N384" s="65">
        <f t="shared" si="232"/>
        <v>0</v>
      </c>
      <c r="O384" s="101"/>
      <c r="P384" s="21"/>
      <c r="Q384" s="191"/>
      <c r="R384" s="23">
        <f t="shared" si="222"/>
        <v>-111</v>
      </c>
      <c r="S384" s="52">
        <f t="shared" si="223"/>
        <v>0</v>
      </c>
      <c r="U384" s="51">
        <f t="shared" si="233"/>
        <v>57</v>
      </c>
      <c r="V384" s="23"/>
      <c r="W384" s="23">
        <f t="shared" si="224"/>
        <v>-8182</v>
      </c>
      <c r="Y384" s="19">
        <v>72</v>
      </c>
      <c r="Z384" s="62">
        <f t="shared" si="225"/>
        <v>66</v>
      </c>
      <c r="AA384" s="20"/>
      <c r="AB384" s="21"/>
      <c r="AC384" s="42"/>
      <c r="AD384" s="23">
        <f t="shared" si="226"/>
        <v>-2532</v>
      </c>
      <c r="AE384" s="23">
        <f t="shared" si="227"/>
        <v>9</v>
      </c>
      <c r="AF384" s="23"/>
      <c r="AG384" s="52"/>
    </row>
    <row r="385" spans="1:33" s="12" customFormat="1">
      <c r="A385" s="95">
        <v>45983</v>
      </c>
      <c r="B385" s="25" t="s">
        <v>16</v>
      </c>
      <c r="C385" s="98"/>
      <c r="D385" s="99">
        <f t="shared" si="219"/>
        <v>0</v>
      </c>
      <c r="E385" s="87">
        <f t="shared" si="220"/>
        <v>-8776</v>
      </c>
      <c r="G385" s="25"/>
      <c r="I385" s="53"/>
      <c r="J385" s="26"/>
      <c r="K385" s="29">
        <f t="shared" si="221"/>
        <v>-696</v>
      </c>
      <c r="M385" s="64"/>
      <c r="N385" s="66"/>
      <c r="O385" s="98"/>
      <c r="P385" s="28"/>
      <c r="Q385" s="230"/>
      <c r="R385" s="29">
        <f t="shared" si="222"/>
        <v>-111</v>
      </c>
      <c r="S385" s="54">
        <f t="shared" si="223"/>
        <v>0</v>
      </c>
      <c r="U385" s="53"/>
      <c r="V385" s="29"/>
      <c r="W385" s="29">
        <f t="shared" si="224"/>
        <v>-8182</v>
      </c>
      <c r="Y385" s="64"/>
      <c r="Z385" s="63"/>
      <c r="AA385" s="27"/>
      <c r="AB385" s="28"/>
      <c r="AC385" s="43"/>
      <c r="AD385" s="29">
        <f t="shared" si="226"/>
        <v>-2532</v>
      </c>
      <c r="AE385" s="29">
        <f t="shared" si="227"/>
        <v>9</v>
      </c>
      <c r="AF385" s="29"/>
      <c r="AG385" s="54"/>
    </row>
    <row r="386" spans="1:33" s="12" customFormat="1">
      <c r="A386" s="95">
        <v>45984</v>
      </c>
      <c r="B386" s="25" t="s">
        <v>17</v>
      </c>
      <c r="C386" s="98"/>
      <c r="D386" s="99">
        <f t="shared" si="219"/>
        <v>0</v>
      </c>
      <c r="E386" s="87">
        <f t="shared" si="220"/>
        <v>-8776</v>
      </c>
      <c r="G386" s="25"/>
      <c r="I386" s="53"/>
      <c r="J386" s="26"/>
      <c r="K386" s="29">
        <f t="shared" si="221"/>
        <v>-696</v>
      </c>
      <c r="M386" s="64"/>
      <c r="N386" s="66"/>
      <c r="O386" s="98"/>
      <c r="P386" s="28"/>
      <c r="Q386" s="230"/>
      <c r="R386" s="29">
        <f t="shared" si="222"/>
        <v>-111</v>
      </c>
      <c r="S386" s="54">
        <f t="shared" si="223"/>
        <v>0</v>
      </c>
      <c r="U386" s="53"/>
      <c r="V386" s="29"/>
      <c r="W386" s="29">
        <f t="shared" si="224"/>
        <v>-8182</v>
      </c>
      <c r="Y386" s="64"/>
      <c r="Z386" s="63"/>
      <c r="AA386" s="27"/>
      <c r="AB386" s="28"/>
      <c r="AC386" s="43"/>
      <c r="AD386" s="29">
        <f t="shared" si="226"/>
        <v>-2532</v>
      </c>
      <c r="AE386" s="29">
        <f t="shared" si="227"/>
        <v>9</v>
      </c>
      <c r="AF386" s="29"/>
      <c r="AG386" s="54"/>
    </row>
    <row r="387" spans="1:33">
      <c r="A387" s="96">
        <v>45985</v>
      </c>
      <c r="B387" s="17" t="s">
        <v>18</v>
      </c>
      <c r="C387" s="101">
        <v>60</v>
      </c>
      <c r="D387" s="100">
        <f t="shared" si="219"/>
        <v>0</v>
      </c>
      <c r="E387" s="22">
        <f t="shared" si="220"/>
        <v>-8836</v>
      </c>
      <c r="G387" s="17"/>
      <c r="I387" s="51">
        <f t="shared" ref="I387:I391" si="234">IF(M388&lt;&gt;"",N388,IF(M389&lt;&gt;"",N389,IF(M390&lt;&gt;"",N390,IF(M639&lt;&gt;"",N639,IF(M640&lt;&gt;"",N640,IF(M641&lt;&gt;"",N641))))))</f>
        <v>0</v>
      </c>
      <c r="J387" s="18"/>
      <c r="K387" s="23">
        <f t="shared" si="221"/>
        <v>-696</v>
      </c>
      <c r="M387" s="19">
        <v>3</v>
      </c>
      <c r="N387" s="65">
        <f t="shared" ref="N387:N391" si="235">M387+O387</f>
        <v>3</v>
      </c>
      <c r="O387" s="101"/>
      <c r="P387" s="21"/>
      <c r="Q387" s="191"/>
      <c r="R387" s="23">
        <f t="shared" si="222"/>
        <v>-114</v>
      </c>
      <c r="S387" s="52">
        <f t="shared" si="223"/>
        <v>0</v>
      </c>
      <c r="U387" s="51">
        <f t="shared" ref="U387:U391" si="236">C387-I387</f>
        <v>60</v>
      </c>
      <c r="V387" s="23"/>
      <c r="W387" s="23">
        <f t="shared" si="224"/>
        <v>-8242</v>
      </c>
      <c r="Y387" s="19">
        <v>0</v>
      </c>
      <c r="Z387" s="62">
        <f t="shared" si="225"/>
        <v>57</v>
      </c>
      <c r="AA387" s="20"/>
      <c r="AB387" s="21"/>
      <c r="AC387" s="42"/>
      <c r="AD387" s="23">
        <f t="shared" si="226"/>
        <v>-2532</v>
      </c>
      <c r="AE387" s="23">
        <f t="shared" si="227"/>
        <v>66</v>
      </c>
      <c r="AF387" s="23"/>
      <c r="AG387" s="52"/>
    </row>
    <row r="388" spans="1:33">
      <c r="A388" s="96">
        <v>45986</v>
      </c>
      <c r="B388" s="17" t="s">
        <v>19</v>
      </c>
      <c r="C388" s="101">
        <v>60</v>
      </c>
      <c r="D388" s="100">
        <f t="shared" si="219"/>
        <v>0</v>
      </c>
      <c r="E388" s="22">
        <f t="shared" si="220"/>
        <v>-8896</v>
      </c>
      <c r="G388" s="17"/>
      <c r="I388" s="51">
        <f t="shared" si="234"/>
        <v>3</v>
      </c>
      <c r="J388" s="18"/>
      <c r="K388" s="23">
        <f t="shared" si="221"/>
        <v>-699</v>
      </c>
      <c r="M388" s="19">
        <v>0</v>
      </c>
      <c r="N388" s="65">
        <f t="shared" si="235"/>
        <v>0</v>
      </c>
      <c r="O388" s="101"/>
      <c r="P388" s="21"/>
      <c r="Q388" s="191"/>
      <c r="R388" s="23">
        <f t="shared" si="222"/>
        <v>-114</v>
      </c>
      <c r="S388" s="52">
        <f t="shared" si="223"/>
        <v>0</v>
      </c>
      <c r="U388" s="51">
        <f t="shared" si="236"/>
        <v>57</v>
      </c>
      <c r="V388" s="23"/>
      <c r="W388" s="23">
        <f t="shared" si="224"/>
        <v>-8299</v>
      </c>
      <c r="Y388" s="19">
        <v>45</v>
      </c>
      <c r="Z388" s="62">
        <f t="shared" si="225"/>
        <v>60</v>
      </c>
      <c r="AA388" s="20"/>
      <c r="AB388" s="21"/>
      <c r="AC388" s="42"/>
      <c r="AD388" s="23">
        <f t="shared" si="226"/>
        <v>-2577</v>
      </c>
      <c r="AE388" s="23">
        <f t="shared" si="227"/>
        <v>81</v>
      </c>
      <c r="AF388" s="23"/>
      <c r="AG388" s="52"/>
    </row>
    <row r="389" spans="1:33">
      <c r="A389" s="96">
        <v>45987</v>
      </c>
      <c r="B389" s="17" t="s">
        <v>20</v>
      </c>
      <c r="C389" s="101">
        <v>60</v>
      </c>
      <c r="D389" s="100">
        <f t="shared" si="219"/>
        <v>0</v>
      </c>
      <c r="E389" s="22">
        <f t="shared" si="220"/>
        <v>-8956</v>
      </c>
      <c r="G389" s="17"/>
      <c r="I389" s="51">
        <f t="shared" si="234"/>
        <v>3</v>
      </c>
      <c r="J389" s="18"/>
      <c r="K389" s="23">
        <f t="shared" si="221"/>
        <v>-702</v>
      </c>
      <c r="M389" s="19">
        <v>3</v>
      </c>
      <c r="N389" s="65">
        <f t="shared" si="235"/>
        <v>3</v>
      </c>
      <c r="O389" s="101"/>
      <c r="P389" s="21"/>
      <c r="Q389" s="191"/>
      <c r="R389" s="23">
        <f t="shared" si="222"/>
        <v>-117</v>
      </c>
      <c r="S389" s="52">
        <f t="shared" si="223"/>
        <v>0</v>
      </c>
      <c r="U389" s="51">
        <f t="shared" si="236"/>
        <v>57</v>
      </c>
      <c r="V389" s="23"/>
      <c r="W389" s="23">
        <f t="shared" si="224"/>
        <v>-8356</v>
      </c>
      <c r="Y389" s="19">
        <v>54</v>
      </c>
      <c r="Z389" s="62">
        <f t="shared" si="225"/>
        <v>57</v>
      </c>
      <c r="AA389" s="20"/>
      <c r="AB389" s="21"/>
      <c r="AC389" s="42"/>
      <c r="AD389" s="23">
        <f t="shared" si="226"/>
        <v>-2631</v>
      </c>
      <c r="AE389" s="23">
        <f t="shared" si="227"/>
        <v>84</v>
      </c>
      <c r="AF389" s="23"/>
      <c r="AG389" s="52"/>
    </row>
    <row r="390" spans="1:33">
      <c r="A390" s="96">
        <v>45988</v>
      </c>
      <c r="B390" s="17" t="s">
        <v>14</v>
      </c>
      <c r="C390" s="101">
        <v>60</v>
      </c>
      <c r="D390" s="100">
        <f t="shared" si="219"/>
        <v>0</v>
      </c>
      <c r="E390" s="22">
        <f t="shared" si="220"/>
        <v>-9016</v>
      </c>
      <c r="G390" s="17"/>
      <c r="I390" s="51">
        <f t="shared" si="234"/>
        <v>0</v>
      </c>
      <c r="J390" s="18"/>
      <c r="K390" s="23">
        <f t="shared" si="221"/>
        <v>-702</v>
      </c>
      <c r="M390" s="19">
        <v>3</v>
      </c>
      <c r="N390" s="65">
        <f t="shared" si="235"/>
        <v>3</v>
      </c>
      <c r="O390" s="101"/>
      <c r="P390" s="21"/>
      <c r="Q390" s="191"/>
      <c r="R390" s="23">
        <f t="shared" si="222"/>
        <v>-120</v>
      </c>
      <c r="S390" s="52">
        <f t="shared" si="223"/>
        <v>0</v>
      </c>
      <c r="U390" s="51">
        <f t="shared" si="236"/>
        <v>60</v>
      </c>
      <c r="V390" s="23"/>
      <c r="W390" s="23">
        <f t="shared" si="224"/>
        <v>-8416</v>
      </c>
      <c r="Y390" s="19">
        <v>57</v>
      </c>
      <c r="Z390" s="62">
        <f t="shared" si="225"/>
        <v>57</v>
      </c>
      <c r="AA390" s="20"/>
      <c r="AB390" s="21"/>
      <c r="AC390" s="42"/>
      <c r="AD390" s="23">
        <f t="shared" si="226"/>
        <v>-2688</v>
      </c>
      <c r="AE390" s="23">
        <f t="shared" si="227"/>
        <v>84</v>
      </c>
      <c r="AF390" s="23"/>
      <c r="AG390" s="52"/>
    </row>
    <row r="391" spans="1:33">
      <c r="A391" s="96">
        <v>45989</v>
      </c>
      <c r="B391" s="17" t="s">
        <v>15</v>
      </c>
      <c r="C391" s="101">
        <v>60</v>
      </c>
      <c r="D391" s="100">
        <f t="shared" si="219"/>
        <v>0</v>
      </c>
      <c r="E391" s="22">
        <f t="shared" si="220"/>
        <v>-9076</v>
      </c>
      <c r="G391" s="17"/>
      <c r="I391" s="51" t="b">
        <f t="shared" si="234"/>
        <v>0</v>
      </c>
      <c r="J391" s="18"/>
      <c r="K391" s="23">
        <f t="shared" si="221"/>
        <v>-702</v>
      </c>
      <c r="M391" s="19">
        <v>0</v>
      </c>
      <c r="N391" s="65">
        <f t="shared" si="235"/>
        <v>0</v>
      </c>
      <c r="O391" s="101"/>
      <c r="P391" s="21"/>
      <c r="Q391" s="191"/>
      <c r="R391" s="23">
        <f t="shared" si="222"/>
        <v>-120</v>
      </c>
      <c r="S391" s="52">
        <f t="shared" si="223"/>
        <v>0</v>
      </c>
      <c r="U391" s="51">
        <f t="shared" si="236"/>
        <v>60</v>
      </c>
      <c r="V391" s="23"/>
      <c r="W391" s="23">
        <f t="shared" si="224"/>
        <v>-8476</v>
      </c>
      <c r="Y391" s="19">
        <v>0</v>
      </c>
      <c r="Z391" s="62">
        <f t="shared" si="225"/>
        <v>60</v>
      </c>
      <c r="AA391" s="20"/>
      <c r="AB391" s="21"/>
      <c r="AC391" s="42"/>
      <c r="AD391" s="23">
        <f t="shared" si="226"/>
        <v>-2688</v>
      </c>
      <c r="AE391" s="23">
        <f t="shared" si="227"/>
        <v>144</v>
      </c>
      <c r="AF391" s="23"/>
      <c r="AG391" s="52"/>
    </row>
    <row r="392" spans="1:33" s="12" customFormat="1">
      <c r="A392" s="95">
        <v>45990</v>
      </c>
      <c r="B392" s="25" t="s">
        <v>16</v>
      </c>
      <c r="C392" s="98"/>
      <c r="D392" s="99">
        <f t="shared" si="219"/>
        <v>0</v>
      </c>
      <c r="E392" s="87">
        <f t="shared" si="220"/>
        <v>-9076</v>
      </c>
      <c r="G392" s="25"/>
      <c r="I392" s="53"/>
      <c r="J392" s="26"/>
      <c r="K392" s="29">
        <f t="shared" si="221"/>
        <v>-702</v>
      </c>
      <c r="M392" s="64"/>
      <c r="N392" s="66"/>
      <c r="O392" s="98"/>
      <c r="P392" s="28"/>
      <c r="Q392" s="230"/>
      <c r="R392" s="29">
        <f t="shared" si="222"/>
        <v>-120</v>
      </c>
      <c r="S392" s="54">
        <f t="shared" si="223"/>
        <v>0</v>
      </c>
      <c r="U392" s="53"/>
      <c r="V392" s="29"/>
      <c r="W392" s="29">
        <f t="shared" si="224"/>
        <v>-8476</v>
      </c>
      <c r="Y392" s="64"/>
      <c r="Z392" s="63"/>
      <c r="AA392" s="27"/>
      <c r="AB392" s="28"/>
      <c r="AC392" s="43"/>
      <c r="AD392" s="29">
        <f t="shared" si="226"/>
        <v>-2688</v>
      </c>
      <c r="AE392" s="29">
        <f t="shared" si="227"/>
        <v>144</v>
      </c>
      <c r="AF392" s="29"/>
      <c r="AG392" s="54"/>
    </row>
    <row r="393" spans="1:33" s="12" customFormat="1">
      <c r="A393" s="95">
        <v>45991</v>
      </c>
      <c r="B393" s="25" t="s">
        <v>17</v>
      </c>
      <c r="C393" s="98"/>
      <c r="D393" s="99">
        <f t="shared" si="219"/>
        <v>0</v>
      </c>
      <c r="E393" s="87">
        <f t="shared" si="220"/>
        <v>-9076</v>
      </c>
      <c r="G393" s="25"/>
      <c r="I393" s="53"/>
      <c r="J393" s="26"/>
      <c r="K393" s="29">
        <f t="shared" si="221"/>
        <v>-702</v>
      </c>
      <c r="M393" s="64"/>
      <c r="N393" s="66"/>
      <c r="O393" s="98"/>
      <c r="P393" s="28"/>
      <c r="Q393" s="230"/>
      <c r="R393" s="29">
        <f t="shared" si="222"/>
        <v>-120</v>
      </c>
      <c r="S393" s="54">
        <f t="shared" si="223"/>
        <v>0</v>
      </c>
      <c r="U393" s="53"/>
      <c r="V393" s="29"/>
      <c r="W393" s="29">
        <f t="shared" si="224"/>
        <v>-8476</v>
      </c>
      <c r="Y393" s="64"/>
      <c r="Z393" s="63"/>
      <c r="AA393" s="27"/>
      <c r="AB393" s="28"/>
      <c r="AC393" s="43"/>
      <c r="AD393" s="29">
        <f t="shared" si="226"/>
        <v>-2688</v>
      </c>
      <c r="AE393" s="29">
        <f t="shared" si="227"/>
        <v>144</v>
      </c>
      <c r="AF393" s="29"/>
      <c r="AG393" s="54"/>
    </row>
    <row r="394" spans="1:33">
      <c r="A394" s="96">
        <v>45992</v>
      </c>
      <c r="B394" s="17" t="s">
        <v>18</v>
      </c>
      <c r="C394" s="101">
        <v>60</v>
      </c>
      <c r="D394" s="100">
        <f t="shared" si="219"/>
        <v>0</v>
      </c>
      <c r="E394" s="22">
        <f t="shared" si="220"/>
        <v>-9136</v>
      </c>
      <c r="G394" s="17"/>
      <c r="I394" s="51" t="b">
        <f t="shared" ref="I394:I398" si="237">IF(M395&lt;&gt;"",N395,IF(M396&lt;&gt;"",N396,IF(M397&lt;&gt;"",N397,IF(M646&lt;&gt;"",N646,IF(M647&lt;&gt;"",N647,IF(M648&lt;&gt;"",N648))))))</f>
        <v>0</v>
      </c>
      <c r="J394" s="18"/>
      <c r="K394" s="23">
        <f t="shared" si="221"/>
        <v>-702</v>
      </c>
      <c r="M394" s="19"/>
      <c r="N394" s="65">
        <f t="shared" ref="N394:N398" si="238">M394+O394</f>
        <v>0</v>
      </c>
      <c r="O394" s="101"/>
      <c r="P394" s="21"/>
      <c r="Q394" s="191"/>
      <c r="R394" s="23">
        <f t="shared" si="222"/>
        <v>-120</v>
      </c>
      <c r="S394" s="52">
        <f t="shared" si="223"/>
        <v>0</v>
      </c>
      <c r="U394" s="51">
        <f t="shared" ref="U394:U398" si="239">C394-I394</f>
        <v>60</v>
      </c>
      <c r="V394" s="23"/>
      <c r="W394" s="23">
        <f t="shared" si="224"/>
        <v>-8536</v>
      </c>
      <c r="Y394" s="19"/>
      <c r="Z394" s="62">
        <f t="shared" si="225"/>
        <v>60</v>
      </c>
      <c r="AA394" s="20"/>
      <c r="AB394" s="21"/>
      <c r="AC394" s="42"/>
      <c r="AD394" s="23">
        <f t="shared" si="226"/>
        <v>-2688</v>
      </c>
      <c r="AE394" s="23">
        <f t="shared" si="227"/>
        <v>204</v>
      </c>
      <c r="AF394" s="23"/>
      <c r="AG394" s="52"/>
    </row>
    <row r="395" spans="1:33">
      <c r="A395" s="96">
        <v>45993</v>
      </c>
      <c r="B395" s="17" t="s">
        <v>19</v>
      </c>
      <c r="C395" s="101">
        <v>60</v>
      </c>
      <c r="D395" s="100">
        <f t="shared" si="219"/>
        <v>0</v>
      </c>
      <c r="E395" s="22">
        <f t="shared" si="220"/>
        <v>-9196</v>
      </c>
      <c r="G395" s="17"/>
      <c r="I395" s="51" t="b">
        <f t="shared" si="237"/>
        <v>0</v>
      </c>
      <c r="J395" s="18"/>
      <c r="K395" s="23">
        <f t="shared" si="221"/>
        <v>-702</v>
      </c>
      <c r="M395" s="19"/>
      <c r="N395" s="65">
        <f t="shared" si="238"/>
        <v>0</v>
      </c>
      <c r="O395" s="101"/>
      <c r="P395" s="21"/>
      <c r="Q395" s="191"/>
      <c r="R395" s="23">
        <f t="shared" si="222"/>
        <v>-120</v>
      </c>
      <c r="S395" s="52">
        <f t="shared" si="223"/>
        <v>0</v>
      </c>
      <c r="U395" s="51">
        <f t="shared" si="239"/>
        <v>60</v>
      </c>
      <c r="V395" s="23"/>
      <c r="W395" s="23">
        <f t="shared" si="224"/>
        <v>-8596</v>
      </c>
      <c r="Y395" s="19"/>
      <c r="Z395" s="62">
        <f t="shared" si="225"/>
        <v>60</v>
      </c>
      <c r="AA395" s="20"/>
      <c r="AB395" s="21"/>
      <c r="AC395" s="42"/>
      <c r="AD395" s="23">
        <f t="shared" si="226"/>
        <v>-2688</v>
      </c>
      <c r="AE395" s="23">
        <f t="shared" si="227"/>
        <v>264</v>
      </c>
      <c r="AF395" s="23"/>
      <c r="AG395" s="52"/>
    </row>
    <row r="396" spans="1:33">
      <c r="A396" s="96">
        <v>45994</v>
      </c>
      <c r="B396" s="17" t="s">
        <v>20</v>
      </c>
      <c r="C396" s="101">
        <v>60</v>
      </c>
      <c r="D396" s="100">
        <f t="shared" si="219"/>
        <v>0</v>
      </c>
      <c r="E396" s="22">
        <f t="shared" si="220"/>
        <v>-9256</v>
      </c>
      <c r="G396" s="17"/>
      <c r="I396" s="51" t="b">
        <f t="shared" si="237"/>
        <v>0</v>
      </c>
      <c r="J396" s="18"/>
      <c r="K396" s="23">
        <f t="shared" si="221"/>
        <v>-702</v>
      </c>
      <c r="M396" s="19"/>
      <c r="N396" s="65">
        <f t="shared" si="238"/>
        <v>0</v>
      </c>
      <c r="O396" s="101"/>
      <c r="P396" s="21"/>
      <c r="Q396" s="191"/>
      <c r="R396" s="23">
        <f t="shared" si="222"/>
        <v>-120</v>
      </c>
      <c r="S396" s="52">
        <f t="shared" si="223"/>
        <v>0</v>
      </c>
      <c r="U396" s="51">
        <f t="shared" si="239"/>
        <v>60</v>
      </c>
      <c r="V396" s="23"/>
      <c r="W396" s="23">
        <f t="shared" si="224"/>
        <v>-8656</v>
      </c>
      <c r="Y396" s="19"/>
      <c r="Z396" s="62">
        <f t="shared" si="225"/>
        <v>60</v>
      </c>
      <c r="AA396" s="20"/>
      <c r="AB396" s="21"/>
      <c r="AC396" s="42"/>
      <c r="AD396" s="23">
        <f t="shared" si="226"/>
        <v>-2688</v>
      </c>
      <c r="AE396" s="23">
        <f t="shared" si="227"/>
        <v>324</v>
      </c>
      <c r="AF396" s="23"/>
      <c r="AG396" s="52"/>
    </row>
    <row r="397" spans="1:33">
      <c r="A397" s="96">
        <v>45995</v>
      </c>
      <c r="B397" s="17" t="s">
        <v>14</v>
      </c>
      <c r="C397" s="101">
        <v>60</v>
      </c>
      <c r="D397" s="100">
        <f t="shared" si="219"/>
        <v>0</v>
      </c>
      <c r="E397" s="22">
        <f t="shared" si="220"/>
        <v>-9316</v>
      </c>
      <c r="G397" s="17"/>
      <c r="I397" s="51" t="b">
        <f t="shared" si="237"/>
        <v>0</v>
      </c>
      <c r="J397" s="18"/>
      <c r="K397" s="23">
        <f t="shared" si="221"/>
        <v>-702</v>
      </c>
      <c r="M397" s="19"/>
      <c r="N397" s="65">
        <f t="shared" si="238"/>
        <v>0</v>
      </c>
      <c r="O397" s="101"/>
      <c r="P397" s="21"/>
      <c r="Q397" s="191"/>
      <c r="R397" s="23">
        <f t="shared" si="222"/>
        <v>-120</v>
      </c>
      <c r="S397" s="52">
        <f t="shared" si="223"/>
        <v>0</v>
      </c>
      <c r="U397" s="51">
        <f t="shared" si="239"/>
        <v>60</v>
      </c>
      <c r="V397" s="23"/>
      <c r="W397" s="23">
        <f t="shared" si="224"/>
        <v>-8716</v>
      </c>
      <c r="Y397" s="19"/>
      <c r="Z397" s="62">
        <f t="shared" si="225"/>
        <v>60</v>
      </c>
      <c r="AA397" s="20"/>
      <c r="AB397" s="21"/>
      <c r="AC397" s="42"/>
      <c r="AD397" s="23">
        <f t="shared" si="226"/>
        <v>-2688</v>
      </c>
      <c r="AE397" s="23">
        <f t="shared" si="227"/>
        <v>384</v>
      </c>
      <c r="AF397" s="23"/>
      <c r="AG397" s="52"/>
    </row>
    <row r="398" spans="1:33">
      <c r="A398" s="96">
        <v>45996</v>
      </c>
      <c r="B398" s="17" t="s">
        <v>15</v>
      </c>
      <c r="C398" s="101">
        <v>60</v>
      </c>
      <c r="D398" s="100">
        <f t="shared" si="219"/>
        <v>0</v>
      </c>
      <c r="E398" s="22">
        <f t="shared" si="220"/>
        <v>-9376</v>
      </c>
      <c r="G398" s="17"/>
      <c r="I398" s="51" t="b">
        <f t="shared" si="237"/>
        <v>0</v>
      </c>
      <c r="J398" s="18"/>
      <c r="K398" s="23">
        <f t="shared" si="221"/>
        <v>-702</v>
      </c>
      <c r="M398" s="19"/>
      <c r="N398" s="65">
        <f t="shared" si="238"/>
        <v>0</v>
      </c>
      <c r="O398" s="101"/>
      <c r="P398" s="21"/>
      <c r="Q398" s="191"/>
      <c r="R398" s="23">
        <f t="shared" si="222"/>
        <v>-120</v>
      </c>
      <c r="S398" s="52">
        <f t="shared" si="223"/>
        <v>0</v>
      </c>
      <c r="U398" s="51">
        <f t="shared" si="239"/>
        <v>60</v>
      </c>
      <c r="V398" s="23"/>
      <c r="W398" s="23">
        <f t="shared" si="224"/>
        <v>-8776</v>
      </c>
      <c r="Y398" s="19"/>
      <c r="Z398" s="62">
        <f t="shared" si="225"/>
        <v>60</v>
      </c>
      <c r="AA398" s="20"/>
      <c r="AB398" s="21"/>
      <c r="AC398" s="42"/>
      <c r="AD398" s="23">
        <f t="shared" si="226"/>
        <v>-2688</v>
      </c>
      <c r="AE398" s="23">
        <f t="shared" si="227"/>
        <v>444</v>
      </c>
      <c r="AF398" s="23"/>
      <c r="AG398" s="52"/>
    </row>
    <row r="399" spans="1:33" s="12" customFormat="1">
      <c r="A399" s="95">
        <v>45997</v>
      </c>
      <c r="B399" s="25" t="s">
        <v>16</v>
      </c>
      <c r="C399" s="98"/>
      <c r="D399" s="99">
        <f t="shared" si="219"/>
        <v>0</v>
      </c>
      <c r="E399" s="87">
        <f t="shared" si="220"/>
        <v>-9376</v>
      </c>
      <c r="G399" s="25"/>
      <c r="I399" s="53"/>
      <c r="J399" s="26"/>
      <c r="K399" s="29">
        <f t="shared" si="221"/>
        <v>-702</v>
      </c>
      <c r="M399" s="64"/>
      <c r="N399" s="66"/>
      <c r="O399" s="98"/>
      <c r="P399" s="28"/>
      <c r="Q399" s="230"/>
      <c r="R399" s="29">
        <f t="shared" si="222"/>
        <v>-120</v>
      </c>
      <c r="S399" s="54">
        <f t="shared" si="223"/>
        <v>0</v>
      </c>
      <c r="U399" s="53"/>
      <c r="V399" s="29"/>
      <c r="W399" s="29">
        <f t="shared" si="224"/>
        <v>-8776</v>
      </c>
      <c r="Y399" s="64"/>
      <c r="Z399" s="63">
        <f t="shared" si="225"/>
        <v>60</v>
      </c>
      <c r="AA399" s="27"/>
      <c r="AB399" s="28"/>
      <c r="AC399" s="43"/>
      <c r="AD399" s="29">
        <f t="shared" si="226"/>
        <v>-2688</v>
      </c>
      <c r="AE399" s="29">
        <f t="shared" si="227"/>
        <v>504</v>
      </c>
      <c r="AF399" s="29"/>
      <c r="AG399" s="54"/>
    </row>
    <row r="400" spans="1:33">
      <c r="A400" s="96"/>
      <c r="B400" s="17"/>
      <c r="C400" s="101"/>
      <c r="D400" s="100"/>
      <c r="E400" s="22"/>
      <c r="G400" s="17"/>
      <c r="I400" s="51"/>
      <c r="J400" s="18"/>
      <c r="K400" s="23"/>
      <c r="M400" s="19"/>
      <c r="N400" s="65"/>
      <c r="O400" s="101"/>
      <c r="P400" s="21"/>
      <c r="Q400" s="191"/>
      <c r="R400" s="23"/>
      <c r="S400" s="52"/>
      <c r="U400" s="51"/>
      <c r="V400" s="23"/>
      <c r="W400" s="23"/>
      <c r="Y400" s="19"/>
      <c r="Z400" s="62"/>
      <c r="AA400" s="20"/>
      <c r="AB400" s="21"/>
      <c r="AC400" s="42"/>
      <c r="AD400" s="23"/>
      <c r="AE400" s="23"/>
      <c r="AF400" s="23"/>
      <c r="AG400" s="52"/>
    </row>
    <row r="402" spans="1:7">
      <c r="C402" s="1">
        <v>370</v>
      </c>
      <c r="E402" s="1">
        <v>470</v>
      </c>
      <c r="G402" s="1" t="s">
        <v>48</v>
      </c>
    </row>
    <row r="403" spans="1:7">
      <c r="C403" s="208"/>
      <c r="E403" s="208"/>
      <c r="G403" s="210"/>
    </row>
    <row r="404" spans="1:7">
      <c r="A404" s="2" t="s">
        <v>44</v>
      </c>
      <c r="B404" s="1">
        <v>22</v>
      </c>
      <c r="C404" s="208">
        <v>222</v>
      </c>
      <c r="E404" s="208">
        <v>1050</v>
      </c>
      <c r="G404" s="210">
        <f>(E404+C404)/B404</f>
        <v>57.81818181818182</v>
      </c>
    </row>
    <row r="405" spans="1:7">
      <c r="A405" s="2" t="s">
        <v>45</v>
      </c>
      <c r="B405" s="1">
        <v>22</v>
      </c>
      <c r="C405" s="208">
        <v>168</v>
      </c>
      <c r="E405" s="208">
        <v>1380</v>
      </c>
      <c r="G405" s="210">
        <f>(E405+C405)/B405</f>
        <v>70.36363636363636</v>
      </c>
    </row>
    <row r="406" spans="1:7">
      <c r="A406" s="2" t="s">
        <v>46</v>
      </c>
      <c r="B406" s="1">
        <v>21</v>
      </c>
      <c r="C406" s="208">
        <v>132</v>
      </c>
      <c r="E406" s="208">
        <v>1071</v>
      </c>
      <c r="G406" s="210">
        <f>(E406+C406)/B406</f>
        <v>57.285714285714285</v>
      </c>
    </row>
    <row r="407" spans="1:7">
      <c r="A407" s="2" t="s">
        <v>47</v>
      </c>
      <c r="B407" s="1">
        <v>20</v>
      </c>
      <c r="C407" s="208">
        <v>114</v>
      </c>
      <c r="E407" s="208">
        <v>1056</v>
      </c>
      <c r="G407" s="210">
        <f>(E407+C407)/B407</f>
        <v>58.5</v>
      </c>
    </row>
    <row r="408" spans="1:7">
      <c r="A408" s="2" t="s">
        <v>71</v>
      </c>
      <c r="B408" s="1">
        <v>20</v>
      </c>
      <c r="C408" s="208">
        <v>150</v>
      </c>
      <c r="E408" s="208">
        <v>1227</v>
      </c>
      <c r="G408" s="210">
        <f t="shared" ref="G408:G413" si="240">(E408+C408)/B408</f>
        <v>68.849999999999994</v>
      </c>
    </row>
    <row r="409" spans="1:7">
      <c r="A409" s="2" t="s">
        <v>72</v>
      </c>
      <c r="B409" s="1">
        <v>21</v>
      </c>
      <c r="C409" s="208">
        <v>144</v>
      </c>
      <c r="E409" s="208">
        <v>1179</v>
      </c>
      <c r="G409" s="210">
        <f t="shared" si="240"/>
        <v>63</v>
      </c>
    </row>
    <row r="410" spans="1:7">
      <c r="A410" s="2" t="s">
        <v>73</v>
      </c>
      <c r="B410" s="1">
        <v>22</v>
      </c>
      <c r="C410">
        <v>159</v>
      </c>
      <c r="E410" s="208">
        <v>1311</v>
      </c>
      <c r="G410" s="210">
        <f t="shared" si="240"/>
        <v>66.818181818181813</v>
      </c>
    </row>
    <row r="411" spans="1:7">
      <c r="A411" s="2" t="s">
        <v>74</v>
      </c>
      <c r="B411" s="1">
        <v>19</v>
      </c>
      <c r="C411">
        <v>147</v>
      </c>
      <c r="E411" s="208">
        <v>1176</v>
      </c>
      <c r="G411" s="210">
        <f t="shared" si="240"/>
        <v>69.631578947368425</v>
      </c>
    </row>
    <row r="412" spans="1:7">
      <c r="A412" s="2" t="s">
        <v>75</v>
      </c>
      <c r="B412" s="1">
        <v>19</v>
      </c>
      <c r="C412">
        <v>117</v>
      </c>
      <c r="E412" s="208">
        <v>966</v>
      </c>
      <c r="G412" s="210">
        <f t="shared" si="240"/>
        <v>57</v>
      </c>
    </row>
    <row r="413" spans="1:7">
      <c r="A413" s="2" t="s">
        <v>76</v>
      </c>
      <c r="B413" s="1">
        <v>21</v>
      </c>
      <c r="C413">
        <v>147</v>
      </c>
      <c r="E413" s="208">
        <v>1200</v>
      </c>
      <c r="G413" s="210">
        <f t="shared" si="240"/>
        <v>64.142857142857139</v>
      </c>
    </row>
  </sheetData>
  <customSheetViews>
    <customSheetView guid="{0F97D042-C15F-481A-A24D-94F15C0648A1}" scale="85" hiddenRows="1">
      <pane xSplit="1" ySplit="195" topLeftCell="G205" activePane="bottomRight" state="frozenSplit"/>
      <selection pane="bottomRight" activeCell="AG228" sqref="AG228"/>
      <pageMargins left="0.7" right="0.7" top="0.75" bottom="0.75" header="0.3" footer="0.3"/>
      <pageSetup paperSize="9" orientation="portrait" r:id="rId1"/>
    </customSheetView>
    <customSheetView guid="{67AA7247-9969-44D1-A312-CE29558EF448}" scale="85">
      <pane xSplit="2" ySplit="2" topLeftCell="Q181" activePane="bottomRight" state="frozenSplit"/>
      <selection pane="bottomRight" activeCell="Z186" sqref="Z186"/>
      <pageMargins left="0.7" right="0.7" top="0.75" bottom="0.75" header="0.3" footer="0.3"/>
      <pageSetup paperSize="9" orientation="portrait" r:id="rId2"/>
    </customSheetView>
    <customSheetView guid="{DF7FFCE6-325C-4337-ACE2-63AB5F5E5D7C}" scale="85">
      <pane xSplit="1" ySplit="2" topLeftCell="G181" activePane="bottomRight" state="frozenSplit"/>
      <selection pane="bottomRight" activeCell="AC192" sqref="AC192"/>
      <pageMargins left="0.7" right="0.7" top="0.75" bottom="0.75" header="0.3" footer="0.3"/>
      <pageSetup paperSize="9" orientation="portrait" r:id="rId3"/>
    </customSheetView>
    <customSheetView guid="{0F0ED987-057D-4D51-B464-C7C0C85EB14F}" scale="85">
      <pane xSplit="2" ySplit="2" topLeftCell="S249" activePane="bottomRight" state="frozenSplit"/>
      <selection pane="bottomRight" activeCell="AG266" sqref="AG266"/>
      <pageMargins left="0.7" right="0.7" top="0.75" bottom="0.75" header="0.3" footer="0.3"/>
      <pageSetup paperSize="9" orientation="portrait" r:id="rId4"/>
    </customSheetView>
    <customSheetView guid="{D886DC16-62E0-4EAA-A787-2FA2A24DFCFE}" scale="85" hiddenRows="1">
      <pane xSplit="1.2469135802469136" ySplit="283" topLeftCell="B291" activePane="bottomRight" state="frozenSplit"/>
      <selection pane="bottomRight" activeCell="AG315" sqref="AG315"/>
      <pageMargins left="0.7" right="0.7" top="0.75" bottom="0.75" header="0.3" footer="0.3"/>
      <pageSetup paperSize="9" orientation="portrait" r:id="rId5"/>
    </customSheetView>
    <customSheetView guid="{811078A9-B23B-425F-A62A-22C4D8EF8733}" scale="70" hiddenRows="1">
      <pane xSplit="2" ySplit="13" topLeftCell="C392" activePane="bottomRight" state="frozenSplit"/>
      <selection pane="bottomRight" activeCell="Z324" sqref="Z324:Z400"/>
      <pageMargins left="0.7" right="0.7" top="0.75" bottom="0.75" header="0.3" footer="0.3"/>
      <pageSetup paperSize="9" orientation="portrait" r:id="rId6"/>
    </customSheetView>
    <customSheetView guid="{7F9E5EBC-BEB4-4E3F-8F40-CA3D4F534F5B}" scale="85" hiddenRows="1">
      <pane xSplit="2" ySplit="315" topLeftCell="C317" activePane="bottomRight" state="frozenSplit"/>
      <selection pane="bottomRight" activeCell="L331" sqref="L331"/>
      <pageMargins left="0.7" right="0.7" top="0.75" bottom="0.75" header="0.3" footer="0.3"/>
      <pageSetup paperSize="9" orientation="portrait" r:id="rId7"/>
    </customSheetView>
  </customSheetViews>
  <mergeCells count="2">
    <mergeCell ref="O2:P2"/>
    <mergeCell ref="AA2:AB2"/>
  </mergeCells>
  <phoneticPr fontId="1"/>
  <pageMargins left="0.7" right="0.7" top="0.75" bottom="0.75" header="0.3" footer="0.3"/>
  <pageSetup paperSize="9" orientation="portrait" r:id="rId8"/>
  <drawing r:id="rId9"/>
  <legacy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0CA6D-1E3E-43A8-9A01-20F682973F22}">
  <sheetPr codeName="Sheet136"/>
  <dimension ref="A1:AB914"/>
  <sheetViews>
    <sheetView zoomScale="85" zoomScaleNormal="85" workbookViewId="0">
      <selection activeCell="H827" sqref="H827"/>
    </sheetView>
  </sheetViews>
  <sheetFormatPr defaultColWidth="9" defaultRowHeight="18.75" outlineLevelRow="1"/>
  <cols>
    <col min="1" max="1" width="11.875" style="2" customWidth="1"/>
    <col min="2" max="2" width="3.375" style="1" bestFit="1" customWidth="1"/>
    <col min="3" max="5" width="9" style="1"/>
    <col min="6" max="6" width="2.375" style="1" customWidth="1"/>
    <col min="7" max="7" width="10.25" customWidth="1"/>
    <col min="8" max="8" width="13.125" customWidth="1"/>
    <col min="9" max="10" width="4.875" customWidth="1"/>
    <col min="11" max="11" width="10.25" customWidth="1"/>
    <col min="12" max="13" width="10.5" customWidth="1"/>
    <col min="14" max="14" width="2.375" customWidth="1"/>
    <col min="15" max="15" width="7.375" style="1" customWidth="1"/>
    <col min="16" max="16" width="2.125" style="1" customWidth="1"/>
    <col min="17" max="20" width="9" style="1"/>
    <col min="21" max="21" width="9.375" style="1" bestFit="1" customWidth="1"/>
    <col min="22" max="16384" width="9" style="1"/>
  </cols>
  <sheetData>
    <row r="1" spans="1:19" ht="26.25" thickBot="1">
      <c r="A1" s="3" t="s">
        <v>6</v>
      </c>
      <c r="E1" s="1">
        <v>3304</v>
      </c>
      <c r="G1" s="217" t="s">
        <v>59</v>
      </c>
      <c r="Q1" s="1" t="s">
        <v>57</v>
      </c>
    </row>
    <row r="2" spans="1:19" ht="55.5" customHeight="1" thickTop="1">
      <c r="A2" s="13" t="s">
        <v>61</v>
      </c>
      <c r="B2" s="4"/>
      <c r="C2" s="67" t="s">
        <v>0</v>
      </c>
      <c r="D2" s="73" t="s">
        <v>1</v>
      </c>
      <c r="E2" s="70" t="s">
        <v>2</v>
      </c>
      <c r="F2" s="30"/>
      <c r="G2" s="36" t="s">
        <v>11</v>
      </c>
      <c r="H2" s="37" t="s">
        <v>13</v>
      </c>
      <c r="I2" s="321" t="s">
        <v>10</v>
      </c>
      <c r="J2" s="322"/>
      <c r="K2" s="38" t="s">
        <v>12</v>
      </c>
      <c r="L2" s="38" t="s">
        <v>9</v>
      </c>
      <c r="M2" s="38" t="s">
        <v>21</v>
      </c>
      <c r="O2" s="39" t="s">
        <v>8</v>
      </c>
    </row>
    <row r="3" spans="1:19" hidden="1" outlineLevel="1">
      <c r="A3" s="16">
        <v>45099</v>
      </c>
      <c r="B3" s="40" t="s">
        <v>14</v>
      </c>
      <c r="C3" s="94">
        <v>56</v>
      </c>
      <c r="D3" s="74">
        <v>64</v>
      </c>
      <c r="E3" s="71">
        <f>D3-C3</f>
        <v>8</v>
      </c>
      <c r="F3" s="2"/>
      <c r="G3" s="78">
        <v>72</v>
      </c>
      <c r="H3" s="65"/>
      <c r="I3" s="20"/>
      <c r="J3" s="21"/>
      <c r="K3" s="61">
        <v>80</v>
      </c>
      <c r="L3" s="23">
        <v>-80</v>
      </c>
      <c r="M3" s="23">
        <f>L3</f>
        <v>-80</v>
      </c>
      <c r="O3" s="23">
        <v>7</v>
      </c>
    </row>
    <row r="4" spans="1:19" hidden="1" outlineLevel="1">
      <c r="A4" s="16">
        <v>45100</v>
      </c>
      <c r="B4" s="40" t="s">
        <v>15</v>
      </c>
      <c r="C4" s="94">
        <v>56</v>
      </c>
      <c r="D4" s="74">
        <v>56</v>
      </c>
      <c r="E4" s="71">
        <f t="shared" ref="E4:E24" si="0">D4-C4+E3</f>
        <v>8</v>
      </c>
      <c r="F4" s="2"/>
      <c r="G4" s="78">
        <v>48</v>
      </c>
      <c r="H4" s="65">
        <v>48</v>
      </c>
      <c r="I4" s="20"/>
      <c r="J4" s="21"/>
      <c r="K4" s="61">
        <v>48</v>
      </c>
      <c r="L4" s="23">
        <f t="shared" ref="L4:L35" si="1">L3-G4+K4</f>
        <v>-80</v>
      </c>
      <c r="M4" s="23">
        <f t="shared" ref="M4:M35" si="2">M3-G4+H4</f>
        <v>-80</v>
      </c>
      <c r="O4" s="23">
        <v>8</v>
      </c>
    </row>
    <row r="5" spans="1:19" s="12" customFormat="1" hidden="1" outlineLevel="1">
      <c r="A5" s="24">
        <v>45101</v>
      </c>
      <c r="B5" s="41" t="s">
        <v>16</v>
      </c>
      <c r="C5" s="80">
        <v>0</v>
      </c>
      <c r="D5" s="75"/>
      <c r="E5" s="72">
        <f t="shared" si="0"/>
        <v>8</v>
      </c>
      <c r="F5" s="10"/>
      <c r="G5" s="79">
        <v>0</v>
      </c>
      <c r="H5" s="66"/>
      <c r="I5" s="27"/>
      <c r="J5" s="28"/>
      <c r="K5" s="61"/>
      <c r="L5" s="29">
        <f t="shared" si="1"/>
        <v>-80</v>
      </c>
      <c r="M5" s="29">
        <f t="shared" si="2"/>
        <v>-80</v>
      </c>
      <c r="N5" s="11"/>
      <c r="O5" s="29"/>
    </row>
    <row r="6" spans="1:19" s="12" customFormat="1" hidden="1" outlineLevel="1">
      <c r="A6" s="24">
        <v>45102</v>
      </c>
      <c r="B6" s="41" t="s">
        <v>17</v>
      </c>
      <c r="C6" s="80">
        <v>0</v>
      </c>
      <c r="D6" s="75"/>
      <c r="E6" s="72">
        <f t="shared" si="0"/>
        <v>8</v>
      </c>
      <c r="F6" s="10"/>
      <c r="G6" s="79">
        <v>0</v>
      </c>
      <c r="H6" s="66"/>
      <c r="I6" s="27"/>
      <c r="J6" s="28"/>
      <c r="K6" s="61"/>
      <c r="L6" s="29">
        <f t="shared" si="1"/>
        <v>-80</v>
      </c>
      <c r="M6" s="29">
        <f t="shared" si="2"/>
        <v>-80</v>
      </c>
      <c r="N6" s="11"/>
      <c r="O6" s="29"/>
    </row>
    <row r="7" spans="1:19" hidden="1" outlineLevel="1">
      <c r="A7" s="16">
        <v>45103</v>
      </c>
      <c r="B7" s="40" t="s">
        <v>18</v>
      </c>
      <c r="C7" s="94">
        <v>56</v>
      </c>
      <c r="D7" s="74">
        <v>56</v>
      </c>
      <c r="E7" s="71">
        <f t="shared" si="0"/>
        <v>8</v>
      </c>
      <c r="F7" s="2"/>
      <c r="G7" s="78">
        <v>64</v>
      </c>
      <c r="H7" s="62">
        <v>64</v>
      </c>
      <c r="I7" s="20"/>
      <c r="J7" s="21"/>
      <c r="K7" s="61">
        <v>64</v>
      </c>
      <c r="L7" s="23">
        <f t="shared" si="1"/>
        <v>-80</v>
      </c>
      <c r="M7" s="23">
        <f t="shared" si="2"/>
        <v>-80</v>
      </c>
      <c r="O7" s="23">
        <v>6</v>
      </c>
    </row>
    <row r="8" spans="1:19" hidden="1" outlineLevel="1">
      <c r="A8" s="16">
        <v>45104</v>
      </c>
      <c r="B8" s="40" t="s">
        <v>19</v>
      </c>
      <c r="C8" s="94">
        <v>56</v>
      </c>
      <c r="D8" s="74">
        <v>64</v>
      </c>
      <c r="E8" s="71">
        <f t="shared" si="0"/>
        <v>16</v>
      </c>
      <c r="F8" s="2"/>
      <c r="G8" s="78">
        <v>48</v>
      </c>
      <c r="H8" s="62">
        <f>C4+I8</f>
        <v>56</v>
      </c>
      <c r="I8" s="20"/>
      <c r="J8" s="21"/>
      <c r="K8" s="61">
        <v>56</v>
      </c>
      <c r="L8" s="23">
        <f t="shared" si="1"/>
        <v>-72</v>
      </c>
      <c r="M8" s="23">
        <f t="shared" si="2"/>
        <v>-72</v>
      </c>
      <c r="O8" s="23">
        <v>6</v>
      </c>
      <c r="S8" s="85">
        <f>IF(K8="","",SUM($D$3:D6)-SUM($K$5:K8))</f>
        <v>0</v>
      </c>
    </row>
    <row r="9" spans="1:19" hidden="1" outlineLevel="1">
      <c r="A9" s="16">
        <v>45105</v>
      </c>
      <c r="B9" s="40" t="s">
        <v>20</v>
      </c>
      <c r="C9" s="94">
        <v>56</v>
      </c>
      <c r="D9" s="74">
        <v>64</v>
      </c>
      <c r="E9" s="71">
        <f t="shared" si="0"/>
        <v>24</v>
      </c>
      <c r="F9" s="2"/>
      <c r="G9" s="78">
        <v>40</v>
      </c>
      <c r="H9" s="62">
        <f>C7+I9</f>
        <v>56</v>
      </c>
      <c r="I9" s="20"/>
      <c r="J9" s="21"/>
      <c r="K9" s="61">
        <v>56</v>
      </c>
      <c r="L9" s="23">
        <f t="shared" si="1"/>
        <v>-56</v>
      </c>
      <c r="M9" s="23">
        <f t="shared" si="2"/>
        <v>-56</v>
      </c>
      <c r="O9" s="23">
        <v>5</v>
      </c>
      <c r="S9" s="85">
        <f>IF(K9="","",SUM($D$3:D7)-SUM($K$5:K9))</f>
        <v>0</v>
      </c>
    </row>
    <row r="10" spans="1:19" hidden="1" outlineLevel="1">
      <c r="A10" s="16">
        <v>45106</v>
      </c>
      <c r="B10" s="40" t="s">
        <v>14</v>
      </c>
      <c r="C10" s="94">
        <v>56</v>
      </c>
      <c r="D10" s="74">
        <v>32</v>
      </c>
      <c r="E10" s="71">
        <f t="shared" si="0"/>
        <v>0</v>
      </c>
      <c r="F10" s="2"/>
      <c r="G10" s="78">
        <v>48</v>
      </c>
      <c r="H10" s="62">
        <v>64</v>
      </c>
      <c r="I10" s="20"/>
      <c r="J10" s="21"/>
      <c r="K10" s="61">
        <v>64</v>
      </c>
      <c r="L10" s="23">
        <f t="shared" si="1"/>
        <v>-40</v>
      </c>
      <c r="M10" s="23">
        <f t="shared" si="2"/>
        <v>-40</v>
      </c>
      <c r="O10" s="23">
        <v>10</v>
      </c>
      <c r="S10" s="85">
        <f>IF(K10="","",SUM($D$3:D8)-SUM($K$5:K10))</f>
        <v>0</v>
      </c>
    </row>
    <row r="11" spans="1:19" hidden="1" outlineLevel="1">
      <c r="A11" s="16">
        <v>45107</v>
      </c>
      <c r="B11" s="40" t="s">
        <v>15</v>
      </c>
      <c r="C11" s="94">
        <v>56</v>
      </c>
      <c r="D11" s="74">
        <v>64</v>
      </c>
      <c r="E11" s="71">
        <f t="shared" si="0"/>
        <v>8</v>
      </c>
      <c r="F11" s="2"/>
      <c r="G11" s="78">
        <v>64</v>
      </c>
      <c r="H11" s="62">
        <v>64</v>
      </c>
      <c r="I11" s="20"/>
      <c r="J11" s="21"/>
      <c r="K11" s="61">
        <v>64</v>
      </c>
      <c r="L11" s="23">
        <f t="shared" si="1"/>
        <v>-40</v>
      </c>
      <c r="M11" s="23">
        <f t="shared" si="2"/>
        <v>-40</v>
      </c>
      <c r="O11" s="23">
        <v>8</v>
      </c>
      <c r="Q11" s="1">
        <f>SUM(G7:G11)/5</f>
        <v>52.8</v>
      </c>
      <c r="S11" s="85">
        <f>IF(K11="","",SUM($D$3:D9)-SUM($K$5:K11))</f>
        <v>0</v>
      </c>
    </row>
    <row r="12" spans="1:19" s="12" customFormat="1" hidden="1" outlineLevel="1">
      <c r="A12" s="24">
        <v>45108</v>
      </c>
      <c r="B12" s="41" t="s">
        <v>16</v>
      </c>
      <c r="C12" s="80">
        <v>0</v>
      </c>
      <c r="D12" s="75"/>
      <c r="E12" s="72">
        <f t="shared" si="0"/>
        <v>8</v>
      </c>
      <c r="F12" s="10"/>
      <c r="G12" s="79">
        <v>0</v>
      </c>
      <c r="H12" s="63"/>
      <c r="I12" s="27"/>
      <c r="J12" s="28"/>
      <c r="K12" s="61"/>
      <c r="L12" s="29">
        <f t="shared" si="1"/>
        <v>-40</v>
      </c>
      <c r="M12" s="29">
        <f t="shared" si="2"/>
        <v>-40</v>
      </c>
      <c r="N12" s="11"/>
      <c r="O12" s="29"/>
      <c r="S12" s="86" t="str">
        <f>IF(K12="","",SUM($D$3:D10)-SUM($K$5:K12))</f>
        <v/>
      </c>
    </row>
    <row r="13" spans="1:19" s="12" customFormat="1" hidden="1" outlineLevel="1">
      <c r="A13" s="24">
        <v>45109</v>
      </c>
      <c r="B13" s="41" t="s">
        <v>17</v>
      </c>
      <c r="C13" s="80">
        <v>0</v>
      </c>
      <c r="D13" s="75"/>
      <c r="E13" s="72">
        <f t="shared" si="0"/>
        <v>8</v>
      </c>
      <c r="F13" s="10"/>
      <c r="G13" s="79">
        <v>0</v>
      </c>
      <c r="H13" s="63"/>
      <c r="I13" s="27"/>
      <c r="J13" s="28"/>
      <c r="K13" s="61"/>
      <c r="L13" s="29">
        <f t="shared" si="1"/>
        <v>-40</v>
      </c>
      <c r="M13" s="29">
        <f t="shared" si="2"/>
        <v>-40</v>
      </c>
      <c r="N13" s="11"/>
      <c r="O13" s="29"/>
      <c r="S13" s="86" t="str">
        <f>IF(K13="","",SUM($D$3:D11)-SUM($K$5:K13))</f>
        <v/>
      </c>
    </row>
    <row r="14" spans="1:19" s="12" customFormat="1" hidden="1" outlineLevel="1">
      <c r="A14" s="24">
        <v>45110</v>
      </c>
      <c r="B14" s="41" t="s">
        <v>18</v>
      </c>
      <c r="C14" s="80">
        <v>56</v>
      </c>
      <c r="D14" s="76">
        <v>72</v>
      </c>
      <c r="E14" s="72">
        <f t="shared" si="0"/>
        <v>24</v>
      </c>
      <c r="F14" s="10"/>
      <c r="G14" s="79">
        <v>0</v>
      </c>
      <c r="H14" s="63">
        <v>40</v>
      </c>
      <c r="I14" s="27"/>
      <c r="J14" s="28"/>
      <c r="K14" s="61">
        <v>40</v>
      </c>
      <c r="L14" s="29">
        <f t="shared" si="1"/>
        <v>0</v>
      </c>
      <c r="M14" s="29">
        <f t="shared" si="2"/>
        <v>0</v>
      </c>
      <c r="N14" s="11"/>
      <c r="O14" s="29">
        <v>4</v>
      </c>
      <c r="S14" s="86">
        <f>IF(K14="","",SUM($D$3:D12)-SUM($K$5:K14))</f>
        <v>56</v>
      </c>
    </row>
    <row r="15" spans="1:19" hidden="1" outlineLevel="1">
      <c r="A15" s="16">
        <v>45111</v>
      </c>
      <c r="B15" s="40" t="s">
        <v>19</v>
      </c>
      <c r="C15" s="94">
        <v>56</v>
      </c>
      <c r="D15" s="74">
        <v>72</v>
      </c>
      <c r="E15" s="71">
        <f t="shared" si="0"/>
        <v>40</v>
      </c>
      <c r="F15" s="2"/>
      <c r="G15" s="78">
        <v>48</v>
      </c>
      <c r="H15" s="62">
        <v>48</v>
      </c>
      <c r="I15" s="20"/>
      <c r="J15" s="21"/>
      <c r="K15" s="61">
        <v>48</v>
      </c>
      <c r="L15" s="23">
        <f t="shared" si="1"/>
        <v>0</v>
      </c>
      <c r="M15" s="23">
        <f t="shared" si="2"/>
        <v>0</v>
      </c>
      <c r="O15" s="23">
        <v>2</v>
      </c>
      <c r="S15" s="85">
        <f>IF(K15="","",SUM($D$3:D13)-SUM($K$5:K15))</f>
        <v>8</v>
      </c>
    </row>
    <row r="16" spans="1:19" hidden="1" outlineLevel="1">
      <c r="A16" s="16">
        <v>45112</v>
      </c>
      <c r="B16" s="40" t="s">
        <v>20</v>
      </c>
      <c r="C16" s="94">
        <v>56</v>
      </c>
      <c r="D16" s="74">
        <v>61</v>
      </c>
      <c r="E16" s="71">
        <f t="shared" si="0"/>
        <v>45</v>
      </c>
      <c r="F16" s="2"/>
      <c r="G16" s="78">
        <v>40</v>
      </c>
      <c r="H16" s="62">
        <v>80</v>
      </c>
      <c r="I16" s="20"/>
      <c r="J16" s="21"/>
      <c r="K16" s="61">
        <v>80</v>
      </c>
      <c r="L16" s="23">
        <f t="shared" si="1"/>
        <v>40</v>
      </c>
      <c r="M16" s="23">
        <f t="shared" si="2"/>
        <v>40</v>
      </c>
      <c r="O16" s="23">
        <v>7</v>
      </c>
      <c r="P16" s="1">
        <v>16</v>
      </c>
      <c r="Q16" s="1" t="s">
        <v>22</v>
      </c>
      <c r="S16" s="85">
        <f>IF(K16="","",SUM($D$3:D14)-SUM($K$5:K16))</f>
        <v>0</v>
      </c>
    </row>
    <row r="17" spans="1:19" hidden="1" outlineLevel="1">
      <c r="A17" s="16">
        <v>45113</v>
      </c>
      <c r="B17" s="40" t="s">
        <v>14</v>
      </c>
      <c r="C17" s="94">
        <v>56</v>
      </c>
      <c r="D17" s="74">
        <v>24</v>
      </c>
      <c r="E17" s="71">
        <f t="shared" si="0"/>
        <v>13</v>
      </c>
      <c r="F17" s="2"/>
      <c r="G17" s="78">
        <v>40</v>
      </c>
      <c r="H17" s="62">
        <f>C15+I17</f>
        <v>56</v>
      </c>
      <c r="I17" s="20"/>
      <c r="J17" s="21"/>
      <c r="K17" s="61">
        <v>56</v>
      </c>
      <c r="L17" s="23">
        <f t="shared" si="1"/>
        <v>56</v>
      </c>
      <c r="M17" s="23">
        <f t="shared" si="2"/>
        <v>56</v>
      </c>
      <c r="O17" s="23">
        <v>7</v>
      </c>
      <c r="S17" s="85">
        <f>IF(K17="","",SUM($D$3:D15)-SUM($K$5:K17))</f>
        <v>16</v>
      </c>
    </row>
    <row r="18" spans="1:19" hidden="1" outlineLevel="1">
      <c r="A18" s="16">
        <v>45114</v>
      </c>
      <c r="B18" s="40" t="s">
        <v>15</v>
      </c>
      <c r="C18" s="94">
        <v>56</v>
      </c>
      <c r="D18" s="74">
        <v>56</v>
      </c>
      <c r="E18" s="71">
        <f t="shared" si="0"/>
        <v>13</v>
      </c>
      <c r="F18" s="2"/>
      <c r="G18" s="78">
        <v>48</v>
      </c>
      <c r="H18" s="62">
        <v>61</v>
      </c>
      <c r="I18" s="20"/>
      <c r="J18" s="21"/>
      <c r="K18" s="61">
        <v>61</v>
      </c>
      <c r="L18" s="23">
        <f t="shared" si="1"/>
        <v>69</v>
      </c>
      <c r="M18" s="23">
        <f t="shared" si="2"/>
        <v>69</v>
      </c>
      <c r="O18" s="23">
        <v>7</v>
      </c>
      <c r="Q18" s="1">
        <f>SUM(G15:G18)/4</f>
        <v>44</v>
      </c>
      <c r="S18" s="85">
        <f>IF(K18="","",SUM($D$3:D16)-SUM($K$5:K18))</f>
        <v>16</v>
      </c>
    </row>
    <row r="19" spans="1:19" s="12" customFormat="1" hidden="1" outlineLevel="1">
      <c r="A19" s="24">
        <v>45115</v>
      </c>
      <c r="B19" s="41" t="s">
        <v>16</v>
      </c>
      <c r="C19" s="80">
        <v>0</v>
      </c>
      <c r="D19" s="75"/>
      <c r="E19" s="72">
        <f t="shared" si="0"/>
        <v>13</v>
      </c>
      <c r="F19" s="10"/>
      <c r="G19" s="79">
        <v>0</v>
      </c>
      <c r="H19" s="63"/>
      <c r="I19" s="27"/>
      <c r="J19" s="28"/>
      <c r="K19" s="60"/>
      <c r="L19" s="29">
        <f t="shared" si="1"/>
        <v>69</v>
      </c>
      <c r="M19" s="29">
        <f t="shared" si="2"/>
        <v>69</v>
      </c>
      <c r="N19" s="11"/>
      <c r="O19" s="29"/>
      <c r="S19" s="86" t="str">
        <f>IF(K19="","",SUM($D$3:D17)-SUM($K$5:K19))</f>
        <v/>
      </c>
    </row>
    <row r="20" spans="1:19" s="12" customFormat="1" hidden="1" outlineLevel="1">
      <c r="A20" s="24">
        <v>45116</v>
      </c>
      <c r="B20" s="41" t="s">
        <v>17</v>
      </c>
      <c r="C20" s="80">
        <v>0</v>
      </c>
      <c r="D20" s="75"/>
      <c r="E20" s="72">
        <f t="shared" si="0"/>
        <v>13</v>
      </c>
      <c r="F20" s="10"/>
      <c r="G20" s="79">
        <v>0</v>
      </c>
      <c r="H20" s="63"/>
      <c r="I20" s="27"/>
      <c r="J20" s="28"/>
      <c r="K20" s="60"/>
      <c r="L20" s="29">
        <f t="shared" si="1"/>
        <v>69</v>
      </c>
      <c r="M20" s="29">
        <f t="shared" si="2"/>
        <v>69</v>
      </c>
      <c r="N20" s="11"/>
      <c r="O20" s="29"/>
      <c r="S20" s="86" t="str">
        <f>IF(K20="","",SUM($D$3:D18)-SUM($K$5:K20))</f>
        <v/>
      </c>
    </row>
    <row r="21" spans="1:19" hidden="1" outlineLevel="1">
      <c r="A21" s="16">
        <v>45117</v>
      </c>
      <c r="B21" s="40" t="s">
        <v>18</v>
      </c>
      <c r="C21" s="94">
        <v>56</v>
      </c>
      <c r="D21" s="74">
        <v>64</v>
      </c>
      <c r="E21" s="71">
        <f t="shared" si="0"/>
        <v>21</v>
      </c>
      <c r="F21" s="2"/>
      <c r="G21" s="78">
        <v>5</v>
      </c>
      <c r="H21" s="62">
        <v>40</v>
      </c>
      <c r="I21" s="20"/>
      <c r="J21" s="21"/>
      <c r="K21" s="61">
        <v>40</v>
      </c>
      <c r="L21" s="23">
        <f t="shared" si="1"/>
        <v>104</v>
      </c>
      <c r="M21" s="23">
        <f t="shared" si="2"/>
        <v>104</v>
      </c>
      <c r="O21" s="23">
        <v>4</v>
      </c>
      <c r="S21" s="85">
        <f>IF(K21="","",SUM($D$3:D19)-SUM($K$5:K21))</f>
        <v>56</v>
      </c>
    </row>
    <row r="22" spans="1:19" hidden="1" outlineLevel="1">
      <c r="A22" s="16">
        <v>45118</v>
      </c>
      <c r="B22" s="40" t="s">
        <v>19</v>
      </c>
      <c r="C22" s="94">
        <v>56</v>
      </c>
      <c r="D22" s="74">
        <v>56</v>
      </c>
      <c r="E22" s="71">
        <f t="shared" si="0"/>
        <v>21</v>
      </c>
      <c r="F22" s="2"/>
      <c r="G22" s="78">
        <v>16</v>
      </c>
      <c r="H22" s="62">
        <f>C18+I22</f>
        <v>56</v>
      </c>
      <c r="I22" s="20"/>
      <c r="J22" s="21"/>
      <c r="K22" s="61">
        <v>56</v>
      </c>
      <c r="L22" s="23">
        <f t="shared" si="1"/>
        <v>144</v>
      </c>
      <c r="M22" s="23">
        <f t="shared" si="2"/>
        <v>144</v>
      </c>
      <c r="O22" s="23">
        <v>0</v>
      </c>
      <c r="S22" s="85">
        <f>IF(K22="","",SUM($D$3:D20)-SUM($K$5:K22))</f>
        <v>0</v>
      </c>
    </row>
    <row r="23" spans="1:19" hidden="1" outlineLevel="1">
      <c r="A23" s="16">
        <v>45119</v>
      </c>
      <c r="B23" s="40" t="s">
        <v>20</v>
      </c>
      <c r="C23" s="94">
        <v>56</v>
      </c>
      <c r="D23" s="74">
        <v>60</v>
      </c>
      <c r="E23" s="71">
        <f t="shared" si="0"/>
        <v>25</v>
      </c>
      <c r="F23" s="2"/>
      <c r="G23" s="78">
        <v>16</v>
      </c>
      <c r="H23" s="62">
        <f>C21+I23</f>
        <v>56</v>
      </c>
      <c r="I23" s="20"/>
      <c r="J23" s="21"/>
      <c r="K23" s="61">
        <v>56</v>
      </c>
      <c r="L23" s="23">
        <f t="shared" si="1"/>
        <v>184</v>
      </c>
      <c r="M23" s="23">
        <f t="shared" si="2"/>
        <v>184</v>
      </c>
      <c r="O23" s="23">
        <v>9</v>
      </c>
      <c r="S23" s="85">
        <f>IF(K23="","",SUM($D$3:D21)-SUM($K$5:K23))</f>
        <v>8</v>
      </c>
    </row>
    <row r="24" spans="1:19" hidden="1" outlineLevel="1">
      <c r="A24" s="16">
        <v>45120</v>
      </c>
      <c r="B24" s="40" t="s">
        <v>14</v>
      </c>
      <c r="C24" s="94">
        <v>56</v>
      </c>
      <c r="D24" s="74">
        <v>40</v>
      </c>
      <c r="E24" s="71">
        <f t="shared" si="0"/>
        <v>9</v>
      </c>
      <c r="F24" s="2"/>
      <c r="G24" s="78">
        <f>40+40+152</f>
        <v>232</v>
      </c>
      <c r="H24" s="62">
        <f t="shared" ref="H24:H25" si="3">C22+I24</f>
        <v>56</v>
      </c>
      <c r="I24" s="20"/>
      <c r="J24" s="21"/>
      <c r="K24" s="61">
        <v>56</v>
      </c>
      <c r="L24" s="23">
        <f t="shared" si="1"/>
        <v>8</v>
      </c>
      <c r="M24" s="23">
        <f t="shared" si="2"/>
        <v>8</v>
      </c>
      <c r="O24" s="23">
        <v>3</v>
      </c>
      <c r="S24" s="85">
        <f>IF(K24="","",SUM($D$3:D22)-SUM($K$5:K24))</f>
        <v>8</v>
      </c>
    </row>
    <row r="25" spans="1:19" hidden="1" outlineLevel="1">
      <c r="A25" s="16">
        <v>45121</v>
      </c>
      <c r="B25" s="40" t="s">
        <v>15</v>
      </c>
      <c r="C25" s="94">
        <v>56</v>
      </c>
      <c r="D25" s="74">
        <v>68</v>
      </c>
      <c r="E25" s="71">
        <f>D25-C25+E24-5</f>
        <v>16</v>
      </c>
      <c r="F25" s="2"/>
      <c r="G25" s="78">
        <f>8+40</f>
        <v>48</v>
      </c>
      <c r="H25" s="62">
        <f t="shared" si="3"/>
        <v>56</v>
      </c>
      <c r="I25" s="20"/>
      <c r="J25" s="21"/>
      <c r="K25" s="61">
        <v>56</v>
      </c>
      <c r="L25" s="23">
        <f t="shared" si="1"/>
        <v>16</v>
      </c>
      <c r="M25" s="23">
        <f t="shared" si="2"/>
        <v>16</v>
      </c>
      <c r="O25" s="23">
        <v>8</v>
      </c>
      <c r="Q25" s="1">
        <f>SUM(G21:G25)/5</f>
        <v>63.4</v>
      </c>
      <c r="S25" s="85">
        <f>IF(K25="","",SUM($D$3:D23)-SUM($K$5:K25))</f>
        <v>12</v>
      </c>
    </row>
    <row r="26" spans="1:19" s="12" customFormat="1" hidden="1" outlineLevel="1">
      <c r="A26" s="24">
        <v>45122</v>
      </c>
      <c r="B26" s="41" t="s">
        <v>16</v>
      </c>
      <c r="C26" s="80">
        <v>0</v>
      </c>
      <c r="D26" s="75"/>
      <c r="E26" s="72">
        <f t="shared" ref="E26:E57" si="4">D26-C26+E25</f>
        <v>16</v>
      </c>
      <c r="F26" s="10"/>
      <c r="G26" s="79">
        <v>0</v>
      </c>
      <c r="H26" s="63"/>
      <c r="I26" s="27"/>
      <c r="J26" s="28"/>
      <c r="K26" s="60"/>
      <c r="L26" s="29">
        <f t="shared" si="1"/>
        <v>16</v>
      </c>
      <c r="M26" s="29">
        <f t="shared" si="2"/>
        <v>16</v>
      </c>
      <c r="N26" s="11"/>
      <c r="O26" s="29"/>
      <c r="S26" s="86" t="str">
        <f>IF(K26="","",SUM($D$3:D24)-SUM($K$5:K26))</f>
        <v/>
      </c>
    </row>
    <row r="27" spans="1:19" s="12" customFormat="1" hidden="1" outlineLevel="1">
      <c r="A27" s="24">
        <v>45123</v>
      </c>
      <c r="B27" s="41" t="s">
        <v>17</v>
      </c>
      <c r="C27" s="80">
        <v>0</v>
      </c>
      <c r="D27" s="75"/>
      <c r="E27" s="72">
        <f t="shared" si="4"/>
        <v>16</v>
      </c>
      <c r="F27" s="10"/>
      <c r="G27" s="79">
        <v>0</v>
      </c>
      <c r="H27" s="63"/>
      <c r="I27" s="27"/>
      <c r="J27" s="28"/>
      <c r="K27" s="60"/>
      <c r="L27" s="29">
        <f t="shared" si="1"/>
        <v>16</v>
      </c>
      <c r="M27" s="29">
        <f t="shared" si="2"/>
        <v>16</v>
      </c>
      <c r="N27" s="11"/>
      <c r="O27" s="29"/>
      <c r="S27" s="86" t="str">
        <f>IF(K27="","",SUM($D$3:D25)-SUM($K$5:K27))</f>
        <v/>
      </c>
    </row>
    <row r="28" spans="1:19" s="12" customFormat="1" hidden="1" outlineLevel="1">
      <c r="A28" s="24">
        <v>45124</v>
      </c>
      <c r="B28" s="41" t="s">
        <v>18</v>
      </c>
      <c r="C28" s="80">
        <v>0</v>
      </c>
      <c r="D28" s="75"/>
      <c r="E28" s="72">
        <f t="shared" si="4"/>
        <v>16</v>
      </c>
      <c r="F28" s="10"/>
      <c r="G28" s="79">
        <v>0</v>
      </c>
      <c r="H28" s="63">
        <f>C24+I28</f>
        <v>56</v>
      </c>
      <c r="I28" s="27"/>
      <c r="J28" s="28"/>
      <c r="K28" s="61">
        <v>56</v>
      </c>
      <c r="L28" s="29">
        <f t="shared" si="1"/>
        <v>72</v>
      </c>
      <c r="M28" s="29">
        <f t="shared" si="2"/>
        <v>72</v>
      </c>
      <c r="N28" s="11"/>
      <c r="O28" s="26">
        <v>0</v>
      </c>
      <c r="S28" s="86">
        <f>IF(K28="","",SUM($D$3:D26)-SUM($K$5:K28))</f>
        <v>64</v>
      </c>
    </row>
    <row r="29" spans="1:19" hidden="1" outlineLevel="1">
      <c r="A29" s="16">
        <v>45125</v>
      </c>
      <c r="B29" s="40" t="s">
        <v>19</v>
      </c>
      <c r="C29" s="94">
        <v>56</v>
      </c>
      <c r="D29" s="74">
        <v>40</v>
      </c>
      <c r="E29" s="71">
        <f t="shared" si="4"/>
        <v>0</v>
      </c>
      <c r="F29" s="2"/>
      <c r="G29" s="78">
        <v>56</v>
      </c>
      <c r="H29" s="62">
        <f>C25+I29</f>
        <v>56</v>
      </c>
      <c r="I29" s="20"/>
      <c r="J29" s="21"/>
      <c r="K29" s="61">
        <v>56</v>
      </c>
      <c r="L29" s="23">
        <f t="shared" si="1"/>
        <v>72</v>
      </c>
      <c r="M29" s="23">
        <f t="shared" si="2"/>
        <v>72</v>
      </c>
      <c r="O29" s="23">
        <v>6</v>
      </c>
      <c r="S29" s="85">
        <f>IF(K29="","",SUM($D$3:D27)-SUM($K$5:K29))</f>
        <v>8</v>
      </c>
    </row>
    <row r="30" spans="1:19" hidden="1" outlineLevel="1">
      <c r="A30" s="16">
        <v>45126</v>
      </c>
      <c r="B30" s="40" t="s">
        <v>20</v>
      </c>
      <c r="C30" s="94">
        <v>56</v>
      </c>
      <c r="D30" s="74">
        <v>56</v>
      </c>
      <c r="E30" s="71">
        <f t="shared" si="4"/>
        <v>0</v>
      </c>
      <c r="F30" s="2"/>
      <c r="G30" s="78">
        <v>72</v>
      </c>
      <c r="H30" s="62">
        <f>C28+I30</f>
        <v>0</v>
      </c>
      <c r="I30" s="20"/>
      <c r="J30" s="21"/>
      <c r="K30" s="61">
        <v>0</v>
      </c>
      <c r="L30" s="23">
        <f t="shared" si="1"/>
        <v>0</v>
      </c>
      <c r="M30" s="23">
        <f t="shared" si="2"/>
        <v>0</v>
      </c>
      <c r="O30" s="23">
        <v>5</v>
      </c>
      <c r="P30" s="88" t="s">
        <v>23</v>
      </c>
      <c r="R30" s="84"/>
      <c r="S30" s="85">
        <f>IF(K30="","",SUM($D$3:D28)-SUM($K$5:K30))</f>
        <v>8</v>
      </c>
    </row>
    <row r="31" spans="1:19" hidden="1" outlineLevel="1">
      <c r="A31" s="16">
        <v>45127</v>
      </c>
      <c r="B31" s="40" t="s">
        <v>14</v>
      </c>
      <c r="C31" s="94">
        <v>56</v>
      </c>
      <c r="D31" s="74">
        <v>56</v>
      </c>
      <c r="E31" s="71">
        <f t="shared" si="4"/>
        <v>0</v>
      </c>
      <c r="F31" s="2"/>
      <c r="G31" s="78">
        <v>32</v>
      </c>
      <c r="H31" s="62">
        <v>48</v>
      </c>
      <c r="I31" s="20"/>
      <c r="J31" s="21"/>
      <c r="K31" s="61">
        <v>48</v>
      </c>
      <c r="L31" s="23">
        <f t="shared" si="1"/>
        <v>16</v>
      </c>
      <c r="M31" s="23">
        <f t="shared" si="2"/>
        <v>16</v>
      </c>
      <c r="O31" s="23">
        <v>7</v>
      </c>
      <c r="R31" s="84"/>
      <c r="S31" s="85">
        <f>IF(K31="","",SUM($D$3:D29)-SUM($K$5:K31))</f>
        <v>0</v>
      </c>
    </row>
    <row r="32" spans="1:19" hidden="1" outlineLevel="1">
      <c r="A32" s="16">
        <v>45128</v>
      </c>
      <c r="B32" s="40" t="s">
        <v>15</v>
      </c>
      <c r="C32" s="94">
        <v>56</v>
      </c>
      <c r="D32" s="74">
        <v>56</v>
      </c>
      <c r="E32" s="71">
        <f t="shared" si="4"/>
        <v>0</v>
      </c>
      <c r="F32" s="2"/>
      <c r="G32" s="78">
        <v>32</v>
      </c>
      <c r="H32" s="62">
        <f t="shared" ref="H32" si="5">C30+I32</f>
        <v>56</v>
      </c>
      <c r="I32" s="20"/>
      <c r="J32" s="21"/>
      <c r="K32" s="61">
        <v>56</v>
      </c>
      <c r="L32" s="23">
        <f t="shared" si="1"/>
        <v>40</v>
      </c>
      <c r="M32" s="23">
        <f t="shared" si="2"/>
        <v>40</v>
      </c>
      <c r="O32" s="23">
        <v>4</v>
      </c>
      <c r="Q32" s="1">
        <f>SUM(G29:G32)/4</f>
        <v>48</v>
      </c>
      <c r="S32" s="85">
        <f>IF(K32="","",SUM($D$3:D30)-SUM($K$5:K32))</f>
        <v>0</v>
      </c>
    </row>
    <row r="33" spans="1:22" s="12" customFormat="1" hidden="1" outlineLevel="1">
      <c r="A33" s="24">
        <v>45129</v>
      </c>
      <c r="B33" s="41" t="s">
        <v>16</v>
      </c>
      <c r="C33" s="69">
        <v>0</v>
      </c>
      <c r="D33" s="75"/>
      <c r="E33" s="72">
        <f t="shared" si="4"/>
        <v>0</v>
      </c>
      <c r="F33" s="10"/>
      <c r="G33" s="79">
        <v>0</v>
      </c>
      <c r="H33" s="63"/>
      <c r="I33" s="27"/>
      <c r="J33" s="28"/>
      <c r="K33" s="60"/>
      <c r="L33" s="29">
        <f t="shared" si="1"/>
        <v>40</v>
      </c>
      <c r="M33" s="29">
        <f t="shared" si="2"/>
        <v>40</v>
      </c>
      <c r="N33" s="11"/>
      <c r="O33" s="29"/>
      <c r="S33" s="86" t="str">
        <f>IF(K33="","",SUM($D$3:D31)-SUM($K$5:K33))</f>
        <v/>
      </c>
    </row>
    <row r="34" spans="1:22" s="12" customFormat="1" hidden="1" outlineLevel="1">
      <c r="A34" s="24">
        <v>45130</v>
      </c>
      <c r="B34" s="41" t="s">
        <v>17</v>
      </c>
      <c r="C34" s="69">
        <v>0</v>
      </c>
      <c r="D34" s="75"/>
      <c r="E34" s="72">
        <f t="shared" si="4"/>
        <v>0</v>
      </c>
      <c r="F34" s="10"/>
      <c r="G34" s="79">
        <v>0</v>
      </c>
      <c r="H34" s="63"/>
      <c r="I34" s="27"/>
      <c r="J34" s="28"/>
      <c r="K34" s="60"/>
      <c r="L34" s="29">
        <f t="shared" si="1"/>
        <v>40</v>
      </c>
      <c r="M34" s="29">
        <f t="shared" si="2"/>
        <v>40</v>
      </c>
      <c r="N34" s="11"/>
      <c r="O34" s="29"/>
      <c r="S34" s="86" t="str">
        <f>IF(K34="","",SUM($D$3:D32)-SUM($K$5:K34))</f>
        <v/>
      </c>
    </row>
    <row r="35" spans="1:22" hidden="1" outlineLevel="1">
      <c r="A35" s="16">
        <v>45131</v>
      </c>
      <c r="B35" s="40" t="s">
        <v>18</v>
      </c>
      <c r="C35" s="94">
        <v>48</v>
      </c>
      <c r="D35" s="74">
        <v>48</v>
      </c>
      <c r="E35" s="71">
        <f t="shared" si="4"/>
        <v>0</v>
      </c>
      <c r="F35" s="2"/>
      <c r="G35" s="78">
        <v>48</v>
      </c>
      <c r="H35" s="62">
        <f>C31+I35</f>
        <v>56</v>
      </c>
      <c r="I35" s="20"/>
      <c r="J35" s="21"/>
      <c r="K35" s="61">
        <v>56</v>
      </c>
      <c r="L35" s="23">
        <f t="shared" si="1"/>
        <v>48</v>
      </c>
      <c r="M35" s="23">
        <f t="shared" si="2"/>
        <v>48</v>
      </c>
      <c r="O35" s="23">
        <v>0</v>
      </c>
      <c r="S35" s="85">
        <f>IF(K35="","",SUM($D$3:D33)-SUM($K$5:K35))</f>
        <v>56</v>
      </c>
    </row>
    <row r="36" spans="1:22" hidden="1" outlineLevel="1">
      <c r="A36" s="16">
        <v>45132</v>
      </c>
      <c r="B36" s="40" t="s">
        <v>19</v>
      </c>
      <c r="C36" s="94">
        <v>48</v>
      </c>
      <c r="D36" s="74">
        <v>48</v>
      </c>
      <c r="E36" s="71">
        <f t="shared" si="4"/>
        <v>0</v>
      </c>
      <c r="F36" s="2"/>
      <c r="G36" s="78">
        <f>8+1</f>
        <v>9</v>
      </c>
      <c r="H36" s="62">
        <f>C32+I36</f>
        <v>56</v>
      </c>
      <c r="I36" s="20"/>
      <c r="J36" s="21"/>
      <c r="K36" s="61">
        <v>56</v>
      </c>
      <c r="L36" s="23">
        <f t="shared" ref="L36:L99" si="6">L35-G36+K36</f>
        <v>95</v>
      </c>
      <c r="M36" s="23">
        <f t="shared" ref="M36:M99" si="7">M35-G36+H36</f>
        <v>95</v>
      </c>
      <c r="O36" s="23">
        <v>7</v>
      </c>
      <c r="S36" s="85">
        <f>IF(K36="","",SUM($D$3:D34)-SUM($K$5:K36))</f>
        <v>0</v>
      </c>
    </row>
    <row r="37" spans="1:22" hidden="1" outlineLevel="1">
      <c r="A37" s="16">
        <v>45133</v>
      </c>
      <c r="B37" s="40" t="s">
        <v>20</v>
      </c>
      <c r="C37" s="94">
        <v>48</v>
      </c>
      <c r="D37" s="74">
        <v>48</v>
      </c>
      <c r="E37" s="71">
        <f t="shared" si="4"/>
        <v>0</v>
      </c>
      <c r="F37" s="2"/>
      <c r="G37" s="78">
        <v>112</v>
      </c>
      <c r="H37" s="62">
        <f>C35+I37</f>
        <v>48</v>
      </c>
      <c r="I37" s="20"/>
      <c r="J37" s="21"/>
      <c r="K37" s="61">
        <v>48</v>
      </c>
      <c r="L37" s="23">
        <f t="shared" si="6"/>
        <v>31</v>
      </c>
      <c r="M37" s="23">
        <f t="shared" si="7"/>
        <v>31</v>
      </c>
      <c r="O37" s="23">
        <v>6</v>
      </c>
      <c r="S37" s="85">
        <f>IF(K37="","",SUM($D$3:D35)-SUM($K$5:K37))</f>
        <v>0</v>
      </c>
    </row>
    <row r="38" spans="1:22" hidden="1" outlineLevel="1">
      <c r="A38" s="16">
        <v>45134</v>
      </c>
      <c r="B38" s="40" t="s">
        <v>14</v>
      </c>
      <c r="C38" s="94">
        <v>48</v>
      </c>
      <c r="D38" s="74">
        <v>48</v>
      </c>
      <c r="E38" s="71">
        <f t="shared" si="4"/>
        <v>0</v>
      </c>
      <c r="F38" s="2"/>
      <c r="G38" s="78">
        <v>88</v>
      </c>
      <c r="H38" s="62">
        <f t="shared" ref="H38:H39" si="8">C36+I38</f>
        <v>48</v>
      </c>
      <c r="I38" s="20"/>
      <c r="J38" s="21"/>
      <c r="K38" s="61">
        <v>48</v>
      </c>
      <c r="L38" s="23">
        <f t="shared" si="6"/>
        <v>-9</v>
      </c>
      <c r="M38" s="23">
        <f t="shared" si="7"/>
        <v>-9</v>
      </c>
      <c r="O38" s="23">
        <v>7</v>
      </c>
      <c r="S38" s="85">
        <f>IF(K38="","",SUM($D$3:D36)-SUM($K$5:K38))</f>
        <v>0</v>
      </c>
    </row>
    <row r="39" spans="1:22" hidden="1" outlineLevel="1">
      <c r="A39" s="16">
        <v>45135</v>
      </c>
      <c r="B39" s="40" t="s">
        <v>15</v>
      </c>
      <c r="C39" s="94">
        <v>50</v>
      </c>
      <c r="D39" s="74">
        <v>64</v>
      </c>
      <c r="E39" s="71">
        <f t="shared" si="4"/>
        <v>14</v>
      </c>
      <c r="F39" s="2"/>
      <c r="G39" s="78">
        <v>25</v>
      </c>
      <c r="H39" s="62">
        <f t="shared" si="8"/>
        <v>48</v>
      </c>
      <c r="I39" s="20"/>
      <c r="J39" s="21"/>
      <c r="K39" s="61">
        <v>48</v>
      </c>
      <c r="L39" s="23">
        <f t="shared" si="6"/>
        <v>14</v>
      </c>
      <c r="M39" s="23">
        <f t="shared" si="7"/>
        <v>14</v>
      </c>
      <c r="O39" s="23">
        <v>6</v>
      </c>
      <c r="Q39" s="1">
        <f>SUM(G35:G39)/5</f>
        <v>56.4</v>
      </c>
      <c r="S39" s="85">
        <f>IF(K39="","",SUM($D$3:D37)-SUM($K$5:K39))</f>
        <v>0</v>
      </c>
    </row>
    <row r="40" spans="1:22" s="12" customFormat="1" hidden="1" outlineLevel="1">
      <c r="A40" s="24">
        <v>45136</v>
      </c>
      <c r="B40" s="41" t="s">
        <v>16</v>
      </c>
      <c r="C40" s="69">
        <v>0</v>
      </c>
      <c r="D40" s="75"/>
      <c r="E40" s="72">
        <f t="shared" si="4"/>
        <v>14</v>
      </c>
      <c r="F40" s="10"/>
      <c r="G40" s="79">
        <v>0</v>
      </c>
      <c r="H40" s="63"/>
      <c r="I40" s="27"/>
      <c r="J40" s="28"/>
      <c r="K40" s="60"/>
      <c r="L40" s="29">
        <f t="shared" si="6"/>
        <v>14</v>
      </c>
      <c r="M40" s="29">
        <f t="shared" si="7"/>
        <v>14</v>
      </c>
      <c r="N40" s="11"/>
      <c r="O40" s="29"/>
      <c r="S40" s="86" t="str">
        <f>IF(K40="","",SUM($D$3:D38)-SUM($K$5:K40))</f>
        <v/>
      </c>
    </row>
    <row r="41" spans="1:22" s="12" customFormat="1" hidden="1" outlineLevel="1">
      <c r="A41" s="24">
        <v>45137</v>
      </c>
      <c r="B41" s="41" t="s">
        <v>17</v>
      </c>
      <c r="C41" s="69">
        <v>0</v>
      </c>
      <c r="D41" s="75"/>
      <c r="E41" s="72">
        <f t="shared" si="4"/>
        <v>14</v>
      </c>
      <c r="F41" s="10"/>
      <c r="G41" s="79">
        <v>0</v>
      </c>
      <c r="H41" s="63"/>
      <c r="I41" s="27"/>
      <c r="J41" s="28"/>
      <c r="K41" s="60"/>
      <c r="L41" s="29">
        <f t="shared" si="6"/>
        <v>14</v>
      </c>
      <c r="M41" s="29">
        <f t="shared" si="7"/>
        <v>14</v>
      </c>
      <c r="N41" s="11"/>
      <c r="O41" s="29"/>
      <c r="S41" s="86" t="str">
        <f>IF(K41="","",SUM($D$3:D39)-SUM($K$5:K41))</f>
        <v/>
      </c>
    </row>
    <row r="42" spans="1:22" hidden="1" outlineLevel="1">
      <c r="A42" s="16">
        <v>45138</v>
      </c>
      <c r="B42" s="40" t="s">
        <v>18</v>
      </c>
      <c r="C42" s="94">
        <v>64</v>
      </c>
      <c r="D42" s="74">
        <v>64</v>
      </c>
      <c r="E42" s="71">
        <f t="shared" si="4"/>
        <v>14</v>
      </c>
      <c r="F42" s="2"/>
      <c r="G42" s="78">
        <v>48</v>
      </c>
      <c r="H42" s="62">
        <f>C38+I42</f>
        <v>48</v>
      </c>
      <c r="I42" s="20"/>
      <c r="J42" s="21"/>
      <c r="K42" s="61">
        <v>48</v>
      </c>
      <c r="L42" s="23">
        <f t="shared" si="6"/>
        <v>14</v>
      </c>
      <c r="M42" s="23">
        <f t="shared" si="7"/>
        <v>14</v>
      </c>
      <c r="O42" s="23">
        <v>3</v>
      </c>
      <c r="S42" s="85">
        <f>IF(K42="","",SUM($D$3:D40)-SUM($K$5:K42))</f>
        <v>64</v>
      </c>
    </row>
    <row r="43" spans="1:22" hidden="1" outlineLevel="1">
      <c r="A43" s="16">
        <v>45139</v>
      </c>
      <c r="B43" s="40" t="s">
        <v>19</v>
      </c>
      <c r="C43" s="94">
        <v>72</v>
      </c>
      <c r="D43" s="74">
        <v>64</v>
      </c>
      <c r="E43" s="71">
        <f t="shared" si="4"/>
        <v>6</v>
      </c>
      <c r="F43" s="2"/>
      <c r="G43" s="78">
        <v>24</v>
      </c>
      <c r="H43" s="62">
        <f>C39+I43</f>
        <v>50</v>
      </c>
      <c r="I43" s="20"/>
      <c r="J43" s="21"/>
      <c r="K43" s="61">
        <v>50</v>
      </c>
      <c r="L43" s="23">
        <f>L42-G43+K43</f>
        <v>40</v>
      </c>
      <c r="M43" s="23">
        <f>M42-G43+H43</f>
        <v>40</v>
      </c>
      <c r="O43" s="23">
        <v>0</v>
      </c>
      <c r="S43" s="85">
        <f>IF(K43="","",SUM($D$3:D41)-SUM($K$5:K43))</f>
        <v>14</v>
      </c>
    </row>
    <row r="44" spans="1:22" hidden="1" outlineLevel="1">
      <c r="A44" s="16">
        <v>45140</v>
      </c>
      <c r="B44" s="40" t="s">
        <v>20</v>
      </c>
      <c r="C44" s="104">
        <v>0</v>
      </c>
      <c r="D44" s="74">
        <v>32</v>
      </c>
      <c r="E44" s="71">
        <f t="shared" si="4"/>
        <v>38</v>
      </c>
      <c r="F44" s="2"/>
      <c r="G44" s="78">
        <v>120</v>
      </c>
      <c r="H44" s="62">
        <f>C42+I44</f>
        <v>64</v>
      </c>
      <c r="I44" s="20"/>
      <c r="J44" s="21"/>
      <c r="K44" s="61">
        <v>64</v>
      </c>
      <c r="L44" s="23">
        <f t="shared" si="6"/>
        <v>-16</v>
      </c>
      <c r="M44" s="23">
        <f>M43-G44+H44</f>
        <v>-16</v>
      </c>
      <c r="O44" s="23">
        <v>1</v>
      </c>
      <c r="S44" s="85">
        <f>IF(K44="","",SUM($D$3:D42)-SUM($K$5:K44))</f>
        <v>14</v>
      </c>
      <c r="V44" s="94">
        <v>72</v>
      </c>
    </row>
    <row r="45" spans="1:22" hidden="1" outlineLevel="1">
      <c r="A45" s="16">
        <v>45141</v>
      </c>
      <c r="B45" s="40" t="s">
        <v>14</v>
      </c>
      <c r="C45" s="104">
        <v>0</v>
      </c>
      <c r="D45" s="74">
        <v>0</v>
      </c>
      <c r="E45" s="71">
        <f t="shared" si="4"/>
        <v>38</v>
      </c>
      <c r="F45" s="2"/>
      <c r="G45" s="78">
        <v>56</v>
      </c>
      <c r="H45" s="62">
        <f t="shared" ref="H45:H46" si="9">C43+I45</f>
        <v>72</v>
      </c>
      <c r="I45" s="20"/>
      <c r="J45" s="21"/>
      <c r="K45" s="61">
        <v>72</v>
      </c>
      <c r="L45" s="23">
        <f t="shared" si="6"/>
        <v>0</v>
      </c>
      <c r="M45" s="23">
        <f t="shared" si="7"/>
        <v>0</v>
      </c>
      <c r="O45" s="23">
        <v>7</v>
      </c>
      <c r="S45" s="85">
        <f>IF(K45="","",SUM($D$3:D43)-SUM($K$5:K45))</f>
        <v>6</v>
      </c>
      <c r="V45" s="94">
        <v>64</v>
      </c>
    </row>
    <row r="46" spans="1:22" hidden="1" outlineLevel="1">
      <c r="A46" s="16">
        <v>45142</v>
      </c>
      <c r="B46" s="40" t="s">
        <v>15</v>
      </c>
      <c r="C46" s="94">
        <v>64</v>
      </c>
      <c r="D46" s="74">
        <v>64</v>
      </c>
      <c r="E46" s="71">
        <f t="shared" si="4"/>
        <v>38</v>
      </c>
      <c r="F46" s="2"/>
      <c r="G46" s="78">
        <v>64</v>
      </c>
      <c r="H46" s="102">
        <f t="shared" si="9"/>
        <v>0</v>
      </c>
      <c r="I46" s="20"/>
      <c r="J46" s="21"/>
      <c r="K46" s="61">
        <v>0</v>
      </c>
      <c r="L46" s="23">
        <f t="shared" si="6"/>
        <v>-64</v>
      </c>
      <c r="M46" s="23">
        <f t="shared" si="7"/>
        <v>-64</v>
      </c>
      <c r="O46" s="23">
        <v>7</v>
      </c>
      <c r="Q46" s="1">
        <f>SUM(G42:G46)/5</f>
        <v>62.4</v>
      </c>
      <c r="S46" s="85">
        <f>IF(K46="","",SUM($D$3:D44)-SUM($K$5:K46))</f>
        <v>38</v>
      </c>
    </row>
    <row r="47" spans="1:22" s="12" customFormat="1" hidden="1" outlineLevel="1">
      <c r="A47" s="24">
        <v>45143</v>
      </c>
      <c r="B47" s="41" t="s">
        <v>16</v>
      </c>
      <c r="C47" s="69">
        <v>0</v>
      </c>
      <c r="D47" s="75"/>
      <c r="E47" s="72">
        <f t="shared" si="4"/>
        <v>38</v>
      </c>
      <c r="F47" s="10"/>
      <c r="G47" s="79">
        <v>0</v>
      </c>
      <c r="H47" s="63"/>
      <c r="I47" s="27"/>
      <c r="J47" s="28"/>
      <c r="K47" s="60"/>
      <c r="L47" s="29">
        <f t="shared" si="6"/>
        <v>-64</v>
      </c>
      <c r="M47" s="29">
        <f t="shared" si="7"/>
        <v>-64</v>
      </c>
      <c r="N47" s="11"/>
      <c r="O47" s="29"/>
      <c r="S47" s="86" t="str">
        <f>IF(K47="","",SUM($D$3:D45)-SUM($K$5:K47))</f>
        <v/>
      </c>
    </row>
    <row r="48" spans="1:22" s="12" customFormat="1" hidden="1" outlineLevel="1">
      <c r="A48" s="24">
        <v>45144</v>
      </c>
      <c r="B48" s="41" t="s">
        <v>17</v>
      </c>
      <c r="C48" s="69">
        <v>0</v>
      </c>
      <c r="D48" s="75"/>
      <c r="E48" s="72">
        <f t="shared" si="4"/>
        <v>38</v>
      </c>
      <c r="F48" s="10"/>
      <c r="G48" s="79">
        <v>0</v>
      </c>
      <c r="H48" s="63"/>
      <c r="I48" s="27"/>
      <c r="J48" s="28"/>
      <c r="K48" s="60"/>
      <c r="L48" s="29">
        <f t="shared" si="6"/>
        <v>-64</v>
      </c>
      <c r="M48" s="29">
        <f t="shared" si="7"/>
        <v>-64</v>
      </c>
      <c r="N48" s="11"/>
      <c r="O48" s="29"/>
      <c r="S48" s="86" t="str">
        <f>IF(K48="","",SUM($D$3:D46)-SUM($K$5:K48))</f>
        <v/>
      </c>
    </row>
    <row r="49" spans="1:19" hidden="1" outlineLevel="1">
      <c r="A49" s="16">
        <v>45145</v>
      </c>
      <c r="B49" s="40" t="s">
        <v>18</v>
      </c>
      <c r="C49" s="68">
        <v>64</v>
      </c>
      <c r="D49" s="74">
        <v>64</v>
      </c>
      <c r="E49" s="71">
        <f t="shared" si="4"/>
        <v>38</v>
      </c>
      <c r="F49" s="2"/>
      <c r="G49" s="78">
        <v>56</v>
      </c>
      <c r="H49" s="102">
        <f>C45+I49</f>
        <v>0</v>
      </c>
      <c r="I49" s="20"/>
      <c r="J49" s="21"/>
      <c r="K49" s="61">
        <v>0</v>
      </c>
      <c r="L49" s="23">
        <f t="shared" si="6"/>
        <v>-120</v>
      </c>
      <c r="M49" s="23">
        <f t="shared" si="7"/>
        <v>-120</v>
      </c>
      <c r="O49" s="23">
        <v>5</v>
      </c>
      <c r="S49" s="85">
        <f>IF(K49="","",SUM($D$3:D47)-SUM($K$5:K49))</f>
        <v>102</v>
      </c>
    </row>
    <row r="50" spans="1:19" hidden="1" outlineLevel="1">
      <c r="A50" s="16">
        <v>45146</v>
      </c>
      <c r="B50" s="40" t="s">
        <v>19</v>
      </c>
      <c r="C50" s="68">
        <v>64</v>
      </c>
      <c r="D50" s="74">
        <v>64</v>
      </c>
      <c r="E50" s="71">
        <f t="shared" si="4"/>
        <v>38</v>
      </c>
      <c r="F50" s="2"/>
      <c r="G50" s="78">
        <v>0</v>
      </c>
      <c r="H50" s="62">
        <f>C46+I50</f>
        <v>64</v>
      </c>
      <c r="I50" s="20"/>
      <c r="J50" s="21"/>
      <c r="K50" s="61">
        <v>64</v>
      </c>
      <c r="L50" s="23">
        <f t="shared" si="6"/>
        <v>-56</v>
      </c>
      <c r="M50" s="23">
        <f t="shared" si="7"/>
        <v>-56</v>
      </c>
      <c r="O50" s="23">
        <v>8</v>
      </c>
      <c r="S50" s="85">
        <f>IF(K50="","",SUM($D$3:D48)-SUM($K$5:K50))</f>
        <v>38</v>
      </c>
    </row>
    <row r="51" spans="1:19" hidden="1" outlineLevel="1">
      <c r="A51" s="16">
        <v>45147</v>
      </c>
      <c r="B51" s="40" t="s">
        <v>20</v>
      </c>
      <c r="C51" s="68">
        <v>64</v>
      </c>
      <c r="D51" s="74">
        <v>64</v>
      </c>
      <c r="E51" s="71">
        <f t="shared" si="4"/>
        <v>38</v>
      </c>
      <c r="F51" s="2"/>
      <c r="G51" s="78">
        <v>32</v>
      </c>
      <c r="H51" s="62">
        <f>C49+I51</f>
        <v>64</v>
      </c>
      <c r="I51" s="20"/>
      <c r="J51" s="21"/>
      <c r="K51" s="61">
        <v>64</v>
      </c>
      <c r="L51" s="23">
        <f t="shared" si="6"/>
        <v>-24</v>
      </c>
      <c r="M51" s="23">
        <f t="shared" si="7"/>
        <v>-24</v>
      </c>
      <c r="O51" s="23">
        <v>0</v>
      </c>
      <c r="Q51" s="97">
        <f>SUM(G49:G51)/3</f>
        <v>29.333333333333332</v>
      </c>
      <c r="S51" s="85">
        <f>IF(K51="","",SUM($D$3:D49)-SUM($K$5:K51))</f>
        <v>38</v>
      </c>
    </row>
    <row r="52" spans="1:19" s="12" customFormat="1" hidden="1" outlineLevel="1">
      <c r="A52" s="24">
        <v>45148</v>
      </c>
      <c r="B52" s="41" t="s">
        <v>14</v>
      </c>
      <c r="C52" s="69">
        <v>0</v>
      </c>
      <c r="D52" s="75"/>
      <c r="E52" s="72">
        <f t="shared" si="4"/>
        <v>38</v>
      </c>
      <c r="F52" s="10"/>
      <c r="G52" s="79">
        <v>0</v>
      </c>
      <c r="H52" s="63"/>
      <c r="I52" s="27"/>
      <c r="J52" s="28"/>
      <c r="K52" s="60"/>
      <c r="L52" s="29">
        <f t="shared" si="6"/>
        <v>-24</v>
      </c>
      <c r="M52" s="29">
        <f t="shared" si="7"/>
        <v>-24</v>
      </c>
      <c r="N52" s="11"/>
      <c r="O52" s="29">
        <v>0</v>
      </c>
    </row>
    <row r="53" spans="1:19" s="12" customFormat="1" hidden="1" outlineLevel="1">
      <c r="A53" s="24">
        <v>45149</v>
      </c>
      <c r="B53" s="41" t="s">
        <v>15</v>
      </c>
      <c r="C53" s="69">
        <v>0</v>
      </c>
      <c r="D53" s="75"/>
      <c r="E53" s="72">
        <f t="shared" si="4"/>
        <v>38</v>
      </c>
      <c r="F53" s="10"/>
      <c r="G53" s="79">
        <v>0</v>
      </c>
      <c r="H53" s="63"/>
      <c r="I53" s="27"/>
      <c r="J53" s="28"/>
      <c r="K53" s="60"/>
      <c r="L53" s="29">
        <f t="shared" si="6"/>
        <v>-24</v>
      </c>
      <c r="M53" s="29">
        <f t="shared" si="7"/>
        <v>-24</v>
      </c>
      <c r="N53" s="11"/>
      <c r="O53" s="29"/>
    </row>
    <row r="54" spans="1:19" s="12" customFormat="1" hidden="1" outlineLevel="1">
      <c r="A54" s="24">
        <v>45150</v>
      </c>
      <c r="B54" s="41" t="s">
        <v>16</v>
      </c>
      <c r="C54" s="69">
        <v>0</v>
      </c>
      <c r="D54" s="75"/>
      <c r="E54" s="72">
        <f t="shared" si="4"/>
        <v>38</v>
      </c>
      <c r="F54" s="10"/>
      <c r="G54" s="79">
        <v>0</v>
      </c>
      <c r="H54" s="66"/>
      <c r="I54" s="27"/>
      <c r="J54" s="28"/>
      <c r="K54" s="60"/>
      <c r="L54" s="29">
        <f t="shared" si="6"/>
        <v>-24</v>
      </c>
      <c r="M54" s="29">
        <f t="shared" si="7"/>
        <v>-24</v>
      </c>
      <c r="N54" s="11"/>
      <c r="O54" s="29"/>
    </row>
    <row r="55" spans="1:19" s="12" customFormat="1" hidden="1" outlineLevel="1">
      <c r="A55" s="24">
        <v>45151</v>
      </c>
      <c r="B55" s="41" t="s">
        <v>17</v>
      </c>
      <c r="C55" s="69">
        <v>0</v>
      </c>
      <c r="D55" s="75"/>
      <c r="E55" s="72">
        <f t="shared" si="4"/>
        <v>38</v>
      </c>
      <c r="F55" s="10"/>
      <c r="G55" s="79">
        <v>0</v>
      </c>
      <c r="H55" s="66"/>
      <c r="I55" s="27"/>
      <c r="J55" s="28"/>
      <c r="K55" s="60"/>
      <c r="L55" s="29">
        <f t="shared" si="6"/>
        <v>-24</v>
      </c>
      <c r="M55" s="29">
        <f t="shared" si="7"/>
        <v>-24</v>
      </c>
      <c r="N55" s="11"/>
      <c r="O55" s="29"/>
    </row>
    <row r="56" spans="1:19" s="12" customFormat="1" hidden="1" outlineLevel="1">
      <c r="A56" s="24">
        <v>45152</v>
      </c>
      <c r="B56" s="41" t="s">
        <v>18</v>
      </c>
      <c r="C56" s="69">
        <v>0</v>
      </c>
      <c r="D56" s="75"/>
      <c r="E56" s="72">
        <f t="shared" si="4"/>
        <v>38</v>
      </c>
      <c r="F56" s="10"/>
      <c r="G56" s="79">
        <v>0</v>
      </c>
      <c r="H56" s="66"/>
      <c r="I56" s="27"/>
      <c r="J56" s="28"/>
      <c r="K56" s="60"/>
      <c r="L56" s="29">
        <f t="shared" si="6"/>
        <v>-24</v>
      </c>
      <c r="M56" s="29">
        <f t="shared" si="7"/>
        <v>-24</v>
      </c>
      <c r="N56" s="11"/>
      <c r="O56" s="29"/>
    </row>
    <row r="57" spans="1:19" s="12" customFormat="1" hidden="1" outlineLevel="1">
      <c r="A57" s="24">
        <v>45153</v>
      </c>
      <c r="B57" s="41" t="s">
        <v>19</v>
      </c>
      <c r="C57" s="69">
        <v>0</v>
      </c>
      <c r="D57" s="75"/>
      <c r="E57" s="72">
        <f t="shared" si="4"/>
        <v>38</v>
      </c>
      <c r="F57" s="10"/>
      <c r="G57" s="79">
        <v>0</v>
      </c>
      <c r="H57" s="66"/>
      <c r="I57" s="27"/>
      <c r="J57" s="28"/>
      <c r="K57" s="60"/>
      <c r="L57" s="29">
        <f t="shared" si="6"/>
        <v>-24</v>
      </c>
      <c r="M57" s="29">
        <f t="shared" si="7"/>
        <v>-24</v>
      </c>
      <c r="N57" s="11"/>
      <c r="O57" s="29"/>
    </row>
    <row r="58" spans="1:19" s="12" customFormat="1" hidden="1" outlineLevel="1">
      <c r="A58" s="24">
        <v>45154</v>
      </c>
      <c r="B58" s="41" t="s">
        <v>20</v>
      </c>
      <c r="C58" s="69">
        <v>0</v>
      </c>
      <c r="D58" s="75"/>
      <c r="E58" s="72">
        <f t="shared" ref="E58:E76" si="10">D58-C58+E57</f>
        <v>38</v>
      </c>
      <c r="F58" s="10"/>
      <c r="G58" s="79">
        <v>0</v>
      </c>
      <c r="H58" s="66"/>
      <c r="I58" s="27"/>
      <c r="J58" s="28"/>
      <c r="K58" s="60"/>
      <c r="L58" s="29">
        <f t="shared" si="6"/>
        <v>-24</v>
      </c>
      <c r="M58" s="29">
        <f t="shared" si="7"/>
        <v>-24</v>
      </c>
      <c r="N58" s="11"/>
      <c r="O58" s="29"/>
    </row>
    <row r="59" spans="1:19" hidden="1" outlineLevel="1">
      <c r="A59" s="16">
        <v>45155</v>
      </c>
      <c r="B59" s="40" t="s">
        <v>14</v>
      </c>
      <c r="C59" s="68">
        <v>64</v>
      </c>
      <c r="D59" s="74">
        <v>64</v>
      </c>
      <c r="E59" s="71">
        <f t="shared" si="10"/>
        <v>38</v>
      </c>
      <c r="F59" s="2"/>
      <c r="G59" s="78">
        <v>64</v>
      </c>
      <c r="H59" s="65">
        <f>C50</f>
        <v>64</v>
      </c>
      <c r="I59" s="20"/>
      <c r="J59" s="21"/>
      <c r="K59" s="61">
        <v>64</v>
      </c>
      <c r="L59" s="23">
        <f t="shared" si="6"/>
        <v>-24</v>
      </c>
      <c r="M59" s="23">
        <f t="shared" si="7"/>
        <v>-24</v>
      </c>
      <c r="O59" s="23">
        <v>10</v>
      </c>
    </row>
    <row r="60" spans="1:19" hidden="1" outlineLevel="1">
      <c r="A60" s="16">
        <v>45156</v>
      </c>
      <c r="B60" s="40" t="s">
        <v>15</v>
      </c>
      <c r="C60" s="68">
        <v>64</v>
      </c>
      <c r="D60" s="109">
        <f>64-36</f>
        <v>28</v>
      </c>
      <c r="E60" s="71">
        <f t="shared" si="10"/>
        <v>2</v>
      </c>
      <c r="F60" s="2"/>
      <c r="G60" s="78">
        <v>56</v>
      </c>
      <c r="H60" s="65">
        <f>C51</f>
        <v>64</v>
      </c>
      <c r="I60" s="20"/>
      <c r="J60" s="21"/>
      <c r="K60" s="61">
        <v>64</v>
      </c>
      <c r="L60" s="23">
        <f t="shared" si="6"/>
        <v>-16</v>
      </c>
      <c r="M60" s="23">
        <f t="shared" si="7"/>
        <v>-16</v>
      </c>
      <c r="O60" s="23">
        <v>4</v>
      </c>
      <c r="Q60" s="97">
        <f>SUM(G59:G60)/2</f>
        <v>60</v>
      </c>
    </row>
    <row r="61" spans="1:19" s="12" customFormat="1" hidden="1" outlineLevel="1">
      <c r="A61" s="95">
        <v>45157</v>
      </c>
      <c r="B61" s="25" t="s">
        <v>25</v>
      </c>
      <c r="C61" s="98"/>
      <c r="D61" s="99"/>
      <c r="E61" s="87">
        <f t="shared" si="10"/>
        <v>2</v>
      </c>
      <c r="G61" s="79">
        <v>0</v>
      </c>
      <c r="H61" s="63"/>
      <c r="I61" s="27"/>
      <c r="J61" s="28"/>
      <c r="K61" s="43"/>
      <c r="L61" s="29">
        <f t="shared" si="6"/>
        <v>-16</v>
      </c>
      <c r="M61" s="29">
        <f t="shared" si="7"/>
        <v>-16</v>
      </c>
      <c r="N61" s="29"/>
      <c r="O61" s="29"/>
    </row>
    <row r="62" spans="1:19" s="12" customFormat="1" hidden="1" outlineLevel="1">
      <c r="A62" s="95">
        <v>45158</v>
      </c>
      <c r="B62" s="25" t="s">
        <v>26</v>
      </c>
      <c r="C62" s="98"/>
      <c r="D62" s="99"/>
      <c r="E62" s="87">
        <f t="shared" si="10"/>
        <v>2</v>
      </c>
      <c r="G62" s="79">
        <v>0</v>
      </c>
      <c r="H62" s="63"/>
      <c r="I62" s="27"/>
      <c r="J62" s="28"/>
      <c r="K62" s="43"/>
      <c r="L62" s="29">
        <f t="shared" si="6"/>
        <v>-16</v>
      </c>
      <c r="M62" s="29">
        <f t="shared" si="7"/>
        <v>-16</v>
      </c>
      <c r="N62" s="29"/>
      <c r="O62" s="29"/>
    </row>
    <row r="63" spans="1:19" hidden="1" outlineLevel="1">
      <c r="A63" s="96">
        <v>45159</v>
      </c>
      <c r="B63" s="17" t="s">
        <v>18</v>
      </c>
      <c r="C63" s="101">
        <v>64</v>
      </c>
      <c r="D63" s="110">
        <v>64</v>
      </c>
      <c r="E63" s="22">
        <f t="shared" si="10"/>
        <v>2</v>
      </c>
      <c r="G63" s="78">
        <v>64</v>
      </c>
      <c r="H63" s="62">
        <f>C59</f>
        <v>64</v>
      </c>
      <c r="I63" s="20"/>
      <c r="J63" s="21"/>
      <c r="K63" s="57">
        <v>64</v>
      </c>
      <c r="L63" s="23">
        <f t="shared" si="6"/>
        <v>-16</v>
      </c>
      <c r="M63" s="23">
        <f t="shared" si="7"/>
        <v>-16</v>
      </c>
      <c r="N63" s="23"/>
      <c r="O63" s="23">
        <v>6</v>
      </c>
    </row>
    <row r="64" spans="1:19" hidden="1" outlineLevel="1">
      <c r="A64" s="96">
        <v>45160</v>
      </c>
      <c r="B64" s="17" t="s">
        <v>19</v>
      </c>
      <c r="C64" s="101">
        <v>64</v>
      </c>
      <c r="D64" s="110">
        <f>64-4</f>
        <v>60</v>
      </c>
      <c r="E64" s="22">
        <f t="shared" si="10"/>
        <v>-2</v>
      </c>
      <c r="G64" s="78">
        <v>56</v>
      </c>
      <c r="H64" s="62">
        <f>C60</f>
        <v>64</v>
      </c>
      <c r="I64" s="20"/>
      <c r="J64" s="21"/>
      <c r="K64" s="57">
        <v>64</v>
      </c>
      <c r="L64" s="23">
        <f t="shared" si="6"/>
        <v>-8</v>
      </c>
      <c r="M64" s="23">
        <f t="shared" si="7"/>
        <v>-8</v>
      </c>
      <c r="N64" s="23"/>
      <c r="O64" s="23">
        <v>8</v>
      </c>
    </row>
    <row r="65" spans="1:17" hidden="1" outlineLevel="1">
      <c r="A65" s="96">
        <v>45161</v>
      </c>
      <c r="B65" s="17" t="s">
        <v>20</v>
      </c>
      <c r="C65" s="101">
        <v>64</v>
      </c>
      <c r="D65" s="110">
        <f>64+4</f>
        <v>68</v>
      </c>
      <c r="E65" s="22">
        <f t="shared" si="10"/>
        <v>2</v>
      </c>
      <c r="G65" s="78">
        <v>64</v>
      </c>
      <c r="H65" s="62">
        <f>C63</f>
        <v>64</v>
      </c>
      <c r="I65" s="20"/>
      <c r="J65" s="21"/>
      <c r="K65" s="57">
        <v>64</v>
      </c>
      <c r="L65" s="23">
        <f t="shared" si="6"/>
        <v>-8</v>
      </c>
      <c r="M65" s="23">
        <f t="shared" si="7"/>
        <v>-8</v>
      </c>
      <c r="N65" s="23"/>
      <c r="O65" s="23">
        <v>9</v>
      </c>
    </row>
    <row r="66" spans="1:17" hidden="1" outlineLevel="1">
      <c r="A66" s="96">
        <v>45162</v>
      </c>
      <c r="B66" s="17" t="s">
        <v>14</v>
      </c>
      <c r="C66" s="101">
        <v>64</v>
      </c>
      <c r="D66" s="110">
        <v>64</v>
      </c>
      <c r="E66" s="22">
        <f t="shared" si="10"/>
        <v>2</v>
      </c>
      <c r="G66" s="78">
        <v>64</v>
      </c>
      <c r="H66" s="62">
        <f t="shared" ref="H66:H67" si="11">C64</f>
        <v>64</v>
      </c>
      <c r="I66" s="20"/>
      <c r="J66" s="21"/>
      <c r="K66" s="57">
        <v>64</v>
      </c>
      <c r="L66" s="23">
        <f t="shared" si="6"/>
        <v>-8</v>
      </c>
      <c r="M66" s="23">
        <f t="shared" si="7"/>
        <v>-8</v>
      </c>
      <c r="N66" s="23"/>
      <c r="O66" s="23">
        <v>4</v>
      </c>
    </row>
    <row r="67" spans="1:17" hidden="1" outlineLevel="1">
      <c r="A67" s="96">
        <v>45163</v>
      </c>
      <c r="B67" s="17" t="s">
        <v>15</v>
      </c>
      <c r="C67" s="101">
        <v>64</v>
      </c>
      <c r="D67" s="110">
        <v>64</v>
      </c>
      <c r="E67" s="22">
        <f t="shared" si="10"/>
        <v>2</v>
      </c>
      <c r="G67" s="78">
        <v>0</v>
      </c>
      <c r="H67" s="62">
        <f t="shared" si="11"/>
        <v>64</v>
      </c>
      <c r="I67" s="20"/>
      <c r="J67" s="21"/>
      <c r="K67" s="57">
        <v>64</v>
      </c>
      <c r="L67" s="23">
        <f t="shared" si="6"/>
        <v>56</v>
      </c>
      <c r="M67" s="23">
        <f t="shared" si="7"/>
        <v>56</v>
      </c>
      <c r="N67" s="23"/>
      <c r="O67" s="23">
        <v>5</v>
      </c>
      <c r="Q67" s="1">
        <f>SUM(G63:G67)/5</f>
        <v>49.6</v>
      </c>
    </row>
    <row r="68" spans="1:17" s="12" customFormat="1" hidden="1" outlineLevel="1">
      <c r="A68" s="95">
        <v>45164</v>
      </c>
      <c r="B68" s="25" t="s">
        <v>16</v>
      </c>
      <c r="C68" s="98"/>
      <c r="D68" s="99"/>
      <c r="E68" s="87">
        <f t="shared" si="10"/>
        <v>2</v>
      </c>
      <c r="G68" s="79">
        <v>0</v>
      </c>
      <c r="H68" s="63"/>
      <c r="I68" s="27"/>
      <c r="J68" s="28"/>
      <c r="K68" s="43"/>
      <c r="L68" s="29">
        <f t="shared" si="6"/>
        <v>56</v>
      </c>
      <c r="M68" s="29">
        <f t="shared" si="7"/>
        <v>56</v>
      </c>
      <c r="N68" s="29"/>
      <c r="O68" s="29"/>
    </row>
    <row r="69" spans="1:17" s="12" customFormat="1" hidden="1" outlineLevel="1">
      <c r="A69" s="95">
        <v>45165</v>
      </c>
      <c r="B69" s="25" t="s">
        <v>17</v>
      </c>
      <c r="C69" s="98"/>
      <c r="D69" s="99"/>
      <c r="E69" s="87">
        <f t="shared" si="10"/>
        <v>2</v>
      </c>
      <c r="G69" s="79">
        <v>0</v>
      </c>
      <c r="H69" s="63"/>
      <c r="I69" s="27"/>
      <c r="J69" s="28"/>
      <c r="K69" s="43"/>
      <c r="L69" s="29">
        <f t="shared" si="6"/>
        <v>56</v>
      </c>
      <c r="M69" s="29">
        <f t="shared" si="7"/>
        <v>56</v>
      </c>
      <c r="N69" s="29"/>
      <c r="O69" s="29"/>
    </row>
    <row r="70" spans="1:17" hidden="1" outlineLevel="1">
      <c r="A70" s="96">
        <v>45166</v>
      </c>
      <c r="B70" s="17" t="s">
        <v>18</v>
      </c>
      <c r="C70" s="101">
        <v>48</v>
      </c>
      <c r="D70" s="110">
        <v>48</v>
      </c>
      <c r="E70" s="22">
        <f t="shared" si="10"/>
        <v>2</v>
      </c>
      <c r="G70" s="78">
        <v>56</v>
      </c>
      <c r="H70" s="62">
        <f>C66</f>
        <v>64</v>
      </c>
      <c r="I70" s="20"/>
      <c r="J70" s="21"/>
      <c r="K70" s="57">
        <v>64</v>
      </c>
      <c r="L70" s="23">
        <f t="shared" si="6"/>
        <v>64</v>
      </c>
      <c r="M70" s="23">
        <f>M69-G70+H70</f>
        <v>64</v>
      </c>
      <c r="N70" s="23"/>
      <c r="O70" s="23">
        <v>2</v>
      </c>
    </row>
    <row r="71" spans="1:17" hidden="1" outlineLevel="1">
      <c r="A71" s="96">
        <v>45167</v>
      </c>
      <c r="B71" s="17" t="s">
        <v>19</v>
      </c>
      <c r="C71" s="101">
        <v>48</v>
      </c>
      <c r="D71" s="110">
        <v>56</v>
      </c>
      <c r="E71" s="22">
        <f t="shared" si="10"/>
        <v>10</v>
      </c>
      <c r="G71" s="78">
        <v>56</v>
      </c>
      <c r="H71" s="62">
        <f>C67</f>
        <v>64</v>
      </c>
      <c r="I71" s="20"/>
      <c r="J71" s="21"/>
      <c r="K71" s="57">
        <v>64</v>
      </c>
      <c r="L71" s="23">
        <f>L70-G71+K71</f>
        <v>72</v>
      </c>
      <c r="M71" s="23">
        <f t="shared" si="7"/>
        <v>72</v>
      </c>
      <c r="N71" s="23"/>
      <c r="O71" s="23">
        <v>8</v>
      </c>
    </row>
    <row r="72" spans="1:17" hidden="1" outlineLevel="1">
      <c r="A72" s="96">
        <v>45168</v>
      </c>
      <c r="B72" s="17" t="s">
        <v>20</v>
      </c>
      <c r="C72" s="101">
        <v>48</v>
      </c>
      <c r="D72" s="110">
        <f>56-12</f>
        <v>44</v>
      </c>
      <c r="E72" s="22">
        <f t="shared" si="10"/>
        <v>6</v>
      </c>
      <c r="G72" s="78">
        <v>88</v>
      </c>
      <c r="H72" s="62">
        <f>C70</f>
        <v>48</v>
      </c>
      <c r="I72" s="20"/>
      <c r="J72" s="21"/>
      <c r="K72" s="57">
        <v>48</v>
      </c>
      <c r="L72" s="23">
        <f t="shared" si="6"/>
        <v>32</v>
      </c>
      <c r="M72" s="23">
        <f t="shared" si="7"/>
        <v>32</v>
      </c>
      <c r="N72" s="23"/>
      <c r="O72" s="23">
        <v>8</v>
      </c>
    </row>
    <row r="73" spans="1:17" hidden="1" outlineLevel="1">
      <c r="A73" s="96">
        <v>45169</v>
      </c>
      <c r="B73" s="17" t="s">
        <v>14</v>
      </c>
      <c r="C73" s="101">
        <v>56</v>
      </c>
      <c r="D73" s="110">
        <f>56+12</f>
        <v>68</v>
      </c>
      <c r="E73" s="22">
        <f t="shared" si="10"/>
        <v>18</v>
      </c>
      <c r="G73" s="78">
        <v>64</v>
      </c>
      <c r="H73" s="62">
        <f>C71</f>
        <v>48</v>
      </c>
      <c r="I73" s="20"/>
      <c r="J73" s="21"/>
      <c r="K73" s="57">
        <v>48</v>
      </c>
      <c r="L73" s="23">
        <f t="shared" si="6"/>
        <v>16</v>
      </c>
      <c r="M73" s="23">
        <f t="shared" si="7"/>
        <v>16</v>
      </c>
      <c r="N73" s="23"/>
      <c r="O73" s="23">
        <v>4</v>
      </c>
    </row>
    <row r="74" spans="1:17" hidden="1" outlineLevel="1">
      <c r="A74" s="96">
        <v>45170</v>
      </c>
      <c r="B74" s="17" t="s">
        <v>15</v>
      </c>
      <c r="C74" s="101">
        <v>56</v>
      </c>
      <c r="D74" s="110">
        <v>56</v>
      </c>
      <c r="E74" s="22">
        <f t="shared" si="10"/>
        <v>18</v>
      </c>
      <c r="G74" s="78">
        <v>80</v>
      </c>
      <c r="H74" s="62">
        <f>C72</f>
        <v>48</v>
      </c>
      <c r="I74" s="20"/>
      <c r="J74" s="21"/>
      <c r="K74" s="57">
        <v>48</v>
      </c>
      <c r="L74" s="23">
        <f t="shared" si="6"/>
        <v>-16</v>
      </c>
      <c r="M74" s="23">
        <f t="shared" si="7"/>
        <v>-16</v>
      </c>
      <c r="N74" s="23"/>
      <c r="O74" s="23">
        <v>3</v>
      </c>
      <c r="Q74" s="1">
        <f>SUM(G70:G74)/5</f>
        <v>68.8</v>
      </c>
    </row>
    <row r="75" spans="1:17" s="12" customFormat="1" hidden="1" outlineLevel="1">
      <c r="A75" s="95">
        <v>45171</v>
      </c>
      <c r="B75" s="25" t="s">
        <v>16</v>
      </c>
      <c r="C75" s="98"/>
      <c r="D75" s="99"/>
      <c r="E75" s="87">
        <f t="shared" si="10"/>
        <v>18</v>
      </c>
      <c r="G75" s="79">
        <v>0</v>
      </c>
      <c r="H75" s="63"/>
      <c r="I75" s="27"/>
      <c r="J75" s="28"/>
      <c r="K75" s="43"/>
      <c r="L75" s="29">
        <f t="shared" si="6"/>
        <v>-16</v>
      </c>
      <c r="M75" s="29">
        <f t="shared" si="7"/>
        <v>-16</v>
      </c>
      <c r="N75" s="29"/>
      <c r="O75" s="29"/>
    </row>
    <row r="76" spans="1:17" s="12" customFormat="1" hidden="1" outlineLevel="1">
      <c r="A76" s="95">
        <v>45172</v>
      </c>
      <c r="B76" s="25" t="s">
        <v>17</v>
      </c>
      <c r="C76" s="98"/>
      <c r="D76" s="99"/>
      <c r="E76" s="87">
        <f t="shared" si="10"/>
        <v>18</v>
      </c>
      <c r="G76" s="79">
        <v>0</v>
      </c>
      <c r="H76" s="63"/>
      <c r="I76" s="27"/>
      <c r="J76" s="28"/>
      <c r="K76" s="43"/>
      <c r="L76" s="29">
        <f t="shared" si="6"/>
        <v>-16</v>
      </c>
      <c r="M76" s="29">
        <f t="shared" si="7"/>
        <v>-16</v>
      </c>
      <c r="N76" s="29"/>
      <c r="O76" s="29"/>
    </row>
    <row r="77" spans="1:17" hidden="1" outlineLevel="1">
      <c r="A77" s="96">
        <v>45173</v>
      </c>
      <c r="B77" s="17" t="s">
        <v>18</v>
      </c>
      <c r="C77" s="101">
        <v>64</v>
      </c>
      <c r="D77" s="110">
        <f>64-8</f>
        <v>56</v>
      </c>
      <c r="E77" s="22">
        <f>D77-C77+E76-34</f>
        <v>-24</v>
      </c>
      <c r="G77" s="78">
        <v>8</v>
      </c>
      <c r="H77" s="62">
        <f>C73</f>
        <v>56</v>
      </c>
      <c r="I77" s="20"/>
      <c r="J77" s="21"/>
      <c r="K77" s="57">
        <v>56</v>
      </c>
      <c r="L77" s="23">
        <f t="shared" si="6"/>
        <v>32</v>
      </c>
      <c r="M77" s="23">
        <f t="shared" si="7"/>
        <v>32</v>
      </c>
      <c r="N77" s="23"/>
      <c r="O77" s="23">
        <v>3</v>
      </c>
    </row>
    <row r="78" spans="1:17" hidden="1" outlineLevel="1">
      <c r="A78" s="96">
        <v>45174</v>
      </c>
      <c r="B78" s="17" t="s">
        <v>19</v>
      </c>
      <c r="C78" s="101">
        <v>64</v>
      </c>
      <c r="D78" s="110">
        <f>64+8</f>
        <v>72</v>
      </c>
      <c r="E78" s="22">
        <f t="shared" ref="E78:E103" si="12">D78-C78+E77</f>
        <v>-16</v>
      </c>
      <c r="G78" s="78">
        <v>40</v>
      </c>
      <c r="H78" s="62">
        <f>C74</f>
        <v>56</v>
      </c>
      <c r="I78" s="20"/>
      <c r="J78" s="21"/>
      <c r="K78" s="57">
        <v>56</v>
      </c>
      <c r="L78" s="23">
        <f t="shared" si="6"/>
        <v>48</v>
      </c>
      <c r="M78" s="23">
        <f t="shared" si="7"/>
        <v>48</v>
      </c>
      <c r="N78" s="23"/>
      <c r="O78" s="23">
        <v>10</v>
      </c>
    </row>
    <row r="79" spans="1:17" hidden="1" outlineLevel="1">
      <c r="A79" s="96">
        <v>45175</v>
      </c>
      <c r="B79" s="17" t="s">
        <v>20</v>
      </c>
      <c r="C79" s="101">
        <v>72</v>
      </c>
      <c r="D79" s="110">
        <f>64-24</f>
        <v>40</v>
      </c>
      <c r="E79" s="22">
        <f t="shared" si="12"/>
        <v>-48</v>
      </c>
      <c r="G79" s="78">
        <v>112</v>
      </c>
      <c r="H79" s="62">
        <f>C77</f>
        <v>64</v>
      </c>
      <c r="I79" s="20"/>
      <c r="J79" s="21"/>
      <c r="K79" s="57">
        <v>64</v>
      </c>
      <c r="L79" s="23">
        <f t="shared" si="6"/>
        <v>0</v>
      </c>
      <c r="M79" s="23">
        <f t="shared" si="7"/>
        <v>0</v>
      </c>
      <c r="N79" s="23"/>
      <c r="O79" s="23">
        <v>0</v>
      </c>
    </row>
    <row r="80" spans="1:17" hidden="1" outlineLevel="1">
      <c r="A80" s="96">
        <v>45176</v>
      </c>
      <c r="B80" s="17" t="s">
        <v>14</v>
      </c>
      <c r="C80" s="101">
        <v>64</v>
      </c>
      <c r="D80" s="110">
        <v>88</v>
      </c>
      <c r="E80" s="22">
        <f t="shared" si="12"/>
        <v>-24</v>
      </c>
      <c r="G80" s="78">
        <v>72</v>
      </c>
      <c r="H80" s="62">
        <f t="shared" ref="H80:H81" si="13">C78</f>
        <v>64</v>
      </c>
      <c r="I80" s="20"/>
      <c r="J80" s="21"/>
      <c r="K80" s="57">
        <v>64</v>
      </c>
      <c r="L80" s="23">
        <f t="shared" si="6"/>
        <v>-8</v>
      </c>
      <c r="M80" s="23">
        <f t="shared" si="7"/>
        <v>-8</v>
      </c>
      <c r="N80" s="23"/>
      <c r="O80" s="23">
        <v>0</v>
      </c>
    </row>
    <row r="81" spans="1:17" hidden="1" outlineLevel="1">
      <c r="A81" s="96">
        <v>45177</v>
      </c>
      <c r="B81" s="17" t="s">
        <v>15</v>
      </c>
      <c r="C81" s="101">
        <v>72</v>
      </c>
      <c r="D81" s="110">
        <f>72-8</f>
        <v>64</v>
      </c>
      <c r="E81" s="22">
        <f t="shared" si="12"/>
        <v>-32</v>
      </c>
      <c r="G81" s="78">
        <v>48</v>
      </c>
      <c r="H81" s="62">
        <f t="shared" si="13"/>
        <v>72</v>
      </c>
      <c r="I81" s="20"/>
      <c r="J81" s="21"/>
      <c r="K81" s="57">
        <v>72</v>
      </c>
      <c r="L81" s="23">
        <f t="shared" si="6"/>
        <v>16</v>
      </c>
      <c r="M81" s="23">
        <f t="shared" si="7"/>
        <v>16</v>
      </c>
      <c r="N81" s="23"/>
      <c r="O81" s="23">
        <v>1</v>
      </c>
      <c r="Q81" s="1">
        <f>SUM(G77:G81)/5</f>
        <v>56</v>
      </c>
    </row>
    <row r="82" spans="1:17" s="12" customFormat="1" hidden="1" outlineLevel="1">
      <c r="A82" s="95">
        <v>45178</v>
      </c>
      <c r="B82" s="25" t="s">
        <v>16</v>
      </c>
      <c r="C82" s="98"/>
      <c r="D82" s="99"/>
      <c r="E82" s="87">
        <f t="shared" si="12"/>
        <v>-32</v>
      </c>
      <c r="G82" s="79">
        <v>0</v>
      </c>
      <c r="H82" s="63"/>
      <c r="I82" s="27"/>
      <c r="J82" s="28"/>
      <c r="K82" s="43"/>
      <c r="L82" s="29">
        <f t="shared" si="6"/>
        <v>16</v>
      </c>
      <c r="M82" s="29">
        <f t="shared" si="7"/>
        <v>16</v>
      </c>
      <c r="N82" s="29"/>
      <c r="O82" s="29"/>
    </row>
    <row r="83" spans="1:17" s="12" customFormat="1" hidden="1" outlineLevel="1">
      <c r="A83" s="95">
        <v>45179</v>
      </c>
      <c r="B83" s="25" t="s">
        <v>17</v>
      </c>
      <c r="C83" s="98"/>
      <c r="D83" s="99"/>
      <c r="E83" s="87">
        <f t="shared" si="12"/>
        <v>-32</v>
      </c>
      <c r="G83" s="79">
        <v>0</v>
      </c>
      <c r="H83" s="63"/>
      <c r="I83" s="27"/>
      <c r="J83" s="28"/>
      <c r="K83" s="43"/>
      <c r="L83" s="29">
        <f t="shared" si="6"/>
        <v>16</v>
      </c>
      <c r="M83" s="29">
        <f t="shared" si="7"/>
        <v>16</v>
      </c>
      <c r="N83" s="29"/>
      <c r="O83" s="29"/>
    </row>
    <row r="84" spans="1:17" hidden="1" outlineLevel="1">
      <c r="A84" s="96">
        <v>45180</v>
      </c>
      <c r="B84" s="17" t="s">
        <v>18</v>
      </c>
      <c r="C84" s="101">
        <v>72</v>
      </c>
      <c r="D84" s="110">
        <v>72</v>
      </c>
      <c r="E84" s="22">
        <f t="shared" si="12"/>
        <v>-32</v>
      </c>
      <c r="G84" s="78">
        <v>48</v>
      </c>
      <c r="H84" s="62">
        <f>C80</f>
        <v>64</v>
      </c>
      <c r="I84" s="20"/>
      <c r="J84" s="21"/>
      <c r="K84" s="57">
        <v>64</v>
      </c>
      <c r="L84" s="23">
        <f t="shared" si="6"/>
        <v>32</v>
      </c>
      <c r="M84" s="23">
        <f t="shared" si="7"/>
        <v>32</v>
      </c>
      <c r="N84" s="23"/>
      <c r="O84" s="23">
        <v>10</v>
      </c>
    </row>
    <row r="85" spans="1:17" hidden="1" outlineLevel="1">
      <c r="A85" s="96">
        <v>45181</v>
      </c>
      <c r="B85" s="17" t="s">
        <v>19</v>
      </c>
      <c r="C85" s="101">
        <v>64</v>
      </c>
      <c r="D85" s="110">
        <f>72-24</f>
        <v>48</v>
      </c>
      <c r="E85" s="22">
        <f t="shared" si="12"/>
        <v>-48</v>
      </c>
      <c r="G85" s="78">
        <v>80</v>
      </c>
      <c r="H85" s="62">
        <f>C81</f>
        <v>72</v>
      </c>
      <c r="I85" s="20"/>
      <c r="J85" s="21"/>
      <c r="K85" s="57">
        <v>72</v>
      </c>
      <c r="L85" s="23">
        <f t="shared" si="6"/>
        <v>24</v>
      </c>
      <c r="M85" s="23">
        <f t="shared" si="7"/>
        <v>24</v>
      </c>
      <c r="N85" s="23"/>
      <c r="O85" s="23">
        <v>8</v>
      </c>
    </row>
    <row r="86" spans="1:17" hidden="1" outlineLevel="1">
      <c r="A86" s="96">
        <v>45182</v>
      </c>
      <c r="B86" s="17" t="s">
        <v>20</v>
      </c>
      <c r="C86" s="101">
        <v>64</v>
      </c>
      <c r="D86" s="110">
        <f>72+24-40</f>
        <v>56</v>
      </c>
      <c r="E86" s="22">
        <f t="shared" si="12"/>
        <v>-56</v>
      </c>
      <c r="G86" s="78">
        <v>96</v>
      </c>
      <c r="H86" s="62">
        <f>C84</f>
        <v>72</v>
      </c>
      <c r="I86" s="20"/>
      <c r="J86" s="21"/>
      <c r="K86" s="57">
        <v>72</v>
      </c>
      <c r="L86" s="23">
        <f t="shared" si="6"/>
        <v>0</v>
      </c>
      <c r="M86" s="23">
        <f t="shared" si="7"/>
        <v>0</v>
      </c>
      <c r="N86" s="23"/>
      <c r="O86" s="23">
        <v>2</v>
      </c>
    </row>
    <row r="87" spans="1:17" hidden="1" outlineLevel="1">
      <c r="A87" s="96">
        <v>45183</v>
      </c>
      <c r="B87" s="17" t="s">
        <v>14</v>
      </c>
      <c r="C87" s="101">
        <v>64</v>
      </c>
      <c r="D87" s="110">
        <f>72+40-48</f>
        <v>64</v>
      </c>
      <c r="E87" s="22">
        <f t="shared" si="12"/>
        <v>-56</v>
      </c>
      <c r="G87" s="78">
        <v>16</v>
      </c>
      <c r="H87" s="62">
        <f t="shared" ref="H87" si="14">C85</f>
        <v>64</v>
      </c>
      <c r="I87" s="20"/>
      <c r="J87" s="21"/>
      <c r="K87" s="57">
        <v>64</v>
      </c>
      <c r="L87" s="23">
        <f t="shared" si="6"/>
        <v>48</v>
      </c>
      <c r="M87" s="23">
        <f t="shared" si="7"/>
        <v>48</v>
      </c>
      <c r="N87" s="23"/>
      <c r="O87" s="23">
        <v>8</v>
      </c>
    </row>
    <row r="88" spans="1:17" hidden="1" outlineLevel="1">
      <c r="A88" s="96">
        <v>45184</v>
      </c>
      <c r="B88" s="17" t="s">
        <v>15</v>
      </c>
      <c r="C88" s="101">
        <v>64</v>
      </c>
      <c r="D88" s="110">
        <f>72+48-72</f>
        <v>48</v>
      </c>
      <c r="E88" s="22">
        <f t="shared" si="12"/>
        <v>-72</v>
      </c>
      <c r="G88" s="78">
        <v>96</v>
      </c>
      <c r="H88" s="62">
        <f>C86</f>
        <v>64</v>
      </c>
      <c r="I88" s="20"/>
      <c r="J88" s="21"/>
      <c r="K88" s="57">
        <v>64</v>
      </c>
      <c r="L88" s="23">
        <f t="shared" si="6"/>
        <v>16</v>
      </c>
      <c r="M88" s="23">
        <f t="shared" si="7"/>
        <v>16</v>
      </c>
      <c r="N88" s="23"/>
      <c r="O88" s="23">
        <v>4</v>
      </c>
      <c r="Q88" s="1">
        <f>SUM(G84:G88)/5</f>
        <v>67.2</v>
      </c>
    </row>
    <row r="89" spans="1:17" s="12" customFormat="1" hidden="1" outlineLevel="1">
      <c r="A89" s="95">
        <v>45185</v>
      </c>
      <c r="B89" s="25" t="s">
        <v>16</v>
      </c>
      <c r="C89" s="98"/>
      <c r="D89" s="99"/>
      <c r="E89" s="87">
        <f t="shared" si="12"/>
        <v>-72</v>
      </c>
      <c r="G89" s="79">
        <v>0</v>
      </c>
      <c r="H89" s="63"/>
      <c r="I89" s="27"/>
      <c r="J89" s="28"/>
      <c r="K89" s="43"/>
      <c r="L89" s="29">
        <f t="shared" si="6"/>
        <v>16</v>
      </c>
      <c r="M89" s="29">
        <f t="shared" si="7"/>
        <v>16</v>
      </c>
      <c r="N89" s="29"/>
      <c r="O89" s="29"/>
    </row>
    <row r="90" spans="1:17" s="12" customFormat="1" hidden="1" outlineLevel="1">
      <c r="A90" s="95">
        <v>45186</v>
      </c>
      <c r="B90" s="25" t="s">
        <v>17</v>
      </c>
      <c r="C90" s="98"/>
      <c r="D90" s="99"/>
      <c r="E90" s="87">
        <f t="shared" si="12"/>
        <v>-72</v>
      </c>
      <c r="G90" s="79">
        <v>0</v>
      </c>
      <c r="H90" s="63"/>
      <c r="I90" s="27"/>
      <c r="J90" s="28"/>
      <c r="K90" s="43"/>
      <c r="L90" s="29">
        <f t="shared" si="6"/>
        <v>16</v>
      </c>
      <c r="M90" s="29">
        <f t="shared" si="7"/>
        <v>16</v>
      </c>
      <c r="N90" s="29"/>
      <c r="O90" s="29"/>
    </row>
    <row r="91" spans="1:17" s="12" customFormat="1" hidden="1" outlineLevel="1">
      <c r="A91" s="95">
        <v>45187</v>
      </c>
      <c r="B91" s="25" t="s">
        <v>18</v>
      </c>
      <c r="C91" s="98"/>
      <c r="D91" s="99"/>
      <c r="E91" s="87">
        <f t="shared" si="12"/>
        <v>-72</v>
      </c>
      <c r="G91" s="79">
        <v>0</v>
      </c>
      <c r="H91" s="63"/>
      <c r="I91" s="27"/>
      <c r="J91" s="28"/>
      <c r="K91" s="43"/>
      <c r="L91" s="29">
        <f t="shared" si="6"/>
        <v>16</v>
      </c>
      <c r="M91" s="29">
        <f t="shared" si="7"/>
        <v>16</v>
      </c>
      <c r="N91" s="29"/>
      <c r="O91" s="29">
        <v>5</v>
      </c>
    </row>
    <row r="92" spans="1:17" hidden="1" outlineLevel="1">
      <c r="A92" s="96">
        <v>45188</v>
      </c>
      <c r="B92" s="17" t="s">
        <v>19</v>
      </c>
      <c r="C92" s="106">
        <v>48</v>
      </c>
      <c r="D92" s="110">
        <f>72-8</f>
        <v>64</v>
      </c>
      <c r="E92" s="22">
        <f t="shared" si="12"/>
        <v>-56</v>
      </c>
      <c r="G92" s="78">
        <v>16</v>
      </c>
      <c r="H92" s="62">
        <v>56</v>
      </c>
      <c r="I92" s="20"/>
      <c r="J92" s="21"/>
      <c r="K92" s="57">
        <v>56</v>
      </c>
      <c r="L92" s="23">
        <f t="shared" si="6"/>
        <v>56</v>
      </c>
      <c r="M92" s="23">
        <f t="shared" si="7"/>
        <v>56</v>
      </c>
      <c r="N92" s="23"/>
      <c r="O92" s="23">
        <v>8</v>
      </c>
    </row>
    <row r="93" spans="1:17" hidden="1" outlineLevel="1">
      <c r="A93" s="96">
        <v>45189</v>
      </c>
      <c r="B93" s="17" t="s">
        <v>20</v>
      </c>
      <c r="C93" s="106">
        <v>48</v>
      </c>
      <c r="D93" s="110">
        <f>72+8</f>
        <v>80</v>
      </c>
      <c r="E93" s="22">
        <f t="shared" si="12"/>
        <v>-24</v>
      </c>
      <c r="G93" s="78">
        <v>56</v>
      </c>
      <c r="H93" s="62">
        <v>64</v>
      </c>
      <c r="I93" s="20"/>
      <c r="J93" s="21"/>
      <c r="K93" s="57">
        <v>64</v>
      </c>
      <c r="L93" s="23">
        <f t="shared" si="6"/>
        <v>64</v>
      </c>
      <c r="M93" s="23">
        <f t="shared" si="7"/>
        <v>64</v>
      </c>
      <c r="N93" s="23"/>
      <c r="O93" s="23">
        <v>2</v>
      </c>
    </row>
    <row r="94" spans="1:17" hidden="1" outlineLevel="1">
      <c r="A94" s="96">
        <v>45190</v>
      </c>
      <c r="B94" s="17" t="s">
        <v>14</v>
      </c>
      <c r="C94" s="106">
        <v>56</v>
      </c>
      <c r="D94" s="110">
        <v>72</v>
      </c>
      <c r="E94" s="22">
        <f t="shared" si="12"/>
        <v>-8</v>
      </c>
      <c r="G94" s="78">
        <v>88</v>
      </c>
      <c r="H94" s="62">
        <v>72</v>
      </c>
      <c r="I94" s="20"/>
      <c r="J94" s="21"/>
      <c r="K94" s="57">
        <v>72</v>
      </c>
      <c r="L94" s="23">
        <f t="shared" si="6"/>
        <v>48</v>
      </c>
      <c r="M94" s="23">
        <f t="shared" si="7"/>
        <v>48</v>
      </c>
      <c r="N94" s="23"/>
      <c r="O94" s="23">
        <v>3</v>
      </c>
    </row>
    <row r="95" spans="1:17" hidden="1" outlineLevel="1">
      <c r="A95" s="96">
        <v>45191</v>
      </c>
      <c r="B95" s="17" t="s">
        <v>15</v>
      </c>
      <c r="C95" s="106">
        <v>56</v>
      </c>
      <c r="D95" s="110">
        <v>64</v>
      </c>
      <c r="E95" s="22">
        <f t="shared" si="12"/>
        <v>0</v>
      </c>
      <c r="G95" s="78">
        <v>40</v>
      </c>
      <c r="H95" s="62">
        <f t="shared" ref="H95" si="15">C93</f>
        <v>48</v>
      </c>
      <c r="I95" s="20"/>
      <c r="J95" s="21"/>
      <c r="K95" s="57">
        <v>48</v>
      </c>
      <c r="L95" s="23">
        <f t="shared" si="6"/>
        <v>56</v>
      </c>
      <c r="M95" s="23">
        <f t="shared" si="7"/>
        <v>56</v>
      </c>
      <c r="N95" s="23"/>
      <c r="O95" s="23">
        <v>5</v>
      </c>
      <c r="Q95" s="1">
        <f>SUM(G92:G95)/4</f>
        <v>50</v>
      </c>
    </row>
    <row r="96" spans="1:17" s="12" customFormat="1" hidden="1" outlineLevel="1">
      <c r="A96" s="95">
        <v>45192</v>
      </c>
      <c r="B96" s="25" t="s">
        <v>16</v>
      </c>
      <c r="C96" s="98"/>
      <c r="D96" s="99"/>
      <c r="E96" s="87">
        <f t="shared" si="12"/>
        <v>0</v>
      </c>
      <c r="G96" s="79">
        <v>0</v>
      </c>
      <c r="H96" s="63"/>
      <c r="I96" s="27"/>
      <c r="J96" s="28"/>
      <c r="K96" s="43"/>
      <c r="L96" s="29">
        <f t="shared" si="6"/>
        <v>56</v>
      </c>
      <c r="M96" s="29">
        <f t="shared" si="7"/>
        <v>56</v>
      </c>
      <c r="N96" s="29"/>
      <c r="O96" s="29"/>
    </row>
    <row r="97" spans="1:17" s="12" customFormat="1" hidden="1" outlineLevel="1">
      <c r="A97" s="95">
        <v>45193</v>
      </c>
      <c r="B97" s="25" t="s">
        <v>17</v>
      </c>
      <c r="C97" s="98"/>
      <c r="D97" s="99"/>
      <c r="E97" s="87">
        <f t="shared" si="12"/>
        <v>0</v>
      </c>
      <c r="G97" s="79">
        <v>0</v>
      </c>
      <c r="H97" s="63"/>
      <c r="I97" s="27"/>
      <c r="J97" s="28"/>
      <c r="K97" s="43"/>
      <c r="L97" s="29">
        <f t="shared" si="6"/>
        <v>56</v>
      </c>
      <c r="M97" s="29">
        <f t="shared" si="7"/>
        <v>56</v>
      </c>
      <c r="N97" s="29"/>
      <c r="O97" s="29"/>
    </row>
    <row r="98" spans="1:17" hidden="1" outlineLevel="1">
      <c r="A98" s="96">
        <v>45194</v>
      </c>
      <c r="B98" s="17" t="s">
        <v>18</v>
      </c>
      <c r="C98" s="101">
        <v>64</v>
      </c>
      <c r="D98" s="110">
        <v>64</v>
      </c>
      <c r="E98" s="22">
        <f t="shared" si="12"/>
        <v>0</v>
      </c>
      <c r="G98" s="78">
        <v>72</v>
      </c>
      <c r="H98" s="62">
        <f>C94</f>
        <v>56</v>
      </c>
      <c r="I98" s="20"/>
      <c r="J98" s="21"/>
      <c r="K98" s="57">
        <v>56</v>
      </c>
      <c r="L98" s="23">
        <f t="shared" si="6"/>
        <v>40</v>
      </c>
      <c r="M98" s="23">
        <f t="shared" si="7"/>
        <v>40</v>
      </c>
      <c r="N98" s="23"/>
      <c r="O98" s="23">
        <v>6</v>
      </c>
    </row>
    <row r="99" spans="1:17" hidden="1" outlineLevel="1">
      <c r="A99" s="96">
        <v>45195</v>
      </c>
      <c r="B99" s="17" t="s">
        <v>19</v>
      </c>
      <c r="C99" s="101">
        <v>56</v>
      </c>
      <c r="D99" s="110">
        <f>56-8</f>
        <v>48</v>
      </c>
      <c r="E99" s="22">
        <f t="shared" si="12"/>
        <v>-8</v>
      </c>
      <c r="G99" s="78">
        <v>48</v>
      </c>
      <c r="H99" s="62">
        <f>C95</f>
        <v>56</v>
      </c>
      <c r="I99" s="20"/>
      <c r="J99" s="21"/>
      <c r="K99" s="57">
        <v>56</v>
      </c>
      <c r="L99" s="23">
        <f t="shared" si="6"/>
        <v>48</v>
      </c>
      <c r="M99" s="23">
        <f t="shared" si="7"/>
        <v>48</v>
      </c>
      <c r="N99" s="23"/>
      <c r="O99" s="23">
        <v>6</v>
      </c>
    </row>
    <row r="100" spans="1:17" hidden="1" outlineLevel="1">
      <c r="A100" s="96">
        <v>45196</v>
      </c>
      <c r="B100" s="17" t="s">
        <v>20</v>
      </c>
      <c r="C100" s="101">
        <v>48</v>
      </c>
      <c r="D100" s="110">
        <f>48+8-8</f>
        <v>48</v>
      </c>
      <c r="E100" s="22">
        <f t="shared" si="12"/>
        <v>-8</v>
      </c>
      <c r="G100" s="78">
        <v>48</v>
      </c>
      <c r="H100" s="62">
        <f>C98</f>
        <v>64</v>
      </c>
      <c r="I100" s="20"/>
      <c r="J100" s="21"/>
      <c r="K100" s="57">
        <v>64</v>
      </c>
      <c r="L100" s="23">
        <f t="shared" ref="L100:L103" si="16">L99-G100+K100</f>
        <v>64</v>
      </c>
      <c r="M100" s="23">
        <f t="shared" ref="M100:M103" si="17">M99-G100+H100</f>
        <v>64</v>
      </c>
      <c r="N100" s="23"/>
      <c r="O100" s="23">
        <v>0</v>
      </c>
    </row>
    <row r="101" spans="1:17" hidden="1" outlineLevel="1">
      <c r="A101" s="96">
        <v>45197</v>
      </c>
      <c r="B101" s="17" t="s">
        <v>14</v>
      </c>
      <c r="C101" s="101">
        <v>48</v>
      </c>
      <c r="D101" s="110">
        <f>48+8-8</f>
        <v>48</v>
      </c>
      <c r="E101" s="22">
        <f t="shared" si="12"/>
        <v>-8</v>
      </c>
      <c r="G101" s="78">
        <v>80</v>
      </c>
      <c r="H101" s="62">
        <f t="shared" ref="H101" si="18">C99</f>
        <v>56</v>
      </c>
      <c r="I101" s="20"/>
      <c r="J101" s="21"/>
      <c r="K101" s="57">
        <v>56</v>
      </c>
      <c r="L101" s="23">
        <f t="shared" si="16"/>
        <v>40</v>
      </c>
      <c r="M101" s="23">
        <f t="shared" si="17"/>
        <v>40</v>
      </c>
      <c r="N101" s="23"/>
      <c r="O101" s="23">
        <v>7</v>
      </c>
    </row>
    <row r="102" spans="1:17" hidden="1" outlineLevel="1">
      <c r="A102" s="96">
        <v>45198</v>
      </c>
      <c r="B102" s="17" t="s">
        <v>15</v>
      </c>
      <c r="C102" s="101">
        <v>48</v>
      </c>
      <c r="D102" s="110">
        <f>48+8-16</f>
        <v>40</v>
      </c>
      <c r="E102" s="22">
        <f t="shared" si="12"/>
        <v>-16</v>
      </c>
      <c r="G102" s="78">
        <v>32</v>
      </c>
      <c r="H102" s="62">
        <f>C100</f>
        <v>48</v>
      </c>
      <c r="I102" s="20"/>
      <c r="J102" s="21"/>
      <c r="K102" s="57">
        <v>48</v>
      </c>
      <c r="L102" s="23">
        <f t="shared" si="16"/>
        <v>56</v>
      </c>
      <c r="M102" s="23">
        <f>M101-G102+H102</f>
        <v>56</v>
      </c>
      <c r="N102" s="23"/>
      <c r="O102" s="23">
        <v>7</v>
      </c>
      <c r="Q102" s="1">
        <f>AVERAGE(G98:G102)</f>
        <v>56</v>
      </c>
    </row>
    <row r="103" spans="1:17" s="12" customFormat="1" hidden="1" outlineLevel="1">
      <c r="A103" s="95">
        <v>45199</v>
      </c>
      <c r="B103" s="25" t="s">
        <v>16</v>
      </c>
      <c r="C103" s="98"/>
      <c r="D103" s="99"/>
      <c r="E103" s="87">
        <f t="shared" si="12"/>
        <v>-16</v>
      </c>
      <c r="G103" s="79">
        <v>0</v>
      </c>
      <c r="H103" s="63"/>
      <c r="I103" s="27"/>
      <c r="J103" s="28"/>
      <c r="K103" s="43"/>
      <c r="L103" s="29">
        <f t="shared" si="16"/>
        <v>56</v>
      </c>
      <c r="M103" s="29">
        <f t="shared" si="17"/>
        <v>56</v>
      </c>
      <c r="N103" s="29"/>
      <c r="O103" s="29"/>
    </row>
    <row r="104" spans="1:17" s="12" customFormat="1" hidden="1" outlineLevel="1">
      <c r="A104" s="95">
        <v>45200</v>
      </c>
      <c r="B104" s="25" t="s">
        <v>17</v>
      </c>
      <c r="C104" s="69"/>
      <c r="D104" s="99"/>
      <c r="E104" s="87">
        <f t="shared" ref="E104:E137" si="19">E103-C104+D104</f>
        <v>-16</v>
      </c>
      <c r="G104" s="79">
        <v>0</v>
      </c>
      <c r="H104" s="63"/>
      <c r="I104" s="27"/>
      <c r="J104" s="28"/>
      <c r="K104" s="43"/>
      <c r="L104" s="29">
        <f t="shared" ref="L104:L164" si="20">L103-G104+K104</f>
        <v>56</v>
      </c>
      <c r="M104" s="29">
        <f t="shared" ref="M104:M162" si="21">M103-G104+H104</f>
        <v>56</v>
      </c>
      <c r="N104" s="29"/>
      <c r="O104" s="29"/>
    </row>
    <row r="105" spans="1:17" hidden="1" outlineLevel="1">
      <c r="A105" s="96">
        <v>45201</v>
      </c>
      <c r="B105" s="17" t="s">
        <v>18</v>
      </c>
      <c r="C105" s="101">
        <v>72</v>
      </c>
      <c r="D105" s="110">
        <v>72</v>
      </c>
      <c r="E105" s="22">
        <f t="shared" si="19"/>
        <v>-16</v>
      </c>
      <c r="G105" s="78">
        <v>32</v>
      </c>
      <c r="H105" s="62">
        <f>C101</f>
        <v>48</v>
      </c>
      <c r="I105" s="20"/>
      <c r="J105" s="21"/>
      <c r="K105" s="57">
        <v>48</v>
      </c>
      <c r="L105" s="23">
        <f t="shared" si="20"/>
        <v>72</v>
      </c>
      <c r="M105" s="23">
        <f t="shared" si="21"/>
        <v>72</v>
      </c>
      <c r="N105" s="23"/>
      <c r="O105" s="23">
        <v>4</v>
      </c>
    </row>
    <row r="106" spans="1:17" hidden="1" outlineLevel="1">
      <c r="A106" s="96">
        <v>45202</v>
      </c>
      <c r="B106" s="17" t="s">
        <v>19</v>
      </c>
      <c r="C106" s="101">
        <v>64</v>
      </c>
      <c r="D106" s="110">
        <f>64-8</f>
        <v>56</v>
      </c>
      <c r="E106" s="22">
        <f t="shared" si="19"/>
        <v>-24</v>
      </c>
      <c r="G106" s="78">
        <v>32</v>
      </c>
      <c r="H106" s="62">
        <f>C102</f>
        <v>48</v>
      </c>
      <c r="I106" s="20"/>
      <c r="J106" s="21"/>
      <c r="K106" s="57">
        <v>48</v>
      </c>
      <c r="L106" s="23">
        <f t="shared" si="20"/>
        <v>88</v>
      </c>
      <c r="M106" s="23">
        <f t="shared" si="21"/>
        <v>88</v>
      </c>
      <c r="N106" s="23"/>
      <c r="O106" s="23">
        <v>2</v>
      </c>
    </row>
    <row r="107" spans="1:17" hidden="1" outlineLevel="1">
      <c r="A107" s="96">
        <v>45203</v>
      </c>
      <c r="B107" s="17" t="s">
        <v>20</v>
      </c>
      <c r="C107" s="101">
        <v>64</v>
      </c>
      <c r="D107" s="110">
        <f>64+8-8</f>
        <v>64</v>
      </c>
      <c r="E107" s="22">
        <f t="shared" si="19"/>
        <v>-24</v>
      </c>
      <c r="G107" s="78">
        <v>128</v>
      </c>
      <c r="H107" s="62">
        <f>C105</f>
        <v>72</v>
      </c>
      <c r="I107" s="20"/>
      <c r="J107" s="21"/>
      <c r="K107" s="57">
        <v>72</v>
      </c>
      <c r="L107" s="23">
        <f t="shared" si="20"/>
        <v>32</v>
      </c>
      <c r="M107" s="23">
        <f>M106-G107+H107</f>
        <v>32</v>
      </c>
      <c r="N107" s="23"/>
      <c r="O107" s="23">
        <v>8</v>
      </c>
    </row>
    <row r="108" spans="1:17" hidden="1" outlineLevel="1">
      <c r="A108" s="96">
        <v>45204</v>
      </c>
      <c r="B108" s="17" t="s">
        <v>14</v>
      </c>
      <c r="C108" s="101">
        <v>56</v>
      </c>
      <c r="D108" s="110">
        <f>56+8-32</f>
        <v>32</v>
      </c>
      <c r="E108" s="22">
        <f t="shared" si="19"/>
        <v>-48</v>
      </c>
      <c r="G108" s="78">
        <v>56</v>
      </c>
      <c r="H108" s="62">
        <f>C106+8</f>
        <v>72</v>
      </c>
      <c r="I108" s="20"/>
      <c r="J108" s="21"/>
      <c r="K108" s="57">
        <f>64+8</f>
        <v>72</v>
      </c>
      <c r="L108" s="23">
        <f t="shared" si="20"/>
        <v>48</v>
      </c>
      <c r="M108" s="23">
        <f t="shared" si="21"/>
        <v>48</v>
      </c>
      <c r="N108" s="23"/>
      <c r="O108" s="23">
        <v>4</v>
      </c>
    </row>
    <row r="109" spans="1:17" hidden="1" outlineLevel="1">
      <c r="A109" s="96">
        <v>45205</v>
      </c>
      <c r="B109" s="17" t="s">
        <v>15</v>
      </c>
      <c r="C109" s="101">
        <v>56</v>
      </c>
      <c r="D109" s="110">
        <f>56+32-8</f>
        <v>80</v>
      </c>
      <c r="E109" s="22">
        <f t="shared" si="19"/>
        <v>-24</v>
      </c>
      <c r="G109" s="78">
        <v>32</v>
      </c>
      <c r="H109" s="62">
        <f>C107-16</f>
        <v>48</v>
      </c>
      <c r="I109" s="20"/>
      <c r="J109" s="21"/>
      <c r="K109" s="57">
        <v>48</v>
      </c>
      <c r="L109" s="23">
        <f t="shared" si="20"/>
        <v>64</v>
      </c>
      <c r="M109" s="23">
        <f t="shared" si="21"/>
        <v>64</v>
      </c>
      <c r="N109" s="23"/>
      <c r="O109" s="23">
        <v>4</v>
      </c>
      <c r="Q109" s="1">
        <f>AVERAGE(G105:G109)</f>
        <v>56</v>
      </c>
    </row>
    <row r="110" spans="1:17" s="12" customFormat="1" hidden="1" outlineLevel="1">
      <c r="A110" s="95">
        <v>45206</v>
      </c>
      <c r="B110" s="25" t="s">
        <v>16</v>
      </c>
      <c r="C110" s="69"/>
      <c r="D110" s="99"/>
      <c r="E110" s="87">
        <f t="shared" si="19"/>
        <v>-24</v>
      </c>
      <c r="G110" s="79">
        <v>0</v>
      </c>
      <c r="H110" s="63"/>
      <c r="I110" s="27"/>
      <c r="J110" s="28"/>
      <c r="K110" s="43"/>
      <c r="L110" s="29">
        <f t="shared" si="20"/>
        <v>64</v>
      </c>
      <c r="M110" s="29">
        <f t="shared" si="21"/>
        <v>64</v>
      </c>
      <c r="N110" s="29"/>
      <c r="O110" s="29"/>
    </row>
    <row r="111" spans="1:17" s="12" customFormat="1" hidden="1" outlineLevel="1">
      <c r="A111" s="95">
        <v>45207</v>
      </c>
      <c r="B111" s="25" t="s">
        <v>17</v>
      </c>
      <c r="C111" s="69"/>
      <c r="D111" s="99"/>
      <c r="E111" s="87">
        <f t="shared" si="19"/>
        <v>-24</v>
      </c>
      <c r="G111" s="79">
        <v>0</v>
      </c>
      <c r="H111" s="63"/>
      <c r="I111" s="27"/>
      <c r="J111" s="28"/>
      <c r="K111" s="43"/>
      <c r="L111" s="29">
        <f t="shared" si="20"/>
        <v>64</v>
      </c>
      <c r="M111" s="29">
        <f t="shared" si="21"/>
        <v>64</v>
      </c>
      <c r="N111" s="29"/>
      <c r="O111" s="29"/>
    </row>
    <row r="112" spans="1:17" s="12" customFormat="1" hidden="1" outlineLevel="1">
      <c r="A112" s="95">
        <v>45208</v>
      </c>
      <c r="B112" s="25" t="s">
        <v>18</v>
      </c>
      <c r="C112" s="69"/>
      <c r="D112" s="99"/>
      <c r="E112" s="87">
        <f t="shared" si="19"/>
        <v>-24</v>
      </c>
      <c r="G112" s="79">
        <v>0</v>
      </c>
      <c r="H112" s="63"/>
      <c r="I112" s="27"/>
      <c r="J112" s="28"/>
      <c r="K112" s="43"/>
      <c r="L112" s="29">
        <f t="shared" si="20"/>
        <v>64</v>
      </c>
      <c r="M112" s="29">
        <f t="shared" si="21"/>
        <v>64</v>
      </c>
      <c r="N112" s="29"/>
      <c r="O112" s="29"/>
    </row>
    <row r="113" spans="1:17" hidden="1" outlineLevel="1">
      <c r="A113" s="96">
        <v>45209</v>
      </c>
      <c r="B113" s="17" t="s">
        <v>19</v>
      </c>
      <c r="C113" s="101">
        <v>48</v>
      </c>
      <c r="D113" s="110">
        <f>64-24</f>
        <v>40</v>
      </c>
      <c r="E113" s="22">
        <f t="shared" si="19"/>
        <v>-32</v>
      </c>
      <c r="G113" s="78">
        <v>32</v>
      </c>
      <c r="H113" s="62">
        <f>C108</f>
        <v>56</v>
      </c>
      <c r="I113" s="20"/>
      <c r="J113" s="21"/>
      <c r="K113" s="57">
        <v>56</v>
      </c>
      <c r="L113" s="23">
        <f t="shared" si="20"/>
        <v>88</v>
      </c>
      <c r="M113" s="23">
        <f t="shared" si="21"/>
        <v>88</v>
      </c>
      <c r="N113" s="23"/>
      <c r="O113" s="23">
        <v>4</v>
      </c>
    </row>
    <row r="114" spans="1:17" hidden="1" outlineLevel="1">
      <c r="A114" s="96">
        <v>45210</v>
      </c>
      <c r="B114" s="17" t="s">
        <v>20</v>
      </c>
      <c r="C114" s="101">
        <v>48</v>
      </c>
      <c r="D114" s="110">
        <f>56+24-28</f>
        <v>52</v>
      </c>
      <c r="E114" s="22">
        <f t="shared" si="19"/>
        <v>-28</v>
      </c>
      <c r="G114" s="78">
        <v>80</v>
      </c>
      <c r="H114" s="62">
        <f>C109</f>
        <v>56</v>
      </c>
      <c r="I114" s="20"/>
      <c r="J114" s="21"/>
      <c r="K114" s="57">
        <v>56</v>
      </c>
      <c r="L114" s="23">
        <f t="shared" si="20"/>
        <v>64</v>
      </c>
      <c r="M114" s="23">
        <f t="shared" si="21"/>
        <v>64</v>
      </c>
      <c r="N114" s="23"/>
      <c r="O114" s="23">
        <v>15</v>
      </c>
    </row>
    <row r="115" spans="1:17" hidden="1" outlineLevel="1">
      <c r="A115" s="96">
        <v>45211</v>
      </c>
      <c r="B115" s="17" t="s">
        <v>14</v>
      </c>
      <c r="C115" s="101">
        <v>56</v>
      </c>
      <c r="D115" s="110">
        <f>56+28-24</f>
        <v>60</v>
      </c>
      <c r="E115" s="22">
        <f t="shared" si="19"/>
        <v>-24</v>
      </c>
      <c r="G115" s="78">
        <v>56</v>
      </c>
      <c r="H115" s="62">
        <f t="shared" ref="H115" si="22">C113</f>
        <v>48</v>
      </c>
      <c r="I115" s="20"/>
      <c r="J115" s="21"/>
      <c r="K115" s="57">
        <v>48</v>
      </c>
      <c r="L115" s="23">
        <f t="shared" si="20"/>
        <v>56</v>
      </c>
      <c r="M115" s="23">
        <f t="shared" si="21"/>
        <v>56</v>
      </c>
      <c r="N115" s="23"/>
      <c r="O115" s="23">
        <v>3</v>
      </c>
    </row>
    <row r="116" spans="1:17" hidden="1" outlineLevel="1">
      <c r="A116" s="96">
        <v>45212</v>
      </c>
      <c r="B116" s="17" t="s">
        <v>15</v>
      </c>
      <c r="C116" s="101">
        <v>56</v>
      </c>
      <c r="D116" s="110">
        <f>56+24</f>
        <v>80</v>
      </c>
      <c r="E116" s="22">
        <f t="shared" si="19"/>
        <v>0</v>
      </c>
      <c r="G116" s="78">
        <v>72</v>
      </c>
      <c r="H116" s="62">
        <f>C114</f>
        <v>48</v>
      </c>
      <c r="I116" s="20"/>
      <c r="J116" s="21"/>
      <c r="K116" s="57">
        <v>48</v>
      </c>
      <c r="L116" s="23">
        <f t="shared" si="20"/>
        <v>32</v>
      </c>
      <c r="M116" s="23">
        <f t="shared" si="21"/>
        <v>32</v>
      </c>
      <c r="N116" s="23"/>
      <c r="O116" s="23">
        <v>2</v>
      </c>
      <c r="Q116" s="1">
        <f>AVERAGE(G113:G116)</f>
        <v>60</v>
      </c>
    </row>
    <row r="117" spans="1:17" s="12" customFormat="1" hidden="1" outlineLevel="1">
      <c r="A117" s="95">
        <v>45213</v>
      </c>
      <c r="B117" s="25" t="s">
        <v>16</v>
      </c>
      <c r="C117" s="69"/>
      <c r="D117" s="99"/>
      <c r="E117" s="87">
        <f t="shared" si="19"/>
        <v>0</v>
      </c>
      <c r="G117" s="79">
        <v>0</v>
      </c>
      <c r="H117" s="63"/>
      <c r="I117" s="27"/>
      <c r="J117" s="28"/>
      <c r="K117" s="43"/>
      <c r="L117" s="29">
        <f t="shared" si="20"/>
        <v>32</v>
      </c>
      <c r="M117" s="29">
        <f t="shared" si="21"/>
        <v>32</v>
      </c>
      <c r="N117" s="29"/>
      <c r="O117" s="29"/>
    </row>
    <row r="118" spans="1:17" s="12" customFormat="1" hidden="1" outlineLevel="1">
      <c r="A118" s="95">
        <v>45214</v>
      </c>
      <c r="B118" s="25" t="s">
        <v>17</v>
      </c>
      <c r="C118" s="69"/>
      <c r="D118" s="99"/>
      <c r="E118" s="87">
        <f t="shared" si="19"/>
        <v>0</v>
      </c>
      <c r="G118" s="79">
        <v>0</v>
      </c>
      <c r="H118" s="63"/>
      <c r="I118" s="27"/>
      <c r="J118" s="28"/>
      <c r="K118" s="43"/>
      <c r="L118" s="29">
        <f t="shared" si="20"/>
        <v>32</v>
      </c>
      <c r="M118" s="29">
        <f t="shared" si="21"/>
        <v>32</v>
      </c>
      <c r="N118" s="29"/>
      <c r="O118" s="29"/>
    </row>
    <row r="119" spans="1:17" hidden="1" outlineLevel="1">
      <c r="A119" s="96">
        <v>45215</v>
      </c>
      <c r="B119" s="17" t="s">
        <v>18</v>
      </c>
      <c r="C119" s="101">
        <v>56</v>
      </c>
      <c r="D119" s="110">
        <v>56</v>
      </c>
      <c r="E119" s="22">
        <f t="shared" si="19"/>
        <v>0</v>
      </c>
      <c r="G119" s="78">
        <v>56</v>
      </c>
      <c r="H119" s="62">
        <f>C115</f>
        <v>56</v>
      </c>
      <c r="I119" s="20"/>
      <c r="J119" s="21"/>
      <c r="K119" s="57">
        <v>56</v>
      </c>
      <c r="L119" s="23">
        <f t="shared" si="20"/>
        <v>32</v>
      </c>
      <c r="M119" s="23">
        <f t="shared" si="21"/>
        <v>32</v>
      </c>
      <c r="N119" s="23"/>
      <c r="O119" s="23">
        <v>3</v>
      </c>
    </row>
    <row r="120" spans="1:17" hidden="1" outlineLevel="1">
      <c r="A120" s="96">
        <v>45216</v>
      </c>
      <c r="B120" s="17" t="s">
        <v>19</v>
      </c>
      <c r="C120" s="101">
        <v>56</v>
      </c>
      <c r="D120" s="110">
        <v>56</v>
      </c>
      <c r="E120" s="22">
        <f t="shared" si="19"/>
        <v>0</v>
      </c>
      <c r="G120" s="78">
        <v>56</v>
      </c>
      <c r="H120" s="62">
        <f>C116</f>
        <v>56</v>
      </c>
      <c r="I120" s="20"/>
      <c r="J120" s="21"/>
      <c r="K120" s="57">
        <v>56</v>
      </c>
      <c r="L120" s="23">
        <f t="shared" si="20"/>
        <v>32</v>
      </c>
      <c r="M120" s="23">
        <f t="shared" si="21"/>
        <v>32</v>
      </c>
      <c r="N120" s="23"/>
      <c r="O120" s="23">
        <v>6</v>
      </c>
    </row>
    <row r="121" spans="1:17" hidden="1" outlineLevel="1">
      <c r="A121" s="96">
        <v>45217</v>
      </c>
      <c r="B121" s="17" t="s">
        <v>20</v>
      </c>
      <c r="C121" s="162">
        <v>0</v>
      </c>
      <c r="D121" s="110">
        <v>0</v>
      </c>
      <c r="E121" s="22">
        <f t="shared" si="19"/>
        <v>0</v>
      </c>
      <c r="G121" s="78">
        <v>64</v>
      </c>
      <c r="H121" s="62">
        <f>C119</f>
        <v>56</v>
      </c>
      <c r="I121" s="20"/>
      <c r="J121" s="21"/>
      <c r="K121" s="57">
        <v>56</v>
      </c>
      <c r="L121" s="23">
        <f t="shared" si="20"/>
        <v>24</v>
      </c>
      <c r="M121" s="23">
        <f t="shared" si="21"/>
        <v>24</v>
      </c>
      <c r="N121" s="23"/>
      <c r="O121" s="23">
        <v>2</v>
      </c>
    </row>
    <row r="122" spans="1:17" hidden="1" outlineLevel="1">
      <c r="A122" s="96">
        <v>45218</v>
      </c>
      <c r="B122" s="17" t="s">
        <v>14</v>
      </c>
      <c r="C122" s="162">
        <v>0</v>
      </c>
      <c r="D122" s="110">
        <v>0</v>
      </c>
      <c r="E122" s="22">
        <f t="shared" si="19"/>
        <v>0</v>
      </c>
      <c r="G122" s="78">
        <v>96</v>
      </c>
      <c r="H122" s="160">
        <v>0</v>
      </c>
      <c r="I122" s="20"/>
      <c r="J122" s="21"/>
      <c r="K122" s="164">
        <v>0</v>
      </c>
      <c r="L122" s="23">
        <f t="shared" si="20"/>
        <v>-72</v>
      </c>
      <c r="M122" s="23">
        <f t="shared" si="21"/>
        <v>-72</v>
      </c>
      <c r="N122" s="23"/>
      <c r="O122" s="23">
        <v>0</v>
      </c>
    </row>
    <row r="123" spans="1:17" hidden="1" outlineLevel="1">
      <c r="A123" s="96">
        <v>45219</v>
      </c>
      <c r="B123" s="17" t="s">
        <v>15</v>
      </c>
      <c r="C123" s="137">
        <v>58</v>
      </c>
      <c r="D123" s="110">
        <v>80</v>
      </c>
      <c r="E123" s="22">
        <f t="shared" si="19"/>
        <v>22</v>
      </c>
      <c r="G123" s="78">
        <v>0</v>
      </c>
      <c r="H123" s="160">
        <f>C121</f>
        <v>0</v>
      </c>
      <c r="I123" s="20"/>
      <c r="J123" s="21"/>
      <c r="K123" s="164">
        <v>0</v>
      </c>
      <c r="L123" s="23">
        <f t="shared" si="20"/>
        <v>-72</v>
      </c>
      <c r="M123" s="23">
        <f t="shared" si="21"/>
        <v>-72</v>
      </c>
      <c r="N123" s="23"/>
      <c r="O123" s="23">
        <v>0</v>
      </c>
      <c r="Q123" s="1">
        <f>AVERAGE(G119:G123)</f>
        <v>54.4</v>
      </c>
    </row>
    <row r="124" spans="1:17" s="12" customFormat="1" hidden="1" outlineLevel="1">
      <c r="A124" s="95">
        <v>45220</v>
      </c>
      <c r="B124" s="25" t="s">
        <v>16</v>
      </c>
      <c r="C124" s="69"/>
      <c r="D124" s="99"/>
      <c r="E124" s="87">
        <f t="shared" si="19"/>
        <v>22</v>
      </c>
      <c r="G124" s="79">
        <v>0</v>
      </c>
      <c r="H124" s="63"/>
      <c r="I124" s="27"/>
      <c r="J124" s="28"/>
      <c r="K124" s="43"/>
      <c r="L124" s="29">
        <f t="shared" si="20"/>
        <v>-72</v>
      </c>
      <c r="M124" s="29">
        <f t="shared" si="21"/>
        <v>-72</v>
      </c>
      <c r="N124" s="29"/>
      <c r="O124" s="29"/>
    </row>
    <row r="125" spans="1:17" s="12" customFormat="1" hidden="1" outlineLevel="1">
      <c r="A125" s="95">
        <v>45221</v>
      </c>
      <c r="B125" s="25" t="s">
        <v>17</v>
      </c>
      <c r="C125" s="69"/>
      <c r="D125" s="99"/>
      <c r="E125" s="87">
        <f t="shared" si="19"/>
        <v>22</v>
      </c>
      <c r="G125" s="79">
        <v>0</v>
      </c>
      <c r="H125" s="63"/>
      <c r="I125" s="27"/>
      <c r="J125" s="28"/>
      <c r="K125" s="43"/>
      <c r="L125" s="29">
        <f t="shared" si="20"/>
        <v>-72</v>
      </c>
      <c r="M125" s="29">
        <f t="shared" si="21"/>
        <v>-72</v>
      </c>
      <c r="N125" s="29"/>
      <c r="O125" s="29"/>
    </row>
    <row r="126" spans="1:17" hidden="1" outlineLevel="1">
      <c r="A126" s="96">
        <v>45222</v>
      </c>
      <c r="B126" s="17" t="s">
        <v>18</v>
      </c>
      <c r="C126" s="162">
        <v>0</v>
      </c>
      <c r="D126" s="110">
        <v>0</v>
      </c>
      <c r="E126" s="22">
        <f t="shared" si="19"/>
        <v>22</v>
      </c>
      <c r="G126" s="78">
        <v>88</v>
      </c>
      <c r="H126" s="160">
        <v>0</v>
      </c>
      <c r="I126" s="20"/>
      <c r="J126" s="21"/>
      <c r="K126" s="164">
        <v>0</v>
      </c>
      <c r="L126" s="23">
        <f t="shared" si="20"/>
        <v>-160</v>
      </c>
      <c r="M126" s="23">
        <f t="shared" si="21"/>
        <v>-160</v>
      </c>
      <c r="N126" s="23"/>
      <c r="O126" s="23">
        <v>0</v>
      </c>
    </row>
    <row r="127" spans="1:17" hidden="1" outlineLevel="1">
      <c r="A127" s="96">
        <v>45223</v>
      </c>
      <c r="B127" s="17" t="s">
        <v>19</v>
      </c>
      <c r="C127" s="162">
        <v>0</v>
      </c>
      <c r="D127" s="110">
        <v>0</v>
      </c>
      <c r="E127" s="22">
        <f t="shared" si="19"/>
        <v>22</v>
      </c>
      <c r="G127" s="78">
        <v>48</v>
      </c>
      <c r="H127" s="160">
        <v>0</v>
      </c>
      <c r="I127" s="20"/>
      <c r="J127" s="21"/>
      <c r="K127" s="164">
        <v>0</v>
      </c>
      <c r="L127" s="23">
        <f t="shared" si="20"/>
        <v>-208</v>
      </c>
      <c r="M127" s="23">
        <f t="shared" si="21"/>
        <v>-208</v>
      </c>
      <c r="N127" s="23"/>
      <c r="O127" s="23">
        <v>0</v>
      </c>
    </row>
    <row r="128" spans="1:17" hidden="1" outlineLevel="1">
      <c r="A128" s="96">
        <v>45224</v>
      </c>
      <c r="B128" s="17" t="s">
        <v>20</v>
      </c>
      <c r="C128" s="162">
        <v>0</v>
      </c>
      <c r="D128" s="110">
        <v>2</v>
      </c>
      <c r="E128" s="22">
        <f t="shared" si="19"/>
        <v>24</v>
      </c>
      <c r="G128" s="78">
        <v>48</v>
      </c>
      <c r="H128" s="160">
        <v>0</v>
      </c>
      <c r="I128" s="20"/>
      <c r="J128" s="21"/>
      <c r="K128" s="164">
        <v>0</v>
      </c>
      <c r="L128" s="23">
        <f t="shared" si="20"/>
        <v>-256</v>
      </c>
      <c r="M128" s="23">
        <f t="shared" si="21"/>
        <v>-256</v>
      </c>
      <c r="N128" s="23"/>
      <c r="O128" s="23">
        <v>0</v>
      </c>
    </row>
    <row r="129" spans="1:24" hidden="1" outlineLevel="1">
      <c r="A129" s="96">
        <v>45225</v>
      </c>
      <c r="B129" s="17" t="s">
        <v>14</v>
      </c>
      <c r="C129" s="101">
        <v>64</v>
      </c>
      <c r="D129" s="110">
        <v>64</v>
      </c>
      <c r="E129" s="22">
        <f t="shared" si="19"/>
        <v>24</v>
      </c>
      <c r="G129" s="78">
        <v>0</v>
      </c>
      <c r="H129" s="62">
        <f>C120+I129</f>
        <v>56</v>
      </c>
      <c r="I129" s="20"/>
      <c r="J129" s="21"/>
      <c r="K129" s="57">
        <v>56</v>
      </c>
      <c r="L129" s="23">
        <f t="shared" si="20"/>
        <v>-200</v>
      </c>
      <c r="M129" s="23">
        <f t="shared" si="21"/>
        <v>-200</v>
      </c>
      <c r="N129" s="23"/>
      <c r="O129" s="23">
        <v>0</v>
      </c>
    </row>
    <row r="130" spans="1:24" hidden="1" outlineLevel="1">
      <c r="A130" s="96">
        <v>45226</v>
      </c>
      <c r="B130" s="17" t="s">
        <v>15</v>
      </c>
      <c r="C130" s="101">
        <v>64</v>
      </c>
      <c r="D130" s="110">
        <f>64-52</f>
        <v>12</v>
      </c>
      <c r="E130" s="22">
        <f t="shared" si="19"/>
        <v>-28</v>
      </c>
      <c r="G130" s="78">
        <v>2</v>
      </c>
      <c r="H130" s="62">
        <f>C123+I130</f>
        <v>58</v>
      </c>
      <c r="I130" s="20"/>
      <c r="J130" s="21"/>
      <c r="K130" s="57">
        <v>58</v>
      </c>
      <c r="L130" s="23">
        <f t="shared" si="20"/>
        <v>-144</v>
      </c>
      <c r="M130" s="23">
        <f t="shared" si="21"/>
        <v>-144</v>
      </c>
      <c r="N130" s="23"/>
      <c r="O130" s="23">
        <v>1</v>
      </c>
      <c r="Q130" s="1">
        <f>AVERAGE(G126:G130)</f>
        <v>37.200000000000003</v>
      </c>
    </row>
    <row r="131" spans="1:24" s="12" customFormat="1" hidden="1" outlineLevel="1">
      <c r="A131" s="95">
        <v>45227</v>
      </c>
      <c r="B131" s="25" t="s">
        <v>16</v>
      </c>
      <c r="C131" s="69"/>
      <c r="D131" s="99"/>
      <c r="E131" s="87">
        <f t="shared" si="19"/>
        <v>-28</v>
      </c>
      <c r="G131" s="79">
        <v>0</v>
      </c>
      <c r="H131" s="63"/>
      <c r="I131" s="27"/>
      <c r="J131" s="28"/>
      <c r="K131" s="43"/>
      <c r="L131" s="29">
        <f t="shared" si="20"/>
        <v>-144</v>
      </c>
      <c r="M131" s="29">
        <f t="shared" si="21"/>
        <v>-144</v>
      </c>
      <c r="N131" s="29"/>
      <c r="O131" s="29"/>
    </row>
    <row r="132" spans="1:24" s="12" customFormat="1" hidden="1" outlineLevel="1">
      <c r="A132" s="95">
        <v>45228</v>
      </c>
      <c r="B132" s="25" t="s">
        <v>17</v>
      </c>
      <c r="C132" s="69"/>
      <c r="D132" s="99"/>
      <c r="E132" s="87">
        <f t="shared" si="19"/>
        <v>-28</v>
      </c>
      <c r="G132" s="79">
        <v>0</v>
      </c>
      <c r="H132" s="63"/>
      <c r="I132" s="27"/>
      <c r="J132" s="28"/>
      <c r="K132" s="43"/>
      <c r="L132" s="29">
        <f t="shared" si="20"/>
        <v>-144</v>
      </c>
      <c r="M132" s="29">
        <f t="shared" si="21"/>
        <v>-144</v>
      </c>
      <c r="N132" s="29"/>
      <c r="O132" s="29"/>
    </row>
    <row r="133" spans="1:24" hidden="1" outlineLevel="1">
      <c r="A133" s="96">
        <v>45229</v>
      </c>
      <c r="B133" s="17" t="s">
        <v>18</v>
      </c>
      <c r="C133" s="162">
        <v>0</v>
      </c>
      <c r="D133" s="110">
        <v>36</v>
      </c>
      <c r="E133" s="22">
        <f t="shared" si="19"/>
        <v>8</v>
      </c>
      <c r="G133" s="78">
        <v>0</v>
      </c>
      <c r="H133" s="62">
        <f>C129+I133</f>
        <v>64</v>
      </c>
      <c r="I133" s="20"/>
      <c r="J133" s="21"/>
      <c r="K133" s="57">
        <v>64</v>
      </c>
      <c r="L133" s="23">
        <f t="shared" si="20"/>
        <v>-80</v>
      </c>
      <c r="M133" s="23">
        <f t="shared" si="21"/>
        <v>-80</v>
      </c>
      <c r="N133" s="23"/>
      <c r="O133" s="23">
        <v>4</v>
      </c>
    </row>
    <row r="134" spans="1:24" hidden="1" outlineLevel="1">
      <c r="A134" s="96">
        <v>45230</v>
      </c>
      <c r="B134" s="17" t="s">
        <v>19</v>
      </c>
      <c r="C134" s="162">
        <v>0</v>
      </c>
      <c r="D134" s="110">
        <v>0</v>
      </c>
      <c r="E134" s="22">
        <f t="shared" si="19"/>
        <v>8</v>
      </c>
      <c r="G134" s="78">
        <v>0</v>
      </c>
      <c r="H134" s="62">
        <v>56</v>
      </c>
      <c r="I134" s="20"/>
      <c r="J134" s="21"/>
      <c r="K134" s="57">
        <v>56</v>
      </c>
      <c r="L134" s="23">
        <f t="shared" si="20"/>
        <v>-24</v>
      </c>
      <c r="M134" s="23">
        <f t="shared" si="21"/>
        <v>-24</v>
      </c>
      <c r="N134" s="23"/>
      <c r="O134" s="23">
        <v>0</v>
      </c>
    </row>
    <row r="135" spans="1:24" hidden="1" outlineLevel="1">
      <c r="A135" s="96">
        <v>45231</v>
      </c>
      <c r="B135" s="17" t="s">
        <v>20</v>
      </c>
      <c r="C135" s="101">
        <v>40</v>
      </c>
      <c r="D135" s="110">
        <v>0</v>
      </c>
      <c r="E135" s="22">
        <f t="shared" si="19"/>
        <v>-32</v>
      </c>
      <c r="G135" s="78">
        <v>24</v>
      </c>
      <c r="H135" s="160">
        <f t="shared" ref="H135:H136" si="23">C133</f>
        <v>0</v>
      </c>
      <c r="I135" s="20"/>
      <c r="J135" s="21"/>
      <c r="K135" s="57">
        <v>0</v>
      </c>
      <c r="L135" s="23">
        <f t="shared" si="20"/>
        <v>-48</v>
      </c>
      <c r="M135" s="23">
        <f t="shared" si="21"/>
        <v>-48</v>
      </c>
      <c r="N135" s="23"/>
      <c r="O135" s="23">
        <v>0</v>
      </c>
      <c r="U135" s="167">
        <v>45236</v>
      </c>
      <c r="V135" s="1" t="s">
        <v>33</v>
      </c>
      <c r="W135" s="1" t="s">
        <v>34</v>
      </c>
      <c r="X135" s="1">
        <f>4*16</f>
        <v>64</v>
      </c>
    </row>
    <row r="136" spans="1:24" hidden="1" outlineLevel="1">
      <c r="A136" s="96">
        <v>45232</v>
      </c>
      <c r="B136" s="17" t="s">
        <v>14</v>
      </c>
      <c r="C136" s="101">
        <v>53</v>
      </c>
      <c r="D136" s="110">
        <v>60</v>
      </c>
      <c r="E136" s="22">
        <f t="shared" si="19"/>
        <v>-25</v>
      </c>
      <c r="G136" s="78">
        <v>0</v>
      </c>
      <c r="H136" s="160">
        <f t="shared" si="23"/>
        <v>0</v>
      </c>
      <c r="I136" s="20"/>
      <c r="J136" s="21"/>
      <c r="K136" s="57">
        <v>0</v>
      </c>
      <c r="L136" s="23">
        <f t="shared" si="20"/>
        <v>-48</v>
      </c>
      <c r="M136" s="23">
        <f t="shared" si="21"/>
        <v>-48</v>
      </c>
      <c r="N136" s="23"/>
      <c r="O136" s="23">
        <v>2</v>
      </c>
      <c r="Q136" s="1">
        <f>AVERAGE(G133:G136)</f>
        <v>6</v>
      </c>
      <c r="U136" s="167">
        <v>45243</v>
      </c>
      <c r="V136" s="1" t="s">
        <v>33</v>
      </c>
      <c r="W136" s="1" t="s">
        <v>37</v>
      </c>
      <c r="X136" s="1">
        <f>4*16</f>
        <v>64</v>
      </c>
    </row>
    <row r="137" spans="1:24" s="12" customFormat="1" hidden="1" outlineLevel="1">
      <c r="A137" s="95">
        <v>45233</v>
      </c>
      <c r="B137" s="25" t="s">
        <v>15</v>
      </c>
      <c r="C137" s="154">
        <v>0</v>
      </c>
      <c r="D137" s="166">
        <v>5</v>
      </c>
      <c r="E137" s="87">
        <f t="shared" si="19"/>
        <v>-20</v>
      </c>
      <c r="G137" s="79">
        <v>0</v>
      </c>
      <c r="H137" s="63"/>
      <c r="I137" s="27"/>
      <c r="J137" s="28"/>
      <c r="K137" s="43"/>
      <c r="L137" s="29">
        <f t="shared" si="20"/>
        <v>-48</v>
      </c>
      <c r="M137" s="29">
        <f t="shared" si="21"/>
        <v>-48</v>
      </c>
      <c r="N137" s="29"/>
      <c r="O137" s="29"/>
    </row>
    <row r="138" spans="1:24" s="12" customFormat="1" hidden="1" outlineLevel="1">
      <c r="A138" s="95">
        <v>45234</v>
      </c>
      <c r="B138" s="25" t="s">
        <v>16</v>
      </c>
      <c r="C138" s="154">
        <v>64</v>
      </c>
      <c r="D138" s="166">
        <v>64</v>
      </c>
      <c r="E138" s="168" t="s">
        <v>36</v>
      </c>
      <c r="G138" s="79">
        <v>0</v>
      </c>
      <c r="H138" s="63"/>
      <c r="I138" s="27"/>
      <c r="J138" s="28"/>
      <c r="K138" s="43"/>
      <c r="L138" s="29">
        <f t="shared" si="20"/>
        <v>-48</v>
      </c>
      <c r="M138" s="29">
        <f t="shared" si="21"/>
        <v>-48</v>
      </c>
      <c r="N138" s="29"/>
      <c r="O138" s="29"/>
    </row>
    <row r="139" spans="1:24" s="12" customFormat="1" hidden="1" outlineLevel="1">
      <c r="A139" s="95">
        <v>45235</v>
      </c>
      <c r="B139" s="25" t="s">
        <v>17</v>
      </c>
      <c r="C139" s="69"/>
      <c r="D139" s="99"/>
      <c r="E139" s="87">
        <f>E137-C139+D139</f>
        <v>-20</v>
      </c>
      <c r="G139" s="79">
        <v>0</v>
      </c>
      <c r="H139" s="63"/>
      <c r="I139" s="27"/>
      <c r="J139" s="28"/>
      <c r="K139" s="43"/>
      <c r="L139" s="29">
        <f t="shared" si="20"/>
        <v>-48</v>
      </c>
      <c r="M139" s="29">
        <f t="shared" si="21"/>
        <v>-48</v>
      </c>
      <c r="N139" s="29"/>
      <c r="O139" s="29"/>
    </row>
    <row r="140" spans="1:24" hidden="1" outlineLevel="1">
      <c r="A140" s="96">
        <v>45236</v>
      </c>
      <c r="B140" s="17" t="s">
        <v>18</v>
      </c>
      <c r="C140" s="101">
        <v>0</v>
      </c>
      <c r="D140" s="110">
        <v>36</v>
      </c>
      <c r="E140" s="22">
        <f>E139-C140+D140</f>
        <v>16</v>
      </c>
      <c r="G140" s="78">
        <v>48</v>
      </c>
      <c r="H140" s="62">
        <f>C135</f>
        <v>40</v>
      </c>
      <c r="I140" s="20"/>
      <c r="J140" s="21"/>
      <c r="K140" s="57">
        <v>40</v>
      </c>
      <c r="L140" s="23">
        <f t="shared" si="20"/>
        <v>-56</v>
      </c>
      <c r="M140" s="23">
        <f t="shared" si="21"/>
        <v>-56</v>
      </c>
      <c r="N140" s="23"/>
      <c r="O140" s="23">
        <v>10</v>
      </c>
    </row>
    <row r="141" spans="1:24" hidden="1" outlineLevel="1">
      <c r="A141" s="96">
        <v>45237</v>
      </c>
      <c r="B141" s="17" t="s">
        <v>19</v>
      </c>
      <c r="C141" s="101">
        <v>56</v>
      </c>
      <c r="D141" s="110">
        <v>0</v>
      </c>
      <c r="E141" s="22">
        <f>E140-C141+D141</f>
        <v>-40</v>
      </c>
      <c r="G141" s="78">
        <v>13</v>
      </c>
      <c r="H141" s="62">
        <f>C136</f>
        <v>53</v>
      </c>
      <c r="I141" s="20"/>
      <c r="J141" s="21"/>
      <c r="K141" s="57">
        <v>53</v>
      </c>
      <c r="L141" s="23">
        <f t="shared" si="20"/>
        <v>-16</v>
      </c>
      <c r="M141" s="23">
        <f t="shared" si="21"/>
        <v>-16</v>
      </c>
      <c r="N141" s="23"/>
      <c r="O141" s="23">
        <v>18</v>
      </c>
    </row>
    <row r="142" spans="1:24" hidden="1" outlineLevel="1">
      <c r="A142" s="96">
        <v>45238</v>
      </c>
      <c r="B142" s="17" t="s">
        <v>20</v>
      </c>
      <c r="C142" s="101">
        <v>56</v>
      </c>
      <c r="D142" s="110">
        <v>80</v>
      </c>
      <c r="E142" s="22">
        <f>E141-C142+D142</f>
        <v>-16</v>
      </c>
      <c r="G142" s="78">
        <v>48</v>
      </c>
      <c r="H142" s="62">
        <f>C140</f>
        <v>0</v>
      </c>
      <c r="I142" s="20"/>
      <c r="J142" s="21"/>
      <c r="K142" s="57">
        <v>0</v>
      </c>
      <c r="L142" s="23">
        <f t="shared" si="20"/>
        <v>-64</v>
      </c>
      <c r="M142" s="23">
        <f t="shared" si="21"/>
        <v>-64</v>
      </c>
      <c r="N142" s="23"/>
      <c r="O142" s="23">
        <v>4</v>
      </c>
    </row>
    <row r="143" spans="1:24" hidden="1" outlineLevel="1">
      <c r="A143" s="96">
        <v>45239</v>
      </c>
      <c r="B143" s="17" t="s">
        <v>14</v>
      </c>
      <c r="C143" s="101">
        <v>48</v>
      </c>
      <c r="D143" s="110">
        <v>56</v>
      </c>
      <c r="E143" s="22">
        <f>E142-C143+D143</f>
        <v>-8</v>
      </c>
      <c r="G143" s="78">
        <v>48</v>
      </c>
      <c r="H143" s="62">
        <f t="shared" ref="H143:H144" si="24">C141</f>
        <v>56</v>
      </c>
      <c r="I143" s="20"/>
      <c r="J143" s="21"/>
      <c r="K143" s="57">
        <v>56</v>
      </c>
      <c r="L143" s="23">
        <f t="shared" si="20"/>
        <v>-56</v>
      </c>
      <c r="M143" s="23">
        <f t="shared" si="21"/>
        <v>-56</v>
      </c>
      <c r="N143" s="23"/>
      <c r="O143" s="23">
        <v>4</v>
      </c>
    </row>
    <row r="144" spans="1:24" hidden="1" outlineLevel="1">
      <c r="A144" s="96">
        <v>45240</v>
      </c>
      <c r="B144" s="17" t="s">
        <v>15</v>
      </c>
      <c r="C144" s="101">
        <v>48</v>
      </c>
      <c r="D144" s="110">
        <v>56</v>
      </c>
      <c r="E144" s="22">
        <f>E143-C144+D144</f>
        <v>0</v>
      </c>
      <c r="G144" s="78">
        <v>48</v>
      </c>
      <c r="H144" s="62">
        <f t="shared" si="24"/>
        <v>56</v>
      </c>
      <c r="I144" s="20"/>
      <c r="J144" s="21"/>
      <c r="K144" s="57">
        <v>56</v>
      </c>
      <c r="L144" s="23">
        <f t="shared" si="20"/>
        <v>-48</v>
      </c>
      <c r="M144" s="23">
        <f t="shared" si="21"/>
        <v>-48</v>
      </c>
      <c r="N144" s="23"/>
      <c r="O144" s="23">
        <v>6</v>
      </c>
      <c r="Q144" s="1">
        <f>AVERAGE(G140:G144)</f>
        <v>41</v>
      </c>
    </row>
    <row r="145" spans="1:17" s="12" customFormat="1" hidden="1" outlineLevel="1">
      <c r="A145" s="95">
        <v>45241</v>
      </c>
      <c r="B145" s="25" t="s">
        <v>16</v>
      </c>
      <c r="C145" s="154">
        <v>64</v>
      </c>
      <c r="D145" s="166">
        <v>64</v>
      </c>
      <c r="E145" s="155" t="s">
        <v>30</v>
      </c>
      <c r="G145" s="79">
        <v>0</v>
      </c>
      <c r="H145" s="63"/>
      <c r="I145" s="27"/>
      <c r="J145" s="28"/>
      <c r="K145" s="43"/>
      <c r="L145" s="29">
        <f t="shared" si="20"/>
        <v>-48</v>
      </c>
      <c r="M145" s="29">
        <f t="shared" si="21"/>
        <v>-48</v>
      </c>
      <c r="N145" s="29"/>
      <c r="O145" s="29"/>
    </row>
    <row r="146" spans="1:17" s="12" customFormat="1" hidden="1" outlineLevel="1">
      <c r="A146" s="95">
        <v>45242</v>
      </c>
      <c r="B146" s="25" t="s">
        <v>17</v>
      </c>
      <c r="C146" s="69"/>
      <c r="D146" s="99"/>
      <c r="E146" s="87">
        <f>E144-C146+D146</f>
        <v>0</v>
      </c>
      <c r="G146" s="79">
        <v>0</v>
      </c>
      <c r="H146" s="63"/>
      <c r="I146" s="27"/>
      <c r="J146" s="28"/>
      <c r="K146" s="43"/>
      <c r="L146" s="29">
        <f t="shared" si="20"/>
        <v>-48</v>
      </c>
      <c r="M146" s="29">
        <f t="shared" si="21"/>
        <v>-48</v>
      </c>
      <c r="N146" s="29"/>
      <c r="O146" s="29"/>
    </row>
    <row r="147" spans="1:17" hidden="1" outlineLevel="1">
      <c r="A147" s="96">
        <v>45243</v>
      </c>
      <c r="B147" s="17" t="s">
        <v>18</v>
      </c>
      <c r="C147" s="101">
        <v>64</v>
      </c>
      <c r="D147" s="110">
        <v>64</v>
      </c>
      <c r="E147" s="22">
        <f>E146-C147+D147</f>
        <v>0</v>
      </c>
      <c r="G147" s="78">
        <v>40</v>
      </c>
      <c r="H147" s="62">
        <f>C143</f>
        <v>48</v>
      </c>
      <c r="I147" s="20"/>
      <c r="J147" s="21"/>
      <c r="K147" s="57">
        <v>48</v>
      </c>
      <c r="L147" s="23">
        <f t="shared" si="20"/>
        <v>-40</v>
      </c>
      <c r="M147" s="23">
        <f t="shared" si="21"/>
        <v>-40</v>
      </c>
      <c r="N147" s="23"/>
      <c r="O147" s="23">
        <v>0</v>
      </c>
    </row>
    <row r="148" spans="1:17" hidden="1" outlineLevel="1">
      <c r="A148" s="96">
        <v>45244</v>
      </c>
      <c r="B148" s="17" t="s">
        <v>19</v>
      </c>
      <c r="C148" s="101">
        <v>64</v>
      </c>
      <c r="D148" s="110">
        <v>64</v>
      </c>
      <c r="E148" s="22">
        <f>E147-C148+D148</f>
        <v>0</v>
      </c>
      <c r="G148" s="78">
        <v>40</v>
      </c>
      <c r="H148" s="62">
        <f>C144</f>
        <v>48</v>
      </c>
      <c r="I148" s="20"/>
      <c r="J148" s="21"/>
      <c r="K148" s="57">
        <v>48</v>
      </c>
      <c r="L148" s="23">
        <f t="shared" si="20"/>
        <v>-32</v>
      </c>
      <c r="M148" s="23">
        <f t="shared" si="21"/>
        <v>-32</v>
      </c>
      <c r="N148" s="23"/>
      <c r="O148" s="23">
        <v>6</v>
      </c>
    </row>
    <row r="149" spans="1:17" hidden="1" outlineLevel="1">
      <c r="A149" s="96">
        <v>45245</v>
      </c>
      <c r="B149" s="17" t="s">
        <v>20</v>
      </c>
      <c r="C149" s="101">
        <v>64</v>
      </c>
      <c r="D149" s="110">
        <v>64</v>
      </c>
      <c r="E149" s="22">
        <f>E148-C149+D149</f>
        <v>0</v>
      </c>
      <c r="G149" s="78">
        <v>80</v>
      </c>
      <c r="H149" s="62">
        <f>C147</f>
        <v>64</v>
      </c>
      <c r="I149" s="20"/>
      <c r="J149" s="21"/>
      <c r="K149" s="57">
        <v>64</v>
      </c>
      <c r="L149" s="23">
        <f t="shared" si="20"/>
        <v>-48</v>
      </c>
      <c r="M149" s="23">
        <f t="shared" si="21"/>
        <v>-48</v>
      </c>
      <c r="N149" s="23"/>
      <c r="O149" s="23">
        <v>8</v>
      </c>
    </row>
    <row r="150" spans="1:17" hidden="1" outlineLevel="1">
      <c r="A150" s="96">
        <v>45246</v>
      </c>
      <c r="B150" s="17" t="s">
        <v>14</v>
      </c>
      <c r="C150" s="101">
        <v>64</v>
      </c>
      <c r="D150" s="110">
        <v>64</v>
      </c>
      <c r="E150" s="22">
        <f>E149-C150+D150</f>
        <v>0</v>
      </c>
      <c r="G150" s="78">
        <v>80</v>
      </c>
      <c r="H150" s="62">
        <f t="shared" ref="H150:H151" si="25">C148</f>
        <v>64</v>
      </c>
      <c r="I150" s="20"/>
      <c r="J150" s="21"/>
      <c r="K150" s="57">
        <v>64</v>
      </c>
      <c r="L150" s="23">
        <f t="shared" si="20"/>
        <v>-64</v>
      </c>
      <c r="M150" s="23">
        <f t="shared" si="21"/>
        <v>-64</v>
      </c>
      <c r="N150" s="23"/>
      <c r="O150" s="23">
        <v>17</v>
      </c>
    </row>
    <row r="151" spans="1:17" hidden="1" outlineLevel="1">
      <c r="A151" s="96">
        <v>45247</v>
      </c>
      <c r="B151" s="17" t="s">
        <v>15</v>
      </c>
      <c r="C151" s="101">
        <v>64</v>
      </c>
      <c r="D151" s="110">
        <v>64</v>
      </c>
      <c r="E151" s="22">
        <f>E150-C151+D151</f>
        <v>0</v>
      </c>
      <c r="G151" s="78">
        <v>56</v>
      </c>
      <c r="H151" s="62">
        <f t="shared" si="25"/>
        <v>64</v>
      </c>
      <c r="I151" s="20"/>
      <c r="J151" s="21"/>
      <c r="K151" s="57">
        <v>64</v>
      </c>
      <c r="L151" s="23">
        <f t="shared" si="20"/>
        <v>-56</v>
      </c>
      <c r="M151" s="23">
        <f t="shared" si="21"/>
        <v>-56</v>
      </c>
      <c r="N151" s="23"/>
      <c r="O151" s="23">
        <v>0</v>
      </c>
      <c r="Q151" s="1">
        <f>AVERAGE(G147:G151)</f>
        <v>59.2</v>
      </c>
    </row>
    <row r="152" spans="1:17" s="12" customFormat="1" hidden="1" outlineLevel="1">
      <c r="A152" s="95">
        <v>45248</v>
      </c>
      <c r="B152" s="25" t="s">
        <v>16</v>
      </c>
      <c r="C152" s="154">
        <v>64</v>
      </c>
      <c r="D152" s="166">
        <v>64</v>
      </c>
      <c r="E152" s="155" t="s">
        <v>30</v>
      </c>
      <c r="G152" s="79">
        <v>0</v>
      </c>
      <c r="H152" s="63"/>
      <c r="I152" s="27"/>
      <c r="J152" s="28"/>
      <c r="K152" s="43"/>
      <c r="L152" s="29">
        <f t="shared" si="20"/>
        <v>-56</v>
      </c>
      <c r="M152" s="29">
        <f t="shared" si="21"/>
        <v>-56</v>
      </c>
      <c r="N152" s="29"/>
      <c r="O152" s="29"/>
    </row>
    <row r="153" spans="1:17" s="12" customFormat="1" hidden="1" outlineLevel="1">
      <c r="A153" s="95">
        <v>45249</v>
      </c>
      <c r="B153" s="25" t="s">
        <v>17</v>
      </c>
      <c r="C153" s="69"/>
      <c r="D153" s="99"/>
      <c r="E153" s="87">
        <f>E151-C153+D153</f>
        <v>0</v>
      </c>
      <c r="G153" s="79">
        <v>0</v>
      </c>
      <c r="H153" s="63"/>
      <c r="I153" s="27"/>
      <c r="J153" s="28"/>
      <c r="K153" s="43"/>
      <c r="L153" s="29">
        <f t="shared" si="20"/>
        <v>-56</v>
      </c>
      <c r="M153" s="29">
        <f t="shared" si="21"/>
        <v>-56</v>
      </c>
      <c r="N153" s="29"/>
      <c r="O153" s="29"/>
    </row>
    <row r="154" spans="1:17" hidden="1" outlineLevel="1">
      <c r="A154" s="96">
        <v>45250</v>
      </c>
      <c r="B154" s="17" t="s">
        <v>18</v>
      </c>
      <c r="C154" s="101">
        <v>64</v>
      </c>
      <c r="D154" s="110">
        <v>64</v>
      </c>
      <c r="E154" s="22">
        <f t="shared" ref="E154:E159" si="26">E153-C154+D154</f>
        <v>0</v>
      </c>
      <c r="G154" s="78">
        <v>64</v>
      </c>
      <c r="H154" s="62">
        <f>C150</f>
        <v>64</v>
      </c>
      <c r="I154" s="20"/>
      <c r="J154" s="21"/>
      <c r="K154" s="57">
        <v>64</v>
      </c>
      <c r="L154" s="23">
        <f t="shared" si="20"/>
        <v>-56</v>
      </c>
      <c r="M154" s="23">
        <f t="shared" si="21"/>
        <v>-56</v>
      </c>
      <c r="N154" s="23"/>
      <c r="O154" s="23">
        <v>4</v>
      </c>
    </row>
    <row r="155" spans="1:17" hidden="1" outlineLevel="1">
      <c r="A155" s="96">
        <v>45251</v>
      </c>
      <c r="B155" s="17" t="s">
        <v>19</v>
      </c>
      <c r="C155" s="101">
        <v>64</v>
      </c>
      <c r="D155" s="110">
        <v>64</v>
      </c>
      <c r="E155" s="22">
        <f t="shared" si="26"/>
        <v>0</v>
      </c>
      <c r="G155" s="78">
        <v>64</v>
      </c>
      <c r="H155" s="62">
        <f>C151</f>
        <v>64</v>
      </c>
      <c r="I155" s="20"/>
      <c r="J155" s="21"/>
      <c r="K155" s="57">
        <v>64</v>
      </c>
      <c r="L155" s="23">
        <f t="shared" si="20"/>
        <v>-56</v>
      </c>
      <c r="M155" s="23">
        <f t="shared" si="21"/>
        <v>-56</v>
      </c>
      <c r="N155" s="23"/>
      <c r="O155" s="23">
        <v>7</v>
      </c>
    </row>
    <row r="156" spans="1:17" hidden="1" outlineLevel="1">
      <c r="A156" s="96">
        <v>45252</v>
      </c>
      <c r="B156" s="17" t="s">
        <v>20</v>
      </c>
      <c r="C156" s="101">
        <v>56</v>
      </c>
      <c r="D156" s="110">
        <v>56</v>
      </c>
      <c r="E156" s="22">
        <f t="shared" si="26"/>
        <v>0</v>
      </c>
      <c r="G156" s="78">
        <v>56</v>
      </c>
      <c r="H156" s="62">
        <f>C154</f>
        <v>64</v>
      </c>
      <c r="I156" s="20"/>
      <c r="J156" s="21"/>
      <c r="K156" s="57">
        <v>64</v>
      </c>
      <c r="L156" s="23">
        <f t="shared" si="20"/>
        <v>-48</v>
      </c>
      <c r="M156" s="23">
        <f t="shared" si="21"/>
        <v>-48</v>
      </c>
      <c r="N156" s="23"/>
      <c r="O156" s="23">
        <v>0</v>
      </c>
    </row>
    <row r="157" spans="1:17" hidden="1" outlineLevel="1">
      <c r="A157" s="96">
        <v>45253</v>
      </c>
      <c r="B157" s="17" t="s">
        <v>14</v>
      </c>
      <c r="C157" s="101">
        <v>56</v>
      </c>
      <c r="D157" s="110">
        <v>56</v>
      </c>
      <c r="E157" s="22">
        <f t="shared" si="26"/>
        <v>0</v>
      </c>
      <c r="G157" s="78">
        <v>16</v>
      </c>
      <c r="H157" s="62">
        <f t="shared" ref="H157:H158" si="27">C155</f>
        <v>64</v>
      </c>
      <c r="I157" s="20"/>
      <c r="J157" s="21"/>
      <c r="K157" s="57">
        <v>64</v>
      </c>
      <c r="L157" s="23">
        <f t="shared" si="20"/>
        <v>0</v>
      </c>
      <c r="M157" s="23">
        <f t="shared" si="21"/>
        <v>0</v>
      </c>
      <c r="N157" s="23"/>
      <c r="O157" s="23">
        <v>8</v>
      </c>
    </row>
    <row r="158" spans="1:17" hidden="1" outlineLevel="1">
      <c r="A158" s="96">
        <v>45254</v>
      </c>
      <c r="B158" s="17" t="s">
        <v>15</v>
      </c>
      <c r="C158" s="101">
        <f>56-8+3</f>
        <v>51</v>
      </c>
      <c r="D158" s="110">
        <v>59</v>
      </c>
      <c r="E158" s="22">
        <f t="shared" si="26"/>
        <v>8</v>
      </c>
      <c r="G158" s="78">
        <v>40</v>
      </c>
      <c r="H158" s="62">
        <f t="shared" si="27"/>
        <v>56</v>
      </c>
      <c r="I158" s="20"/>
      <c r="J158" s="21"/>
      <c r="K158" s="57">
        <v>56</v>
      </c>
      <c r="L158" s="23">
        <f t="shared" si="20"/>
        <v>16</v>
      </c>
      <c r="M158" s="23">
        <f t="shared" si="21"/>
        <v>16</v>
      </c>
      <c r="N158" s="23"/>
      <c r="O158" s="23">
        <v>0</v>
      </c>
      <c r="Q158" s="1">
        <f>AVERAGE(G154:G158)</f>
        <v>48</v>
      </c>
    </row>
    <row r="159" spans="1:17" s="12" customFormat="1" hidden="1" outlineLevel="1">
      <c r="A159" s="95">
        <v>45255</v>
      </c>
      <c r="B159" s="25" t="s">
        <v>16</v>
      </c>
      <c r="C159" s="154"/>
      <c r="D159" s="99"/>
      <c r="E159" s="87">
        <f t="shared" si="26"/>
        <v>8</v>
      </c>
      <c r="G159" s="64"/>
      <c r="H159" s="63"/>
      <c r="I159" s="27"/>
      <c r="J159" s="28"/>
      <c r="K159" s="43"/>
      <c r="L159" s="29">
        <f t="shared" si="20"/>
        <v>16</v>
      </c>
      <c r="M159" s="29">
        <f t="shared" si="21"/>
        <v>16</v>
      </c>
      <c r="N159" s="29"/>
      <c r="O159" s="29"/>
    </row>
    <row r="160" spans="1:17" s="12" customFormat="1" hidden="1" outlineLevel="1">
      <c r="A160" s="95">
        <v>45256</v>
      </c>
      <c r="B160" s="25" t="s">
        <v>17</v>
      </c>
      <c r="C160" s="69"/>
      <c r="D160" s="99"/>
      <c r="E160" s="87">
        <f>E158-C160+D160</f>
        <v>8</v>
      </c>
      <c r="G160" s="64"/>
      <c r="H160" s="63"/>
      <c r="I160" s="27"/>
      <c r="J160" s="28"/>
      <c r="K160" s="43"/>
      <c r="L160" s="29">
        <f t="shared" si="20"/>
        <v>16</v>
      </c>
      <c r="M160" s="29">
        <f t="shared" si="21"/>
        <v>16</v>
      </c>
      <c r="N160" s="29"/>
      <c r="O160" s="29"/>
    </row>
    <row r="161" spans="1:17" hidden="1" outlineLevel="1" collapsed="1">
      <c r="A161" s="96">
        <v>45257</v>
      </c>
      <c r="B161" s="17" t="s">
        <v>18</v>
      </c>
      <c r="C161" s="177">
        <v>64</v>
      </c>
      <c r="D161" s="110">
        <v>64</v>
      </c>
      <c r="E161" s="169" t="s">
        <v>30</v>
      </c>
      <c r="G161" s="78">
        <v>48</v>
      </c>
      <c r="H161" s="62">
        <f>C157</f>
        <v>56</v>
      </c>
      <c r="I161" s="20"/>
      <c r="J161" s="21"/>
      <c r="K161" s="57">
        <v>56</v>
      </c>
      <c r="L161" s="23">
        <f t="shared" si="20"/>
        <v>24</v>
      </c>
      <c r="M161" s="23">
        <f t="shared" si="21"/>
        <v>24</v>
      </c>
      <c r="N161" s="23"/>
      <c r="O161" s="23">
        <v>2</v>
      </c>
    </row>
    <row r="162" spans="1:17" hidden="1" outlineLevel="1">
      <c r="A162" s="96">
        <v>45258</v>
      </c>
      <c r="B162" s="17" t="s">
        <v>19</v>
      </c>
      <c r="C162" s="177">
        <v>72</v>
      </c>
      <c r="D162" s="110">
        <v>72</v>
      </c>
      <c r="E162" s="169" t="s">
        <v>30</v>
      </c>
      <c r="G162" s="78">
        <f>32+3</f>
        <v>35</v>
      </c>
      <c r="H162" s="62">
        <f>C158</f>
        <v>51</v>
      </c>
      <c r="I162" s="20"/>
      <c r="J162" s="21"/>
      <c r="K162" s="57">
        <v>51</v>
      </c>
      <c r="L162" s="23">
        <f t="shared" si="20"/>
        <v>40</v>
      </c>
      <c r="M162" s="23">
        <f t="shared" si="21"/>
        <v>40</v>
      </c>
      <c r="N162" s="23"/>
      <c r="O162" s="23">
        <v>4</v>
      </c>
    </row>
    <row r="163" spans="1:17" hidden="1" outlineLevel="1">
      <c r="A163" s="96">
        <v>45259</v>
      </c>
      <c r="B163" s="17" t="s">
        <v>20</v>
      </c>
      <c r="C163" s="177">
        <v>72</v>
      </c>
      <c r="D163" s="110">
        <v>72</v>
      </c>
      <c r="E163" s="169" t="s">
        <v>30</v>
      </c>
      <c r="G163" s="172">
        <v>0</v>
      </c>
      <c r="H163" s="62" t="s">
        <v>28</v>
      </c>
      <c r="I163" s="20"/>
      <c r="J163" s="21"/>
      <c r="K163" s="42">
        <v>0</v>
      </c>
      <c r="L163" s="23">
        <f t="shared" si="20"/>
        <v>40</v>
      </c>
      <c r="M163" s="23">
        <f>IF(ISTEXT(H163),M162-G163+0,M162-G163+H163)</f>
        <v>40</v>
      </c>
      <c r="N163" s="23"/>
      <c r="O163" s="23">
        <v>0</v>
      </c>
      <c r="P163" s="153" t="s">
        <v>29</v>
      </c>
    </row>
    <row r="164" spans="1:17" hidden="1" outlineLevel="1">
      <c r="A164" s="96">
        <v>45260</v>
      </c>
      <c r="B164" s="17" t="s">
        <v>14</v>
      </c>
      <c r="C164" s="101">
        <v>64</v>
      </c>
      <c r="D164" s="110">
        <v>64</v>
      </c>
      <c r="E164" s="22">
        <f>E160-C164+D164</f>
        <v>8</v>
      </c>
      <c r="G164" s="172">
        <v>0</v>
      </c>
      <c r="H164" s="62" t="s">
        <v>28</v>
      </c>
      <c r="I164" s="20"/>
      <c r="J164" s="21"/>
      <c r="K164" s="42">
        <v>0</v>
      </c>
      <c r="L164" s="23">
        <f t="shared" si="20"/>
        <v>40</v>
      </c>
      <c r="M164" s="23">
        <f>IF(ISTEXT(H164),M163-G164+0,M163-G164+H164)</f>
        <v>40</v>
      </c>
      <c r="N164" s="23"/>
      <c r="O164" s="23">
        <v>0</v>
      </c>
      <c r="P164" s="153" t="s">
        <v>29</v>
      </c>
    </row>
    <row r="165" spans="1:17" hidden="1" outlineLevel="1">
      <c r="A165" s="96">
        <v>45261</v>
      </c>
      <c r="B165" s="17" t="s">
        <v>15</v>
      </c>
      <c r="C165" s="177">
        <v>64</v>
      </c>
      <c r="D165" s="110">
        <v>64</v>
      </c>
      <c r="E165" s="169" t="s">
        <v>30</v>
      </c>
      <c r="G165" s="78">
        <v>0</v>
      </c>
      <c r="H165" s="62">
        <v>0</v>
      </c>
      <c r="I165" s="20"/>
      <c r="J165" s="21"/>
      <c r="K165" s="57">
        <v>0</v>
      </c>
      <c r="L165" s="23">
        <f t="shared" ref="L165" si="28">L164-G165+K165</f>
        <v>40</v>
      </c>
      <c r="M165" s="23">
        <f t="shared" ref="M165" si="29">M164-G165+H165</f>
        <v>40</v>
      </c>
      <c r="N165" s="23"/>
      <c r="O165" s="23">
        <v>2</v>
      </c>
      <c r="Q165" s="1">
        <f>AVERAGE(G161:G165)</f>
        <v>16.600000000000001</v>
      </c>
    </row>
    <row r="166" spans="1:17" s="12" customFormat="1" hidden="1" outlineLevel="1">
      <c r="A166" s="95">
        <v>45262</v>
      </c>
      <c r="B166" s="25" t="s">
        <v>16</v>
      </c>
      <c r="C166" s="154"/>
      <c r="D166" s="99"/>
      <c r="E166" s="87">
        <f>E160-C166+D166</f>
        <v>8</v>
      </c>
      <c r="G166" s="79"/>
      <c r="H166" s="63"/>
      <c r="I166" s="27"/>
      <c r="J166" s="28"/>
      <c r="K166" s="43"/>
      <c r="L166" s="29">
        <f t="shared" ref="L166:L226" si="30">L165-G166+K166</f>
        <v>40</v>
      </c>
      <c r="M166" s="29">
        <f t="shared" ref="M166:M226" si="31">M165-G166+H166</f>
        <v>40</v>
      </c>
      <c r="N166" s="29"/>
      <c r="O166" s="29"/>
    </row>
    <row r="167" spans="1:17" s="12" customFormat="1" hidden="1" outlineLevel="1">
      <c r="A167" s="95">
        <v>45263</v>
      </c>
      <c r="B167" s="25" t="s">
        <v>17</v>
      </c>
      <c r="C167" s="98"/>
      <c r="D167" s="99"/>
      <c r="E167" s="87">
        <f t="shared" ref="E167:E179" si="32">E166-C167+D167</f>
        <v>8</v>
      </c>
      <c r="G167" s="79"/>
      <c r="H167" s="63"/>
      <c r="I167" s="27"/>
      <c r="J167" s="28"/>
      <c r="K167" s="43"/>
      <c r="L167" s="29">
        <f t="shared" si="30"/>
        <v>40</v>
      </c>
      <c r="M167" s="29">
        <f t="shared" si="31"/>
        <v>40</v>
      </c>
      <c r="N167" s="29"/>
      <c r="O167" s="29"/>
    </row>
    <row r="168" spans="1:17" hidden="1" outlineLevel="1">
      <c r="A168" s="96">
        <v>45264</v>
      </c>
      <c r="B168" s="17" t="s">
        <v>18</v>
      </c>
      <c r="C168" s="101">
        <v>56</v>
      </c>
      <c r="D168" s="110">
        <v>56</v>
      </c>
      <c r="E168" s="22">
        <f t="shared" si="32"/>
        <v>8</v>
      </c>
      <c r="G168" s="78">
        <v>32</v>
      </c>
      <c r="H168" s="62">
        <f>C164/2</f>
        <v>32</v>
      </c>
      <c r="I168" s="20"/>
      <c r="J168" s="21"/>
      <c r="K168" s="57">
        <v>32</v>
      </c>
      <c r="L168" s="23">
        <f t="shared" si="30"/>
        <v>40</v>
      </c>
      <c r="M168" s="23">
        <f t="shared" si="31"/>
        <v>40</v>
      </c>
      <c r="N168" s="23"/>
      <c r="O168" s="23">
        <v>9</v>
      </c>
    </row>
    <row r="169" spans="1:17" hidden="1" outlineLevel="1">
      <c r="A169" s="96">
        <v>45265</v>
      </c>
      <c r="B169" s="17" t="s">
        <v>19</v>
      </c>
      <c r="C169" s="101">
        <v>56</v>
      </c>
      <c r="D169" s="110">
        <v>56</v>
      </c>
      <c r="E169" s="22">
        <f t="shared" si="32"/>
        <v>8</v>
      </c>
      <c r="G169" s="78">
        <v>48</v>
      </c>
      <c r="H169" s="62">
        <f>C164/2</f>
        <v>32</v>
      </c>
      <c r="I169" s="20"/>
      <c r="J169" s="21"/>
      <c r="K169" s="57">
        <v>32</v>
      </c>
      <c r="L169" s="23">
        <f t="shared" si="30"/>
        <v>24</v>
      </c>
      <c r="M169" s="23">
        <f t="shared" si="31"/>
        <v>24</v>
      </c>
      <c r="N169" s="23"/>
      <c r="O169" s="23">
        <v>0</v>
      </c>
    </row>
    <row r="170" spans="1:17" hidden="1" outlineLevel="1">
      <c r="A170" s="96">
        <v>45266</v>
      </c>
      <c r="B170" s="17" t="s">
        <v>20</v>
      </c>
      <c r="C170" s="101">
        <v>56</v>
      </c>
      <c r="D170" s="110">
        <v>64</v>
      </c>
      <c r="E170" s="22">
        <f t="shared" si="32"/>
        <v>16</v>
      </c>
      <c r="G170" s="78">
        <v>24</v>
      </c>
      <c r="H170" s="62">
        <f>C168</f>
        <v>56</v>
      </c>
      <c r="I170" s="20"/>
      <c r="J170" s="21"/>
      <c r="K170" s="57">
        <v>56</v>
      </c>
      <c r="L170" s="23">
        <f t="shared" si="30"/>
        <v>56</v>
      </c>
      <c r="M170" s="23">
        <f t="shared" si="31"/>
        <v>56</v>
      </c>
      <c r="N170" s="23"/>
      <c r="O170" s="23">
        <f>4+7</f>
        <v>11</v>
      </c>
    </row>
    <row r="171" spans="1:17" hidden="1" outlineLevel="1">
      <c r="A171" s="96">
        <v>45267</v>
      </c>
      <c r="B171" s="17" t="s">
        <v>14</v>
      </c>
      <c r="C171" s="101">
        <v>56</v>
      </c>
      <c r="D171" s="110">
        <v>56</v>
      </c>
      <c r="E171" s="22">
        <f t="shared" si="32"/>
        <v>16</v>
      </c>
      <c r="G171" s="78">
        <v>56</v>
      </c>
      <c r="H171" s="62">
        <f t="shared" ref="H171:H172" si="33">C169</f>
        <v>56</v>
      </c>
      <c r="I171" s="20"/>
      <c r="J171" s="21"/>
      <c r="K171" s="57">
        <v>56</v>
      </c>
      <c r="L171" s="23">
        <f t="shared" si="30"/>
        <v>56</v>
      </c>
      <c r="M171" s="23">
        <f t="shared" si="31"/>
        <v>56</v>
      </c>
      <c r="N171" s="23"/>
      <c r="O171" s="23">
        <v>4</v>
      </c>
    </row>
    <row r="172" spans="1:17" hidden="1" outlineLevel="1">
      <c r="A172" s="96">
        <v>45268</v>
      </c>
      <c r="B172" s="17" t="s">
        <v>15</v>
      </c>
      <c r="C172" s="101">
        <v>56</v>
      </c>
      <c r="D172" s="110">
        <v>64</v>
      </c>
      <c r="E172" s="22">
        <f t="shared" si="32"/>
        <v>24</v>
      </c>
      <c r="G172" s="78">
        <v>80</v>
      </c>
      <c r="H172" s="62">
        <f t="shared" si="33"/>
        <v>56</v>
      </c>
      <c r="I172" s="20"/>
      <c r="J172" s="21"/>
      <c r="K172" s="57">
        <v>56</v>
      </c>
      <c r="L172" s="23">
        <f t="shared" si="30"/>
        <v>32</v>
      </c>
      <c r="M172" s="23">
        <f t="shared" si="31"/>
        <v>32</v>
      </c>
      <c r="N172" s="23"/>
      <c r="O172" s="23">
        <v>3</v>
      </c>
      <c r="Q172" s="1">
        <f>AVERAGE(G168:G172)</f>
        <v>48</v>
      </c>
    </row>
    <row r="173" spans="1:17" s="12" customFormat="1" hidden="1" outlineLevel="1">
      <c r="A173" s="95">
        <v>45269</v>
      </c>
      <c r="B173" s="25" t="s">
        <v>16</v>
      </c>
      <c r="C173" s="154"/>
      <c r="D173" s="99"/>
      <c r="E173" s="87">
        <f t="shared" si="32"/>
        <v>24</v>
      </c>
      <c r="G173" s="64"/>
      <c r="H173" s="63"/>
      <c r="I173" s="27"/>
      <c r="J173" s="28"/>
      <c r="K173" s="43"/>
      <c r="L173" s="29">
        <f t="shared" si="30"/>
        <v>32</v>
      </c>
      <c r="M173" s="29">
        <f t="shared" si="31"/>
        <v>32</v>
      </c>
      <c r="N173" s="29"/>
      <c r="O173" s="29"/>
    </row>
    <row r="174" spans="1:17" s="12" customFormat="1" hidden="1" outlineLevel="1">
      <c r="A174" s="95">
        <v>45270</v>
      </c>
      <c r="B174" s="25" t="s">
        <v>17</v>
      </c>
      <c r="C174" s="98"/>
      <c r="D174" s="99"/>
      <c r="E174" s="87">
        <f t="shared" si="32"/>
        <v>24</v>
      </c>
      <c r="G174" s="64"/>
      <c r="H174" s="63"/>
      <c r="I174" s="27"/>
      <c r="J174" s="28"/>
      <c r="K174" s="43"/>
      <c r="L174" s="29">
        <f t="shared" si="30"/>
        <v>32</v>
      </c>
      <c r="M174" s="29">
        <f t="shared" si="31"/>
        <v>32</v>
      </c>
      <c r="N174" s="29"/>
      <c r="O174" s="29"/>
    </row>
    <row r="175" spans="1:17" hidden="1" outlineLevel="1">
      <c r="A175" s="96">
        <v>45271</v>
      </c>
      <c r="B175" s="17" t="s">
        <v>18</v>
      </c>
      <c r="C175" s="101">
        <v>56</v>
      </c>
      <c r="D175" s="110">
        <v>56</v>
      </c>
      <c r="E175" s="22">
        <f t="shared" si="32"/>
        <v>24</v>
      </c>
      <c r="G175" s="78">
        <v>24</v>
      </c>
      <c r="H175" s="62">
        <f>C171</f>
        <v>56</v>
      </c>
      <c r="I175" s="20"/>
      <c r="J175" s="21"/>
      <c r="K175" s="57">
        <v>56</v>
      </c>
      <c r="L175" s="23">
        <f t="shared" si="30"/>
        <v>64</v>
      </c>
      <c r="M175" s="23">
        <f t="shared" si="31"/>
        <v>64</v>
      </c>
      <c r="N175" s="23"/>
      <c r="O175" s="23">
        <v>5</v>
      </c>
    </row>
    <row r="176" spans="1:17" hidden="1" outlineLevel="1">
      <c r="A176" s="96">
        <v>45272</v>
      </c>
      <c r="B176" s="17" t="s">
        <v>19</v>
      </c>
      <c r="C176" s="101">
        <v>56</v>
      </c>
      <c r="D176" s="110">
        <v>64</v>
      </c>
      <c r="E176" s="22">
        <f t="shared" si="32"/>
        <v>32</v>
      </c>
      <c r="G176" s="78">
        <v>32</v>
      </c>
      <c r="H176" s="62">
        <f>C172</f>
        <v>56</v>
      </c>
      <c r="I176" s="20"/>
      <c r="J176" s="21"/>
      <c r="K176" s="57">
        <v>56</v>
      </c>
      <c r="L176" s="23">
        <f t="shared" si="30"/>
        <v>88</v>
      </c>
      <c r="M176" s="23">
        <f t="shared" si="31"/>
        <v>88</v>
      </c>
      <c r="N176" s="23"/>
      <c r="O176" s="23">
        <v>4</v>
      </c>
    </row>
    <row r="177" spans="1:18" hidden="1" outlineLevel="1">
      <c r="A177" s="96">
        <v>45273</v>
      </c>
      <c r="B177" s="17" t="s">
        <v>20</v>
      </c>
      <c r="C177" s="101">
        <v>56</v>
      </c>
      <c r="D177" s="110">
        <v>64</v>
      </c>
      <c r="E177" s="22">
        <f t="shared" si="32"/>
        <v>40</v>
      </c>
      <c r="G177" s="78">
        <v>112</v>
      </c>
      <c r="H177" s="62">
        <f>C175</f>
        <v>56</v>
      </c>
      <c r="I177" s="20"/>
      <c r="J177" s="21"/>
      <c r="K177" s="57">
        <v>56</v>
      </c>
      <c r="L177" s="23">
        <f t="shared" si="30"/>
        <v>32</v>
      </c>
      <c r="M177" s="23">
        <f t="shared" si="31"/>
        <v>32</v>
      </c>
      <c r="N177" s="23"/>
      <c r="O177" s="23">
        <v>6</v>
      </c>
    </row>
    <row r="178" spans="1:18" hidden="1" outlineLevel="1">
      <c r="A178" s="96">
        <v>45274</v>
      </c>
      <c r="B178" s="17" t="s">
        <v>14</v>
      </c>
      <c r="C178" s="101">
        <v>56</v>
      </c>
      <c r="D178" s="110">
        <v>64</v>
      </c>
      <c r="E178" s="22">
        <f t="shared" si="32"/>
        <v>48</v>
      </c>
      <c r="G178" s="78">
        <v>80</v>
      </c>
      <c r="H178" s="62">
        <f t="shared" ref="H178:H179" si="34">C176</f>
        <v>56</v>
      </c>
      <c r="I178" s="20"/>
      <c r="J178" s="21"/>
      <c r="K178" s="57">
        <v>56</v>
      </c>
      <c r="L178" s="23">
        <f t="shared" si="30"/>
        <v>8</v>
      </c>
      <c r="M178" s="23">
        <f t="shared" si="31"/>
        <v>8</v>
      </c>
      <c r="N178" s="23"/>
      <c r="O178" s="23">
        <v>7</v>
      </c>
    </row>
    <row r="179" spans="1:18" hidden="1" outlineLevel="1">
      <c r="A179" s="96">
        <v>45275</v>
      </c>
      <c r="B179" s="17" t="s">
        <v>15</v>
      </c>
      <c r="C179" s="101">
        <v>56</v>
      </c>
      <c r="D179" s="110">
        <v>64</v>
      </c>
      <c r="E179" s="22">
        <f t="shared" si="32"/>
        <v>56</v>
      </c>
      <c r="G179" s="78">
        <v>16</v>
      </c>
      <c r="H179" s="62">
        <f t="shared" si="34"/>
        <v>56</v>
      </c>
      <c r="I179" s="20"/>
      <c r="J179" s="21"/>
      <c r="K179" s="57">
        <v>56</v>
      </c>
      <c r="L179" s="23">
        <f t="shared" si="30"/>
        <v>48</v>
      </c>
      <c r="M179" s="23">
        <f t="shared" si="31"/>
        <v>48</v>
      </c>
      <c r="N179" s="23"/>
      <c r="O179" s="23">
        <v>1</v>
      </c>
      <c r="Q179" s="1">
        <f>AVERAGE(G175:G179)</f>
        <v>52.8</v>
      </c>
    </row>
    <row r="180" spans="1:18" s="12" customFormat="1" hidden="1" outlineLevel="1">
      <c r="A180" s="95">
        <v>45276</v>
      </c>
      <c r="B180" s="25" t="s">
        <v>16</v>
      </c>
      <c r="C180" s="154">
        <v>0</v>
      </c>
      <c r="D180" s="99"/>
      <c r="E180" s="155" t="s">
        <v>30</v>
      </c>
      <c r="G180" s="64"/>
      <c r="H180" s="63"/>
      <c r="I180" s="27"/>
      <c r="J180" s="28"/>
      <c r="K180" s="43"/>
      <c r="L180" s="29">
        <f t="shared" si="30"/>
        <v>48</v>
      </c>
      <c r="M180" s="29">
        <f t="shared" si="31"/>
        <v>48</v>
      </c>
      <c r="N180" s="29"/>
      <c r="O180" s="29"/>
    </row>
    <row r="181" spans="1:18" s="12" customFormat="1" hidden="1" outlineLevel="1">
      <c r="A181" s="95">
        <v>45277</v>
      </c>
      <c r="B181" s="25" t="s">
        <v>17</v>
      </c>
      <c r="C181" s="98"/>
      <c r="D181" s="99"/>
      <c r="E181" s="87">
        <f>E179-C181+D181</f>
        <v>56</v>
      </c>
      <c r="G181" s="64"/>
      <c r="H181" s="63"/>
      <c r="I181" s="27"/>
      <c r="J181" s="28"/>
      <c r="K181" s="43"/>
      <c r="L181" s="29">
        <f t="shared" si="30"/>
        <v>48</v>
      </c>
      <c r="M181" s="29">
        <f t="shared" si="31"/>
        <v>48</v>
      </c>
      <c r="N181" s="29"/>
      <c r="O181" s="29"/>
    </row>
    <row r="182" spans="1:18" hidden="1" outlineLevel="1">
      <c r="A182" s="96">
        <v>45278</v>
      </c>
      <c r="B182" s="17" t="s">
        <v>18</v>
      </c>
      <c r="C182" s="137">
        <v>56</v>
      </c>
      <c r="D182" s="110">
        <f>64-8</f>
        <v>56</v>
      </c>
      <c r="E182" s="22">
        <f t="shared" ref="E182:E203" si="35">E181-C182+D182</f>
        <v>56</v>
      </c>
      <c r="G182" s="78">
        <v>40</v>
      </c>
      <c r="H182" s="62">
        <f>C178</f>
        <v>56</v>
      </c>
      <c r="I182" s="20"/>
      <c r="J182" s="21"/>
      <c r="K182" s="57">
        <v>56</v>
      </c>
      <c r="L182" s="23">
        <f t="shared" si="30"/>
        <v>64</v>
      </c>
      <c r="M182" s="23">
        <f t="shared" si="31"/>
        <v>64</v>
      </c>
      <c r="N182" s="23"/>
      <c r="O182" s="23">
        <v>0</v>
      </c>
    </row>
    <row r="183" spans="1:18" hidden="1" outlineLevel="1">
      <c r="A183" s="96">
        <v>45279</v>
      </c>
      <c r="B183" s="17" t="s">
        <v>19</v>
      </c>
      <c r="C183" s="137">
        <v>80</v>
      </c>
      <c r="D183" s="110">
        <f>64+8</f>
        <v>72</v>
      </c>
      <c r="E183" s="22">
        <f t="shared" si="35"/>
        <v>48</v>
      </c>
      <c r="G183" s="78">
        <v>96</v>
      </c>
      <c r="H183" s="62">
        <f>C179</f>
        <v>56</v>
      </c>
      <c r="I183" s="20"/>
      <c r="J183" s="21"/>
      <c r="K183" s="57">
        <v>56</v>
      </c>
      <c r="L183" s="23">
        <f t="shared" si="30"/>
        <v>24</v>
      </c>
      <c r="M183" s="23">
        <f t="shared" si="31"/>
        <v>24</v>
      </c>
      <c r="N183" s="23"/>
      <c r="O183" s="23">
        <v>0</v>
      </c>
    </row>
    <row r="184" spans="1:18" hidden="1" outlineLevel="1">
      <c r="A184" s="96">
        <v>45280</v>
      </c>
      <c r="B184" s="17" t="s">
        <v>20</v>
      </c>
      <c r="C184" s="137">
        <v>40</v>
      </c>
      <c r="D184" s="110">
        <f>64-24</f>
        <v>40</v>
      </c>
      <c r="E184" s="22">
        <f t="shared" si="35"/>
        <v>48</v>
      </c>
      <c r="G184" s="78">
        <v>88</v>
      </c>
      <c r="H184" s="62">
        <f>C182</f>
        <v>56</v>
      </c>
      <c r="I184" s="20"/>
      <c r="J184" s="21"/>
      <c r="K184" s="57">
        <v>56</v>
      </c>
      <c r="L184" s="23">
        <f t="shared" si="30"/>
        <v>-8</v>
      </c>
      <c r="M184" s="23">
        <f t="shared" si="31"/>
        <v>-8</v>
      </c>
      <c r="N184" s="23"/>
      <c r="O184" s="23">
        <v>2</v>
      </c>
    </row>
    <row r="185" spans="1:18" hidden="1" outlineLevel="1">
      <c r="A185" s="96">
        <v>45281</v>
      </c>
      <c r="B185" s="17" t="s">
        <v>14</v>
      </c>
      <c r="C185" s="137">
        <v>57</v>
      </c>
      <c r="D185" s="110">
        <f>64-24</f>
        <v>40</v>
      </c>
      <c r="E185" s="22">
        <f t="shared" si="35"/>
        <v>31</v>
      </c>
      <c r="G185" s="78">
        <v>56</v>
      </c>
      <c r="H185" s="62">
        <f>C183+I185</f>
        <v>80</v>
      </c>
      <c r="I185" s="20"/>
      <c r="J185" s="21"/>
      <c r="K185" s="57">
        <v>80</v>
      </c>
      <c r="L185" s="23">
        <f t="shared" si="30"/>
        <v>16</v>
      </c>
      <c r="M185" s="23">
        <f t="shared" si="31"/>
        <v>16</v>
      </c>
      <c r="N185" s="23"/>
      <c r="O185" s="23">
        <v>8</v>
      </c>
    </row>
    <row r="186" spans="1:18" hidden="1" outlineLevel="1">
      <c r="A186" s="96">
        <v>45282</v>
      </c>
      <c r="B186" s="17" t="s">
        <v>15</v>
      </c>
      <c r="C186" s="137">
        <v>59</v>
      </c>
      <c r="D186" s="110">
        <f>56+64-120</f>
        <v>0</v>
      </c>
      <c r="E186" s="22">
        <f t="shared" si="35"/>
        <v>-28</v>
      </c>
      <c r="G186" s="78">
        <v>72</v>
      </c>
      <c r="H186" s="62">
        <f>C184+I186</f>
        <v>80</v>
      </c>
      <c r="I186" s="20">
        <f>(4+6)*4</f>
        <v>40</v>
      </c>
      <c r="J186" s="21"/>
      <c r="K186" s="57">
        <v>80</v>
      </c>
      <c r="L186" s="23">
        <f t="shared" si="30"/>
        <v>24</v>
      </c>
      <c r="M186" s="23">
        <f t="shared" si="31"/>
        <v>24</v>
      </c>
      <c r="N186" s="23"/>
      <c r="O186" s="23">
        <v>1</v>
      </c>
      <c r="Q186" s="1">
        <f>AVERAGE(G182:G186)</f>
        <v>70.400000000000006</v>
      </c>
    </row>
    <row r="187" spans="1:18" s="12" customFormat="1" hidden="1" outlineLevel="1">
      <c r="A187" s="95">
        <v>45283</v>
      </c>
      <c r="B187" s="25" t="s">
        <v>16</v>
      </c>
      <c r="C187" s="98"/>
      <c r="D187" s="99"/>
      <c r="E187" s="87">
        <f t="shared" si="35"/>
        <v>-28</v>
      </c>
      <c r="G187" s="79">
        <v>32</v>
      </c>
      <c r="H187" s="63"/>
      <c r="I187" s="27"/>
      <c r="J187" s="28"/>
      <c r="K187" s="43"/>
      <c r="L187" s="29">
        <f t="shared" si="30"/>
        <v>-8</v>
      </c>
      <c r="M187" s="29">
        <f>M186-G187+H187</f>
        <v>-8</v>
      </c>
      <c r="N187" s="29"/>
      <c r="O187" s="29"/>
    </row>
    <row r="188" spans="1:18" s="12" customFormat="1" hidden="1" outlineLevel="1">
      <c r="A188" s="95">
        <v>45284</v>
      </c>
      <c r="B188" s="25" t="s">
        <v>17</v>
      </c>
      <c r="C188" s="98"/>
      <c r="D188" s="99"/>
      <c r="E188" s="87">
        <f t="shared" si="35"/>
        <v>-28</v>
      </c>
      <c r="G188" s="64"/>
      <c r="H188" s="63"/>
      <c r="I188" s="27"/>
      <c r="J188" s="28"/>
      <c r="K188" s="43"/>
      <c r="L188" s="29">
        <f t="shared" si="30"/>
        <v>-8</v>
      </c>
      <c r="M188" s="29">
        <f t="shared" si="31"/>
        <v>-8</v>
      </c>
      <c r="N188" s="29"/>
      <c r="O188" s="29"/>
    </row>
    <row r="189" spans="1:18" hidden="1" outlineLevel="1">
      <c r="A189" s="96">
        <v>45285</v>
      </c>
      <c r="B189" s="17" t="s">
        <v>18</v>
      </c>
      <c r="C189" s="157"/>
      <c r="D189" s="110">
        <f>0+120-37</f>
        <v>83</v>
      </c>
      <c r="E189" s="22">
        <f t="shared" si="35"/>
        <v>55</v>
      </c>
      <c r="G189" s="78">
        <v>17</v>
      </c>
      <c r="H189" s="62">
        <f>C185</f>
        <v>57</v>
      </c>
      <c r="I189" s="20"/>
      <c r="J189" s="21"/>
      <c r="K189" s="57">
        <v>57</v>
      </c>
      <c r="L189" s="23">
        <f t="shared" si="30"/>
        <v>32</v>
      </c>
      <c r="M189" s="23">
        <f t="shared" si="31"/>
        <v>32</v>
      </c>
      <c r="N189" s="23"/>
      <c r="O189" s="23">
        <v>1</v>
      </c>
    </row>
    <row r="190" spans="1:18" hidden="1" outlineLevel="1">
      <c r="A190" s="96">
        <v>45286</v>
      </c>
      <c r="B190" s="17" t="s">
        <v>19</v>
      </c>
      <c r="C190" s="157"/>
      <c r="D190" s="100"/>
      <c r="E190" s="22">
        <f t="shared" si="35"/>
        <v>55</v>
      </c>
      <c r="G190" s="78">
        <v>0</v>
      </c>
      <c r="H190" s="62">
        <f>C186-3+I190</f>
        <v>56</v>
      </c>
      <c r="I190" s="20">
        <v>0</v>
      </c>
      <c r="J190" s="21"/>
      <c r="K190" s="57">
        <v>56</v>
      </c>
      <c r="L190" s="23">
        <f t="shared" si="30"/>
        <v>88</v>
      </c>
      <c r="M190" s="23">
        <f t="shared" si="31"/>
        <v>88</v>
      </c>
      <c r="N190" s="23"/>
      <c r="O190" s="23">
        <v>4</v>
      </c>
      <c r="R190" s="156" t="s">
        <v>31</v>
      </c>
    </row>
    <row r="191" spans="1:18" hidden="1" outlineLevel="1">
      <c r="A191" s="96">
        <v>45287</v>
      </c>
      <c r="B191" s="17" t="s">
        <v>20</v>
      </c>
      <c r="C191" s="157"/>
      <c r="D191" s="100"/>
      <c r="E191" s="22">
        <f t="shared" si="35"/>
        <v>55</v>
      </c>
      <c r="G191" s="78">
        <v>0</v>
      </c>
      <c r="H191" s="62">
        <f>C189+I191</f>
        <v>0</v>
      </c>
      <c r="I191" s="20">
        <v>0</v>
      </c>
      <c r="J191" s="21"/>
      <c r="K191" s="57">
        <v>0</v>
      </c>
      <c r="L191" s="23">
        <f t="shared" si="30"/>
        <v>88</v>
      </c>
      <c r="M191" s="23">
        <f t="shared" si="31"/>
        <v>88</v>
      </c>
      <c r="N191" s="23"/>
      <c r="O191" s="23">
        <v>6</v>
      </c>
      <c r="R191" s="153">
        <f>SUMIF(E131:E192,"追込み分",C131:C192)</f>
        <v>464</v>
      </c>
    </row>
    <row r="192" spans="1:18" hidden="1" outlineLevel="1">
      <c r="A192" s="96">
        <v>45288</v>
      </c>
      <c r="B192" s="17" t="s">
        <v>14</v>
      </c>
      <c r="C192" s="157"/>
      <c r="D192" s="100"/>
      <c r="E192" s="22">
        <f t="shared" si="35"/>
        <v>55</v>
      </c>
      <c r="G192" s="78">
        <v>48</v>
      </c>
      <c r="H192" s="62">
        <f>C190+I192</f>
        <v>0</v>
      </c>
      <c r="I192" s="20">
        <v>0</v>
      </c>
      <c r="J192" s="21"/>
      <c r="K192" s="57">
        <v>0</v>
      </c>
      <c r="L192" s="23">
        <f t="shared" si="30"/>
        <v>40</v>
      </c>
      <c r="M192" s="23">
        <f t="shared" si="31"/>
        <v>40</v>
      </c>
      <c r="N192" s="23"/>
      <c r="O192" s="23">
        <v>5</v>
      </c>
      <c r="Q192" s="97">
        <f>AVERAGE(G189:G192)</f>
        <v>16.25</v>
      </c>
    </row>
    <row r="193" spans="1:17" s="12" customFormat="1" hidden="1" outlineLevel="1">
      <c r="A193" s="95">
        <v>45289</v>
      </c>
      <c r="B193" s="25" t="s">
        <v>15</v>
      </c>
      <c r="C193" s="98"/>
      <c r="D193" s="99"/>
      <c r="E193" s="87">
        <f t="shared" si="35"/>
        <v>55</v>
      </c>
      <c r="G193" s="64"/>
      <c r="H193" s="63"/>
      <c r="I193" s="27"/>
      <c r="J193" s="28"/>
      <c r="K193" s="43"/>
      <c r="L193" s="29">
        <f t="shared" si="30"/>
        <v>40</v>
      </c>
      <c r="M193" s="29">
        <f t="shared" si="31"/>
        <v>40</v>
      </c>
      <c r="N193" s="29"/>
      <c r="O193" s="29"/>
    </row>
    <row r="194" spans="1:17" s="12" customFormat="1" hidden="1" outlineLevel="1">
      <c r="A194" s="95">
        <v>45290</v>
      </c>
      <c r="B194" s="25" t="s">
        <v>16</v>
      </c>
      <c r="C194" s="98"/>
      <c r="D194" s="99"/>
      <c r="E194" s="87">
        <f t="shared" si="35"/>
        <v>55</v>
      </c>
      <c r="G194" s="64"/>
      <c r="H194" s="63"/>
      <c r="I194" s="27"/>
      <c r="J194" s="28"/>
      <c r="K194" s="43"/>
      <c r="L194" s="29">
        <f t="shared" si="30"/>
        <v>40</v>
      </c>
      <c r="M194" s="29">
        <f t="shared" si="31"/>
        <v>40</v>
      </c>
      <c r="N194" s="29"/>
      <c r="O194" s="29"/>
    </row>
    <row r="195" spans="1:17" s="12" customFormat="1" hidden="1" outlineLevel="1">
      <c r="A195" s="95">
        <v>45291</v>
      </c>
      <c r="B195" s="25" t="s">
        <v>17</v>
      </c>
      <c r="C195" s="98"/>
      <c r="D195" s="99"/>
      <c r="E195" s="87">
        <f t="shared" si="35"/>
        <v>55</v>
      </c>
      <c r="G195" s="64"/>
      <c r="H195" s="63"/>
      <c r="I195" s="27"/>
      <c r="J195" s="28"/>
      <c r="K195" s="43"/>
      <c r="L195" s="29">
        <f t="shared" si="30"/>
        <v>40</v>
      </c>
      <c r="M195" s="29">
        <f t="shared" si="31"/>
        <v>40</v>
      </c>
      <c r="N195" s="29"/>
      <c r="O195" s="29"/>
    </row>
    <row r="196" spans="1:17" s="12" customFormat="1" hidden="1" outlineLevel="1">
      <c r="A196" s="95">
        <v>45292</v>
      </c>
      <c r="B196" s="25" t="s">
        <v>18</v>
      </c>
      <c r="C196" s="98"/>
      <c r="D196" s="99"/>
      <c r="E196" s="87">
        <f t="shared" si="35"/>
        <v>55</v>
      </c>
      <c r="G196" s="64"/>
      <c r="H196" s="63"/>
      <c r="I196" s="27"/>
      <c r="J196" s="28"/>
      <c r="K196" s="43"/>
      <c r="L196" s="29">
        <f t="shared" si="30"/>
        <v>40</v>
      </c>
      <c r="M196" s="29">
        <f t="shared" si="31"/>
        <v>40</v>
      </c>
      <c r="N196" s="29"/>
      <c r="O196" s="29"/>
    </row>
    <row r="197" spans="1:17" s="12" customFormat="1" hidden="1" outlineLevel="1">
      <c r="A197" s="95">
        <v>45293</v>
      </c>
      <c r="B197" s="25" t="s">
        <v>19</v>
      </c>
      <c r="C197" s="98"/>
      <c r="D197" s="99"/>
      <c r="E197" s="87">
        <f t="shared" si="35"/>
        <v>55</v>
      </c>
      <c r="G197" s="64"/>
      <c r="H197" s="63"/>
      <c r="I197" s="27"/>
      <c r="J197" s="28"/>
      <c r="K197" s="43"/>
      <c r="L197" s="29">
        <f t="shared" si="30"/>
        <v>40</v>
      </c>
      <c r="M197" s="29">
        <f t="shared" si="31"/>
        <v>40</v>
      </c>
      <c r="N197" s="29"/>
      <c r="O197" s="29"/>
    </row>
    <row r="198" spans="1:17" s="12" customFormat="1" hidden="1" outlineLevel="1">
      <c r="A198" s="95">
        <v>45294</v>
      </c>
      <c r="B198" s="25" t="s">
        <v>20</v>
      </c>
      <c r="C198" s="98"/>
      <c r="D198" s="99"/>
      <c r="E198" s="87">
        <f t="shared" si="35"/>
        <v>55</v>
      </c>
      <c r="G198" s="64"/>
      <c r="H198" s="63"/>
      <c r="I198" s="27"/>
      <c r="J198" s="28"/>
      <c r="K198" s="43"/>
      <c r="L198" s="29">
        <f t="shared" si="30"/>
        <v>40</v>
      </c>
      <c r="M198" s="29">
        <f t="shared" si="31"/>
        <v>40</v>
      </c>
      <c r="N198" s="29"/>
      <c r="O198" s="29"/>
    </row>
    <row r="199" spans="1:17" s="12" customFormat="1" hidden="1" outlineLevel="1">
      <c r="A199" s="95">
        <v>45295</v>
      </c>
      <c r="B199" s="25" t="s">
        <v>14</v>
      </c>
      <c r="C199" s="98"/>
      <c r="D199" s="99"/>
      <c r="E199" s="87">
        <f t="shared" si="35"/>
        <v>55</v>
      </c>
      <c r="G199" s="64"/>
      <c r="H199" s="63"/>
      <c r="I199" s="27"/>
      <c r="J199" s="28"/>
      <c r="K199" s="43"/>
      <c r="L199" s="29">
        <f t="shared" si="30"/>
        <v>40</v>
      </c>
      <c r="M199" s="29">
        <f t="shared" si="31"/>
        <v>40</v>
      </c>
      <c r="N199" s="29"/>
      <c r="O199" s="29"/>
    </row>
    <row r="200" spans="1:17" hidden="1" outlineLevel="1">
      <c r="A200" s="96">
        <v>45296</v>
      </c>
      <c r="B200" s="17" t="s">
        <v>15</v>
      </c>
      <c r="C200" s="157"/>
      <c r="D200" s="100"/>
      <c r="E200" s="22">
        <f t="shared" si="35"/>
        <v>55</v>
      </c>
      <c r="G200" s="78">
        <v>40</v>
      </c>
      <c r="H200" s="62">
        <f>C191+I200</f>
        <v>40</v>
      </c>
      <c r="I200" s="20">
        <v>40</v>
      </c>
      <c r="J200" s="21"/>
      <c r="K200" s="57">
        <v>40</v>
      </c>
      <c r="L200" s="23">
        <f t="shared" si="30"/>
        <v>40</v>
      </c>
      <c r="M200" s="23">
        <f t="shared" si="31"/>
        <v>40</v>
      </c>
      <c r="N200" s="23"/>
      <c r="O200" s="23">
        <v>4</v>
      </c>
    </row>
    <row r="201" spans="1:17" hidden="1" outlineLevel="1">
      <c r="A201" s="96">
        <v>45297</v>
      </c>
      <c r="B201" s="17" t="s">
        <v>16</v>
      </c>
      <c r="C201" s="157"/>
      <c r="D201" s="100"/>
      <c r="E201" s="22">
        <f t="shared" si="35"/>
        <v>55</v>
      </c>
      <c r="G201" s="78">
        <v>32</v>
      </c>
      <c r="H201" s="62">
        <f>C192+I201</f>
        <v>40</v>
      </c>
      <c r="I201" s="20">
        <v>40</v>
      </c>
      <c r="J201" s="21"/>
      <c r="K201" s="57">
        <v>40</v>
      </c>
      <c r="L201" s="23">
        <f t="shared" si="30"/>
        <v>48</v>
      </c>
      <c r="M201" s="23">
        <f t="shared" si="31"/>
        <v>48</v>
      </c>
      <c r="N201" s="23"/>
      <c r="O201" s="23">
        <v>0</v>
      </c>
    </row>
    <row r="202" spans="1:17" s="12" customFormat="1" hidden="1" outlineLevel="1">
      <c r="A202" s="95">
        <v>45298</v>
      </c>
      <c r="B202" s="25" t="s">
        <v>17</v>
      </c>
      <c r="C202" s="98"/>
      <c r="D202" s="99"/>
      <c r="E202" s="87">
        <f t="shared" si="35"/>
        <v>55</v>
      </c>
      <c r="G202" s="64"/>
      <c r="H202" s="63"/>
      <c r="I202" s="27"/>
      <c r="J202" s="28"/>
      <c r="K202" s="43"/>
      <c r="L202" s="29">
        <f t="shared" si="30"/>
        <v>48</v>
      </c>
      <c r="M202" s="29">
        <f t="shared" si="31"/>
        <v>48</v>
      </c>
      <c r="N202" s="29"/>
      <c r="O202" s="29"/>
    </row>
    <row r="203" spans="1:17" s="12" customFormat="1" hidden="1" outlineLevel="1">
      <c r="A203" s="95">
        <v>45299</v>
      </c>
      <c r="B203" s="25" t="s">
        <v>18</v>
      </c>
      <c r="C203" s="98"/>
      <c r="D203" s="99"/>
      <c r="E203" s="87">
        <f t="shared" si="35"/>
        <v>55</v>
      </c>
      <c r="G203" s="64"/>
      <c r="H203" s="63"/>
      <c r="I203" s="27"/>
      <c r="J203" s="28"/>
      <c r="K203" s="43"/>
      <c r="L203" s="29">
        <f t="shared" si="30"/>
        <v>48</v>
      </c>
      <c r="M203" s="29">
        <f t="shared" si="31"/>
        <v>48</v>
      </c>
      <c r="N203" s="29"/>
      <c r="O203" s="29">
        <v>2</v>
      </c>
    </row>
    <row r="204" spans="1:17" hidden="1" outlineLevel="1">
      <c r="A204" s="96">
        <v>45300</v>
      </c>
      <c r="B204" s="17" t="s">
        <v>19</v>
      </c>
      <c r="C204" s="157"/>
      <c r="D204" s="100"/>
      <c r="E204" s="22"/>
      <c r="G204" s="78">
        <v>32</v>
      </c>
      <c r="H204" s="62">
        <f>C200+I204</f>
        <v>56</v>
      </c>
      <c r="I204" s="20">
        <v>56</v>
      </c>
      <c r="J204" s="21"/>
      <c r="K204" s="57">
        <v>56</v>
      </c>
      <c r="L204" s="23">
        <f t="shared" si="30"/>
        <v>72</v>
      </c>
      <c r="M204" s="23">
        <f t="shared" si="31"/>
        <v>72</v>
      </c>
      <c r="N204" s="23"/>
      <c r="O204" s="23">
        <v>6</v>
      </c>
    </row>
    <row r="205" spans="1:17" hidden="1" outlineLevel="1">
      <c r="A205" s="96">
        <v>45301</v>
      </c>
      <c r="B205" s="17" t="s">
        <v>20</v>
      </c>
      <c r="C205" s="179">
        <v>0</v>
      </c>
      <c r="D205" s="100"/>
      <c r="E205" s="205">
        <v>0</v>
      </c>
      <c r="G205" s="78">
        <v>120</v>
      </c>
      <c r="H205" s="62">
        <f>C201+I205</f>
        <v>56</v>
      </c>
      <c r="I205" s="20">
        <v>56</v>
      </c>
      <c r="J205" s="21"/>
      <c r="K205" s="57">
        <v>56</v>
      </c>
      <c r="L205" s="23">
        <f t="shared" si="30"/>
        <v>8</v>
      </c>
      <c r="M205" s="23">
        <f t="shared" si="31"/>
        <v>8</v>
      </c>
      <c r="N205" s="23"/>
      <c r="O205" s="23">
        <v>0</v>
      </c>
    </row>
    <row r="206" spans="1:17" hidden="1" outlineLevel="1">
      <c r="A206" s="96">
        <v>45302</v>
      </c>
      <c r="B206" s="17" t="s">
        <v>14</v>
      </c>
      <c r="C206" s="179">
        <v>0</v>
      </c>
      <c r="D206" s="100">
        <v>20</v>
      </c>
      <c r="E206" s="22">
        <f t="shared" ref="E206:E237" si="36">E205-C206+D206</f>
        <v>20</v>
      </c>
      <c r="G206" s="78">
        <v>64</v>
      </c>
      <c r="H206" s="62">
        <f>C204+I206</f>
        <v>56</v>
      </c>
      <c r="I206" s="20">
        <v>56</v>
      </c>
      <c r="J206" s="21"/>
      <c r="K206" s="61">
        <v>56</v>
      </c>
      <c r="L206" s="23">
        <f t="shared" si="30"/>
        <v>0</v>
      </c>
      <c r="M206" s="23">
        <f>M205-G206+H206</f>
        <v>0</v>
      </c>
      <c r="N206" s="23"/>
      <c r="O206" s="23">
        <v>2</v>
      </c>
    </row>
    <row r="207" spans="1:17" hidden="1" outlineLevel="1">
      <c r="A207" s="96">
        <v>45303</v>
      </c>
      <c r="B207" s="17" t="s">
        <v>15</v>
      </c>
      <c r="C207" s="183">
        <v>0</v>
      </c>
      <c r="D207" s="100">
        <v>20</v>
      </c>
      <c r="E207" s="22">
        <f t="shared" si="36"/>
        <v>40</v>
      </c>
      <c r="G207" s="78">
        <v>16</v>
      </c>
      <c r="H207" s="62">
        <f>C205+I207</f>
        <v>56</v>
      </c>
      <c r="I207" s="20">
        <v>56</v>
      </c>
      <c r="J207" s="21"/>
      <c r="K207" s="61">
        <v>56</v>
      </c>
      <c r="L207" s="23">
        <f t="shared" si="30"/>
        <v>40</v>
      </c>
      <c r="M207" s="23">
        <f>M206-G207+H207</f>
        <v>40</v>
      </c>
      <c r="N207" s="23"/>
      <c r="O207" s="23">
        <v>0</v>
      </c>
      <c r="Q207" s="97">
        <f>AVERAGE(G204:G207)</f>
        <v>58</v>
      </c>
    </row>
    <row r="208" spans="1:17" s="12" customFormat="1" hidden="1" outlineLevel="1">
      <c r="A208" s="95">
        <v>45304</v>
      </c>
      <c r="B208" s="25" t="s">
        <v>16</v>
      </c>
      <c r="C208" s="98"/>
      <c r="D208" s="99">
        <v>44</v>
      </c>
      <c r="E208" s="87">
        <f t="shared" si="36"/>
        <v>84</v>
      </c>
      <c r="G208" s="79"/>
      <c r="H208" s="63"/>
      <c r="I208" s="27"/>
      <c r="J208" s="28"/>
      <c r="K208" s="43"/>
      <c r="L208" s="29">
        <f t="shared" si="30"/>
        <v>40</v>
      </c>
      <c r="M208" s="29">
        <f t="shared" si="31"/>
        <v>40</v>
      </c>
      <c r="N208" s="29"/>
      <c r="O208" s="29"/>
    </row>
    <row r="209" spans="1:17" s="12" customFormat="1" hidden="1" outlineLevel="1">
      <c r="A209" s="95">
        <v>45305</v>
      </c>
      <c r="B209" s="25" t="s">
        <v>17</v>
      </c>
      <c r="C209" s="98"/>
      <c r="D209" s="99"/>
      <c r="E209" s="87">
        <f t="shared" si="36"/>
        <v>84</v>
      </c>
      <c r="G209" s="79"/>
      <c r="H209" s="63"/>
      <c r="I209" s="27"/>
      <c r="J209" s="28"/>
      <c r="K209" s="43"/>
      <c r="L209" s="29">
        <f t="shared" si="30"/>
        <v>40</v>
      </c>
      <c r="M209" s="29">
        <f t="shared" si="31"/>
        <v>40</v>
      </c>
      <c r="N209" s="29"/>
      <c r="O209" s="29"/>
    </row>
    <row r="210" spans="1:17" hidden="1" outlineLevel="1">
      <c r="A210" s="96">
        <v>45306</v>
      </c>
      <c r="B210" s="17" t="s">
        <v>18</v>
      </c>
      <c r="C210" s="101">
        <v>56</v>
      </c>
      <c r="D210" s="100">
        <v>56</v>
      </c>
      <c r="E210" s="22">
        <f t="shared" si="36"/>
        <v>84</v>
      </c>
      <c r="G210" s="78">
        <v>64</v>
      </c>
      <c r="H210" s="62">
        <f>C206+I210</f>
        <v>56</v>
      </c>
      <c r="I210" s="20">
        <v>56</v>
      </c>
      <c r="J210" s="21"/>
      <c r="K210" s="193">
        <v>56</v>
      </c>
      <c r="L210" s="23">
        <f t="shared" si="30"/>
        <v>32</v>
      </c>
      <c r="M210" s="23">
        <f>M209-G210+H210</f>
        <v>32</v>
      </c>
      <c r="N210" s="23"/>
      <c r="O210" s="23">
        <v>2</v>
      </c>
    </row>
    <row r="211" spans="1:17" hidden="1" outlineLevel="1">
      <c r="A211" s="96">
        <v>45307</v>
      </c>
      <c r="B211" s="17" t="s">
        <v>19</v>
      </c>
      <c r="C211" s="101">
        <v>56</v>
      </c>
      <c r="D211" s="100">
        <v>64</v>
      </c>
      <c r="E211" s="22">
        <f t="shared" si="36"/>
        <v>92</v>
      </c>
      <c r="G211" s="78">
        <v>32</v>
      </c>
      <c r="H211" s="62">
        <v>40</v>
      </c>
      <c r="I211" s="20">
        <f>32-16+16+16</f>
        <v>48</v>
      </c>
      <c r="J211" s="21"/>
      <c r="K211" s="193">
        <v>40</v>
      </c>
      <c r="L211" s="23">
        <f t="shared" si="30"/>
        <v>40</v>
      </c>
      <c r="M211" s="23">
        <f>M210-G211+H211</f>
        <v>40</v>
      </c>
      <c r="N211" s="23"/>
      <c r="O211" s="23">
        <v>0</v>
      </c>
    </row>
    <row r="212" spans="1:17" hidden="1" outlineLevel="1">
      <c r="A212" s="96">
        <v>45308</v>
      </c>
      <c r="B212" s="17" t="s">
        <v>20</v>
      </c>
      <c r="C212" s="101">
        <v>64</v>
      </c>
      <c r="D212" s="100">
        <v>64</v>
      </c>
      <c r="E212" s="22">
        <f t="shared" si="36"/>
        <v>92</v>
      </c>
      <c r="G212" s="78">
        <v>64</v>
      </c>
      <c r="H212" s="62">
        <f>C210+I212</f>
        <v>56</v>
      </c>
      <c r="I212" s="20">
        <v>0</v>
      </c>
      <c r="J212" s="21">
        <f>SUM(I183:I212)</f>
        <v>448</v>
      </c>
      <c r="K212" s="194">
        <v>56</v>
      </c>
      <c r="L212" s="23">
        <f>L211-G212+K212</f>
        <v>32</v>
      </c>
      <c r="M212" s="23">
        <f>M211-G212+H212</f>
        <v>32</v>
      </c>
      <c r="N212" s="23"/>
      <c r="O212" s="23">
        <v>0</v>
      </c>
    </row>
    <row r="213" spans="1:17" hidden="1" outlineLevel="1">
      <c r="A213" s="96">
        <v>45309</v>
      </c>
      <c r="B213" s="17" t="s">
        <v>14</v>
      </c>
      <c r="C213" s="101">
        <v>64</v>
      </c>
      <c r="D213" s="100">
        <v>64</v>
      </c>
      <c r="E213" s="22">
        <f t="shared" si="36"/>
        <v>92</v>
      </c>
      <c r="G213" s="78">
        <v>120</v>
      </c>
      <c r="H213" s="62">
        <f t="shared" ref="H213:H214" si="37">C211+I213</f>
        <v>56</v>
      </c>
      <c r="I213" s="20"/>
      <c r="J213" s="21"/>
      <c r="K213" s="57">
        <v>56</v>
      </c>
      <c r="L213" s="23">
        <f>L212-G213+K213</f>
        <v>-32</v>
      </c>
      <c r="M213" s="23">
        <f t="shared" si="31"/>
        <v>-32</v>
      </c>
      <c r="N213" s="23"/>
      <c r="O213" s="23">
        <v>0</v>
      </c>
    </row>
    <row r="214" spans="1:17" hidden="1" outlineLevel="1">
      <c r="A214" s="96">
        <v>45310</v>
      </c>
      <c r="B214" s="17" t="s">
        <v>15</v>
      </c>
      <c r="C214" s="101">
        <v>64</v>
      </c>
      <c r="D214" s="100">
        <v>64</v>
      </c>
      <c r="E214" s="22">
        <f t="shared" si="36"/>
        <v>92</v>
      </c>
      <c r="G214" s="78">
        <v>48</v>
      </c>
      <c r="H214" s="62">
        <f t="shared" si="37"/>
        <v>64</v>
      </c>
      <c r="I214" s="20"/>
      <c r="J214" s="21"/>
      <c r="K214" s="57">
        <v>64</v>
      </c>
      <c r="L214" s="23">
        <f>L213-G214+K214</f>
        <v>-16</v>
      </c>
      <c r="M214" s="23">
        <f>M213-G214+H214</f>
        <v>-16</v>
      </c>
      <c r="N214" s="23"/>
      <c r="O214" s="23">
        <v>8</v>
      </c>
      <c r="Q214" s="1">
        <f>AVERAGE(G210:G214)</f>
        <v>65.599999999999994</v>
      </c>
    </row>
    <row r="215" spans="1:17" s="12" customFormat="1" hidden="1" outlineLevel="1">
      <c r="A215" s="95">
        <v>45311</v>
      </c>
      <c r="B215" s="25" t="s">
        <v>16</v>
      </c>
      <c r="C215" s="98"/>
      <c r="D215" s="99"/>
      <c r="E215" s="87">
        <f t="shared" si="36"/>
        <v>92</v>
      </c>
      <c r="G215" s="79"/>
      <c r="H215" s="63"/>
      <c r="I215" s="27"/>
      <c r="J215" s="28"/>
      <c r="K215" s="43"/>
      <c r="L215" s="29">
        <f t="shared" si="30"/>
        <v>-16</v>
      </c>
      <c r="M215" s="29">
        <f t="shared" si="31"/>
        <v>-16</v>
      </c>
      <c r="N215" s="29"/>
      <c r="O215" s="29"/>
    </row>
    <row r="216" spans="1:17" s="12" customFormat="1" hidden="1" outlineLevel="1">
      <c r="A216" s="95">
        <v>45312</v>
      </c>
      <c r="B216" s="25" t="s">
        <v>17</v>
      </c>
      <c r="C216" s="98"/>
      <c r="D216" s="99"/>
      <c r="E216" s="87">
        <f t="shared" si="36"/>
        <v>92</v>
      </c>
      <c r="G216" s="79"/>
      <c r="H216" s="63"/>
      <c r="I216" s="27"/>
      <c r="J216" s="28"/>
      <c r="K216" s="43"/>
      <c r="L216" s="29">
        <f t="shared" si="30"/>
        <v>-16</v>
      </c>
      <c r="M216" s="29">
        <f t="shared" si="31"/>
        <v>-16</v>
      </c>
      <c r="N216" s="29"/>
      <c r="O216" s="29"/>
    </row>
    <row r="217" spans="1:17" hidden="1" outlineLevel="1">
      <c r="A217" s="96">
        <v>45313</v>
      </c>
      <c r="B217" s="17" t="s">
        <v>18</v>
      </c>
      <c r="C217" s="101">
        <v>64</v>
      </c>
      <c r="D217" s="100">
        <v>64</v>
      </c>
      <c r="E217" s="22">
        <f t="shared" si="36"/>
        <v>92</v>
      </c>
      <c r="G217" s="78">
        <v>48</v>
      </c>
      <c r="H217" s="62">
        <f>C213+I217</f>
        <v>64</v>
      </c>
      <c r="I217" s="20"/>
      <c r="J217" s="21"/>
      <c r="K217" s="57">
        <v>64</v>
      </c>
      <c r="L217" s="23">
        <f t="shared" si="30"/>
        <v>0</v>
      </c>
      <c r="M217" s="23">
        <f t="shared" si="31"/>
        <v>0</v>
      </c>
      <c r="N217" s="23"/>
      <c r="O217" s="23">
        <v>5</v>
      </c>
    </row>
    <row r="218" spans="1:17" hidden="1" outlineLevel="1">
      <c r="A218" s="96">
        <v>45314</v>
      </c>
      <c r="B218" s="17" t="s">
        <v>19</v>
      </c>
      <c r="C218" s="101">
        <v>56</v>
      </c>
      <c r="D218" s="100">
        <v>56</v>
      </c>
      <c r="E218" s="22">
        <f t="shared" si="36"/>
        <v>92</v>
      </c>
      <c r="G218" s="78">
        <v>64</v>
      </c>
      <c r="H218" s="62">
        <f>C214+I218</f>
        <v>64</v>
      </c>
      <c r="I218" s="20"/>
      <c r="J218" s="21"/>
      <c r="K218" s="57">
        <v>64</v>
      </c>
      <c r="L218" s="23">
        <f t="shared" si="30"/>
        <v>0</v>
      </c>
      <c r="M218" s="23">
        <f t="shared" si="31"/>
        <v>0</v>
      </c>
      <c r="N218" s="23"/>
      <c r="O218" s="23">
        <v>7</v>
      </c>
    </row>
    <row r="219" spans="1:17" hidden="1" outlineLevel="1">
      <c r="A219" s="96">
        <v>45315</v>
      </c>
      <c r="B219" s="17" t="s">
        <v>20</v>
      </c>
      <c r="C219" s="101">
        <v>56</v>
      </c>
      <c r="D219" s="100">
        <v>56</v>
      </c>
      <c r="E219" s="22">
        <f t="shared" si="36"/>
        <v>92</v>
      </c>
      <c r="G219" s="78">
        <v>64</v>
      </c>
      <c r="H219" s="62">
        <f>C217+I219</f>
        <v>64</v>
      </c>
      <c r="I219" s="20"/>
      <c r="J219" s="21"/>
      <c r="K219" s="57">
        <v>64</v>
      </c>
      <c r="L219" s="23">
        <f t="shared" si="30"/>
        <v>0</v>
      </c>
      <c r="M219" s="23">
        <f t="shared" si="31"/>
        <v>0</v>
      </c>
      <c r="N219" s="23"/>
      <c r="O219" s="23">
        <v>6</v>
      </c>
    </row>
    <row r="220" spans="1:17" hidden="1" outlineLevel="1">
      <c r="A220" s="96">
        <v>45316</v>
      </c>
      <c r="B220" s="17" t="s">
        <v>14</v>
      </c>
      <c r="C220" s="101">
        <v>56</v>
      </c>
      <c r="D220" s="100">
        <v>56</v>
      </c>
      <c r="E220" s="22">
        <f t="shared" si="36"/>
        <v>92</v>
      </c>
      <c r="G220" s="78">
        <v>64</v>
      </c>
      <c r="H220" s="62">
        <f t="shared" ref="H220:H221" si="38">C218+I220</f>
        <v>56</v>
      </c>
      <c r="I220" s="20"/>
      <c r="J220" s="21"/>
      <c r="K220" s="57">
        <v>56</v>
      </c>
      <c r="L220" s="23">
        <f t="shared" si="30"/>
        <v>-8</v>
      </c>
      <c r="M220" s="23">
        <f t="shared" si="31"/>
        <v>-8</v>
      </c>
      <c r="N220" s="23"/>
      <c r="O220" s="23">
        <v>6</v>
      </c>
    </row>
    <row r="221" spans="1:17" hidden="1" outlineLevel="1">
      <c r="A221" s="96">
        <v>45317</v>
      </c>
      <c r="B221" s="17" t="s">
        <v>15</v>
      </c>
      <c r="C221" s="101">
        <v>56</v>
      </c>
      <c r="D221" s="100">
        <v>56</v>
      </c>
      <c r="E221" s="22">
        <f t="shared" si="36"/>
        <v>92</v>
      </c>
      <c r="G221" s="78">
        <v>48</v>
      </c>
      <c r="H221" s="62">
        <f t="shared" si="38"/>
        <v>56</v>
      </c>
      <c r="I221" s="20"/>
      <c r="J221" s="21"/>
      <c r="K221" s="57">
        <v>56</v>
      </c>
      <c r="L221" s="23">
        <f t="shared" si="30"/>
        <v>0</v>
      </c>
      <c r="M221" s="23">
        <f t="shared" si="31"/>
        <v>0</v>
      </c>
      <c r="N221" s="23"/>
      <c r="O221" s="23">
        <v>9</v>
      </c>
      <c r="Q221" s="1">
        <f>AVERAGE(G217:G221)</f>
        <v>57.6</v>
      </c>
    </row>
    <row r="222" spans="1:17" s="12" customFormat="1" hidden="1" outlineLevel="1" collapsed="1">
      <c r="A222" s="95">
        <v>45318</v>
      </c>
      <c r="B222" s="25" t="s">
        <v>16</v>
      </c>
      <c r="C222" s="98"/>
      <c r="D222" s="99"/>
      <c r="E222" s="87">
        <f t="shared" si="36"/>
        <v>92</v>
      </c>
      <c r="G222" s="64"/>
      <c r="H222" s="63"/>
      <c r="I222" s="27"/>
      <c r="J222" s="28"/>
      <c r="K222" s="43"/>
      <c r="L222" s="29">
        <f t="shared" si="30"/>
        <v>0</v>
      </c>
      <c r="M222" s="29">
        <f t="shared" si="31"/>
        <v>0</v>
      </c>
      <c r="N222" s="29"/>
      <c r="O222" s="29"/>
    </row>
    <row r="223" spans="1:17" s="12" customFormat="1" hidden="1" outlineLevel="1">
      <c r="A223" s="95">
        <v>45319</v>
      </c>
      <c r="B223" s="25" t="s">
        <v>17</v>
      </c>
      <c r="C223" s="98"/>
      <c r="D223" s="99"/>
      <c r="E223" s="87">
        <f t="shared" si="36"/>
        <v>92</v>
      </c>
      <c r="G223" s="64"/>
      <c r="H223" s="63"/>
      <c r="I223" s="27"/>
      <c r="J223" s="28"/>
      <c r="K223" s="43"/>
      <c r="L223" s="29">
        <f t="shared" si="30"/>
        <v>0</v>
      </c>
      <c r="M223" s="29">
        <f t="shared" si="31"/>
        <v>0</v>
      </c>
      <c r="N223" s="29"/>
      <c r="O223" s="29"/>
    </row>
    <row r="224" spans="1:17" hidden="1" outlineLevel="1">
      <c r="A224" s="96">
        <v>45320</v>
      </c>
      <c r="B224" s="17" t="s">
        <v>18</v>
      </c>
      <c r="C224" s="101">
        <v>64</v>
      </c>
      <c r="D224" s="100">
        <v>56</v>
      </c>
      <c r="E224" s="22">
        <f t="shared" si="36"/>
        <v>84</v>
      </c>
      <c r="G224" s="78">
        <v>64</v>
      </c>
      <c r="H224" s="62">
        <f>C220+I224</f>
        <v>56</v>
      </c>
      <c r="I224" s="20"/>
      <c r="J224" s="21"/>
      <c r="K224" s="57">
        <v>56</v>
      </c>
      <c r="L224" s="23">
        <f t="shared" si="30"/>
        <v>-8</v>
      </c>
      <c r="M224" s="23">
        <f t="shared" si="31"/>
        <v>-8</v>
      </c>
      <c r="N224" s="23"/>
      <c r="O224" s="23">
        <v>0</v>
      </c>
    </row>
    <row r="225" spans="1:17" hidden="1" outlineLevel="1">
      <c r="A225" s="96">
        <v>45321</v>
      </c>
      <c r="B225" s="17" t="s">
        <v>19</v>
      </c>
      <c r="C225" s="101">
        <v>64</v>
      </c>
      <c r="D225" s="100">
        <v>56</v>
      </c>
      <c r="E225" s="22">
        <f t="shared" si="36"/>
        <v>76</v>
      </c>
      <c r="G225" s="78">
        <v>40</v>
      </c>
      <c r="H225" s="62">
        <f>C221+I225</f>
        <v>56</v>
      </c>
      <c r="I225" s="20"/>
      <c r="J225" s="21"/>
      <c r="K225" s="57">
        <v>56</v>
      </c>
      <c r="L225" s="23">
        <f t="shared" si="30"/>
        <v>8</v>
      </c>
      <c r="M225" s="23">
        <f t="shared" si="31"/>
        <v>8</v>
      </c>
      <c r="N225" s="23"/>
      <c r="O225" s="23">
        <v>2</v>
      </c>
    </row>
    <row r="226" spans="1:17" hidden="1" outlineLevel="1">
      <c r="A226" s="96">
        <v>45322</v>
      </c>
      <c r="B226" s="17" t="s">
        <v>20</v>
      </c>
      <c r="C226" s="101">
        <v>56</v>
      </c>
      <c r="D226" s="100">
        <v>56</v>
      </c>
      <c r="E226" s="22">
        <f t="shared" si="36"/>
        <v>76</v>
      </c>
      <c r="G226" s="78">
        <v>88</v>
      </c>
      <c r="H226" s="62">
        <f>C224+I226</f>
        <v>64</v>
      </c>
      <c r="I226" s="20"/>
      <c r="J226" s="21"/>
      <c r="K226" s="57">
        <v>64</v>
      </c>
      <c r="L226" s="23">
        <f t="shared" si="30"/>
        <v>-16</v>
      </c>
      <c r="M226" s="23">
        <f t="shared" si="31"/>
        <v>-16</v>
      </c>
      <c r="N226" s="23"/>
      <c r="O226" s="23">
        <v>6</v>
      </c>
    </row>
    <row r="227" spans="1:17" hidden="1" outlineLevel="1">
      <c r="A227" s="96">
        <v>45323</v>
      </c>
      <c r="B227" s="17" t="s">
        <v>14</v>
      </c>
      <c r="C227" s="101">
        <v>48</v>
      </c>
      <c r="D227" s="100">
        <v>48</v>
      </c>
      <c r="E227" s="22">
        <f t="shared" si="36"/>
        <v>76</v>
      </c>
      <c r="G227" s="78">
        <v>16</v>
      </c>
      <c r="H227" s="62">
        <f t="shared" ref="H227:H228" si="39">C225+I227</f>
        <v>64</v>
      </c>
      <c r="I227" s="20"/>
      <c r="J227" s="21"/>
      <c r="K227" s="57">
        <v>64</v>
      </c>
      <c r="L227" s="23">
        <f t="shared" ref="L227" si="40">L226-G227+K227</f>
        <v>32</v>
      </c>
      <c r="M227" s="23">
        <f t="shared" ref="M227" si="41">M226-G227+H227</f>
        <v>32</v>
      </c>
      <c r="N227" s="23"/>
      <c r="O227" s="23">
        <v>6</v>
      </c>
    </row>
    <row r="228" spans="1:17" hidden="1" outlineLevel="1">
      <c r="A228" s="96">
        <v>45324</v>
      </c>
      <c r="B228" s="17" t="s">
        <v>15</v>
      </c>
      <c r="C228" s="101">
        <v>48</v>
      </c>
      <c r="D228" s="100">
        <v>48</v>
      </c>
      <c r="E228" s="22">
        <f t="shared" si="36"/>
        <v>76</v>
      </c>
      <c r="G228" s="78">
        <v>40</v>
      </c>
      <c r="H228" s="62">
        <f t="shared" si="39"/>
        <v>56</v>
      </c>
      <c r="I228" s="20"/>
      <c r="J228" s="21"/>
      <c r="K228" s="57">
        <v>56</v>
      </c>
      <c r="L228" s="23">
        <f t="shared" ref="L228:L255" si="42">L227-G228+K228</f>
        <v>48</v>
      </c>
      <c r="M228" s="23">
        <f t="shared" ref="M228:M255" si="43">M227-G228+H228</f>
        <v>48</v>
      </c>
      <c r="N228" s="23"/>
      <c r="O228" s="23">
        <v>4</v>
      </c>
      <c r="Q228" s="1">
        <f>AVERAGE(G224:G228)</f>
        <v>49.6</v>
      </c>
    </row>
    <row r="229" spans="1:17" s="12" customFormat="1" hidden="1" outlineLevel="1">
      <c r="A229" s="95">
        <v>45325</v>
      </c>
      <c r="B229" s="25" t="s">
        <v>16</v>
      </c>
      <c r="C229" s="98"/>
      <c r="D229" s="99"/>
      <c r="E229" s="87">
        <f t="shared" si="36"/>
        <v>76</v>
      </c>
      <c r="G229" s="79"/>
      <c r="H229" s="63"/>
      <c r="I229" s="27"/>
      <c r="J229" s="28"/>
      <c r="K229" s="43"/>
      <c r="L229" s="29">
        <f t="shared" si="42"/>
        <v>48</v>
      </c>
      <c r="M229" s="29">
        <f t="shared" si="43"/>
        <v>48</v>
      </c>
      <c r="N229" s="29"/>
      <c r="O229" s="29"/>
    </row>
    <row r="230" spans="1:17" s="12" customFormat="1" hidden="1" outlineLevel="1">
      <c r="A230" s="95">
        <v>45326</v>
      </c>
      <c r="B230" s="25" t="s">
        <v>17</v>
      </c>
      <c r="C230" s="98"/>
      <c r="D230" s="99"/>
      <c r="E230" s="87">
        <f t="shared" si="36"/>
        <v>76</v>
      </c>
      <c r="G230" s="79"/>
      <c r="H230" s="63"/>
      <c r="I230" s="27"/>
      <c r="J230" s="28"/>
      <c r="K230" s="43"/>
      <c r="L230" s="29">
        <f t="shared" si="42"/>
        <v>48</v>
      </c>
      <c r="M230" s="29">
        <f t="shared" si="43"/>
        <v>48</v>
      </c>
      <c r="N230" s="29"/>
      <c r="O230" s="29"/>
    </row>
    <row r="231" spans="1:17" hidden="1" outlineLevel="1">
      <c r="A231" s="96">
        <v>45327</v>
      </c>
      <c r="B231" s="17" t="s">
        <v>18</v>
      </c>
      <c r="C231" s="101">
        <v>48</v>
      </c>
      <c r="D231" s="100">
        <v>56</v>
      </c>
      <c r="E231" s="22">
        <f t="shared" si="36"/>
        <v>84</v>
      </c>
      <c r="G231" s="78">
        <v>88</v>
      </c>
      <c r="H231" s="62">
        <f>C227+I231</f>
        <v>48</v>
      </c>
      <c r="I231" s="20"/>
      <c r="J231" s="21"/>
      <c r="K231" s="57">
        <v>48</v>
      </c>
      <c r="L231" s="23">
        <f t="shared" si="42"/>
        <v>8</v>
      </c>
      <c r="M231" s="23">
        <f t="shared" si="43"/>
        <v>8</v>
      </c>
      <c r="N231" s="23"/>
      <c r="O231" s="23">
        <v>7</v>
      </c>
    </row>
    <row r="232" spans="1:17" hidden="1" outlineLevel="1">
      <c r="A232" s="96">
        <v>45328</v>
      </c>
      <c r="B232" s="17" t="s">
        <v>19</v>
      </c>
      <c r="C232" s="101">
        <v>48</v>
      </c>
      <c r="D232" s="100">
        <v>48</v>
      </c>
      <c r="E232" s="22">
        <f t="shared" si="36"/>
        <v>84</v>
      </c>
      <c r="G232" s="78">
        <v>40</v>
      </c>
      <c r="H232" s="62">
        <f>C228+I232</f>
        <v>48</v>
      </c>
      <c r="I232" s="20"/>
      <c r="J232" s="21"/>
      <c r="K232" s="57">
        <v>48</v>
      </c>
      <c r="L232" s="23">
        <f t="shared" si="42"/>
        <v>16</v>
      </c>
      <c r="M232" s="23">
        <f t="shared" si="43"/>
        <v>16</v>
      </c>
      <c r="N232" s="23"/>
      <c r="O232" s="23">
        <v>8</v>
      </c>
    </row>
    <row r="233" spans="1:17" hidden="1" outlineLevel="1">
      <c r="A233" s="96">
        <v>45329</v>
      </c>
      <c r="B233" s="17" t="s">
        <v>20</v>
      </c>
      <c r="C233" s="101">
        <v>48</v>
      </c>
      <c r="D233" s="100">
        <v>48</v>
      </c>
      <c r="E233" s="22">
        <f t="shared" si="36"/>
        <v>84</v>
      </c>
      <c r="G233" s="78">
        <v>48</v>
      </c>
      <c r="H233" s="62">
        <v>56</v>
      </c>
      <c r="I233" s="20"/>
      <c r="J233" s="21"/>
      <c r="K233" s="57">
        <v>56</v>
      </c>
      <c r="L233" s="23">
        <f t="shared" si="42"/>
        <v>24</v>
      </c>
      <c r="M233" s="23">
        <f t="shared" si="43"/>
        <v>24</v>
      </c>
      <c r="N233" s="23"/>
      <c r="O233" s="23">
        <v>3</v>
      </c>
    </row>
    <row r="234" spans="1:17" hidden="1" outlineLevel="1">
      <c r="A234" s="96">
        <v>45330</v>
      </c>
      <c r="B234" s="17" t="s">
        <v>14</v>
      </c>
      <c r="C234" s="137">
        <v>48</v>
      </c>
      <c r="D234" s="100">
        <v>48</v>
      </c>
      <c r="E234" s="22">
        <f t="shared" si="36"/>
        <v>84</v>
      </c>
      <c r="G234" s="78">
        <v>56</v>
      </c>
      <c r="H234" s="62">
        <f t="shared" ref="H234:H235" si="44">C232+I234</f>
        <v>48</v>
      </c>
      <c r="I234" s="20"/>
      <c r="J234" s="21"/>
      <c r="K234" s="57">
        <v>48</v>
      </c>
      <c r="L234" s="23">
        <f t="shared" si="42"/>
        <v>16</v>
      </c>
      <c r="M234" s="23">
        <f t="shared" si="43"/>
        <v>16</v>
      </c>
      <c r="N234" s="23"/>
      <c r="O234" s="23">
        <v>1</v>
      </c>
    </row>
    <row r="235" spans="1:17" hidden="1" outlineLevel="1">
      <c r="A235" s="96">
        <v>45331</v>
      </c>
      <c r="B235" s="17" t="s">
        <v>15</v>
      </c>
      <c r="C235" s="137">
        <v>48</v>
      </c>
      <c r="D235" s="100">
        <v>48</v>
      </c>
      <c r="E235" s="22">
        <f t="shared" si="36"/>
        <v>84</v>
      </c>
      <c r="G235" s="78">
        <v>56</v>
      </c>
      <c r="H235" s="62">
        <f t="shared" si="44"/>
        <v>48</v>
      </c>
      <c r="I235" s="20"/>
      <c r="J235" s="21"/>
      <c r="K235" s="57">
        <v>48</v>
      </c>
      <c r="L235" s="23">
        <f t="shared" si="42"/>
        <v>8</v>
      </c>
      <c r="M235" s="23">
        <f t="shared" si="43"/>
        <v>8</v>
      </c>
      <c r="N235" s="23"/>
      <c r="O235" s="23">
        <v>8</v>
      </c>
      <c r="Q235" s="1">
        <f>AVERAGE(G231:G235)</f>
        <v>57.6</v>
      </c>
    </row>
    <row r="236" spans="1:17" s="12" customFormat="1" hidden="1" outlineLevel="1">
      <c r="A236" s="95">
        <v>45332</v>
      </c>
      <c r="B236" s="25" t="s">
        <v>16</v>
      </c>
      <c r="C236" s="98"/>
      <c r="D236" s="99"/>
      <c r="E236" s="87">
        <f t="shared" si="36"/>
        <v>84</v>
      </c>
      <c r="G236" s="79"/>
      <c r="H236" s="63"/>
      <c r="I236" s="27"/>
      <c r="J236" s="28"/>
      <c r="K236" s="43"/>
      <c r="L236" s="29">
        <f t="shared" si="42"/>
        <v>8</v>
      </c>
      <c r="M236" s="29">
        <f t="shared" si="43"/>
        <v>8</v>
      </c>
      <c r="N236" s="29"/>
      <c r="O236" s="29"/>
    </row>
    <row r="237" spans="1:17" s="12" customFormat="1" hidden="1" outlineLevel="1">
      <c r="A237" s="95">
        <v>45333</v>
      </c>
      <c r="B237" s="25" t="s">
        <v>17</v>
      </c>
      <c r="C237" s="98"/>
      <c r="D237" s="99"/>
      <c r="E237" s="87">
        <f t="shared" si="36"/>
        <v>84</v>
      </c>
      <c r="G237" s="79"/>
      <c r="H237" s="63"/>
      <c r="I237" s="27"/>
      <c r="J237" s="28"/>
      <c r="K237" s="43"/>
      <c r="L237" s="29">
        <f t="shared" si="42"/>
        <v>8</v>
      </c>
      <c r="M237" s="29">
        <f t="shared" si="43"/>
        <v>8</v>
      </c>
      <c r="N237" s="29"/>
      <c r="O237" s="29"/>
    </row>
    <row r="238" spans="1:17" s="12" customFormat="1" hidden="1" outlineLevel="1">
      <c r="A238" s="95">
        <v>45334</v>
      </c>
      <c r="B238" s="25" t="s">
        <v>18</v>
      </c>
      <c r="C238" s="89">
        <v>0</v>
      </c>
      <c r="D238" s="99"/>
      <c r="E238" s="87">
        <f t="shared" ref="E238:E269" si="45">E237-C238+D238</f>
        <v>84</v>
      </c>
      <c r="G238" s="79"/>
      <c r="H238" s="63"/>
      <c r="I238" s="27"/>
      <c r="J238" s="28"/>
      <c r="K238" s="43"/>
      <c r="L238" s="29">
        <f t="shared" si="42"/>
        <v>8</v>
      </c>
      <c r="M238" s="29">
        <f t="shared" si="43"/>
        <v>8</v>
      </c>
      <c r="N238" s="29"/>
      <c r="O238" s="29"/>
    </row>
    <row r="239" spans="1:17" hidden="1" outlineLevel="1">
      <c r="A239" s="96">
        <v>45335</v>
      </c>
      <c r="B239" s="17" t="s">
        <v>19</v>
      </c>
      <c r="C239" s="101">
        <v>40</v>
      </c>
      <c r="D239" s="100">
        <v>40</v>
      </c>
      <c r="E239" s="22">
        <f t="shared" si="45"/>
        <v>84</v>
      </c>
      <c r="G239" s="78">
        <v>56</v>
      </c>
      <c r="H239" s="62">
        <f>C234+I239</f>
        <v>48</v>
      </c>
      <c r="I239" s="20"/>
      <c r="J239" s="21"/>
      <c r="K239" s="57">
        <v>48</v>
      </c>
      <c r="L239" s="23">
        <f t="shared" si="42"/>
        <v>0</v>
      </c>
      <c r="M239" s="23">
        <f t="shared" si="43"/>
        <v>0</v>
      </c>
      <c r="N239" s="23"/>
      <c r="O239" s="23">
        <v>5</v>
      </c>
    </row>
    <row r="240" spans="1:17" hidden="1" outlineLevel="1">
      <c r="A240" s="96">
        <v>45336</v>
      </c>
      <c r="B240" s="17" t="s">
        <v>20</v>
      </c>
      <c r="C240" s="101">
        <v>42</v>
      </c>
      <c r="D240" s="100">
        <v>40</v>
      </c>
      <c r="E240" s="22">
        <f t="shared" si="45"/>
        <v>82</v>
      </c>
      <c r="G240" s="78">
        <v>64</v>
      </c>
      <c r="H240" s="62">
        <f>C235+I240</f>
        <v>48</v>
      </c>
      <c r="I240" s="20"/>
      <c r="J240" s="21"/>
      <c r="K240" s="57">
        <v>48</v>
      </c>
      <c r="L240" s="23">
        <f t="shared" si="42"/>
        <v>-16</v>
      </c>
      <c r="M240" s="23">
        <f t="shared" si="43"/>
        <v>-16</v>
      </c>
      <c r="N240" s="23"/>
      <c r="O240" s="23">
        <v>7</v>
      </c>
    </row>
    <row r="241" spans="1:17" hidden="1" outlineLevel="1">
      <c r="A241" s="96">
        <v>45337</v>
      </c>
      <c r="B241" s="17" t="s">
        <v>14</v>
      </c>
      <c r="C241" s="101">
        <v>48</v>
      </c>
      <c r="D241" s="100">
        <v>48</v>
      </c>
      <c r="E241" s="22">
        <f t="shared" si="45"/>
        <v>82</v>
      </c>
      <c r="G241" s="78">
        <v>26</v>
      </c>
      <c r="H241" s="62">
        <f>C239+I241</f>
        <v>40</v>
      </c>
      <c r="I241" s="20"/>
      <c r="J241" s="21"/>
      <c r="K241" s="57">
        <v>40</v>
      </c>
      <c r="L241" s="23">
        <f t="shared" si="42"/>
        <v>-2</v>
      </c>
      <c r="M241" s="23">
        <f t="shared" si="43"/>
        <v>-2</v>
      </c>
      <c r="N241" s="23"/>
      <c r="O241" s="23">
        <v>2</v>
      </c>
    </row>
    <row r="242" spans="1:17" hidden="1" outlineLevel="1">
      <c r="A242" s="96">
        <v>45338</v>
      </c>
      <c r="B242" s="17" t="s">
        <v>15</v>
      </c>
      <c r="C242" s="101">
        <v>48</v>
      </c>
      <c r="D242" s="100">
        <v>48</v>
      </c>
      <c r="E242" s="22">
        <f t="shared" si="45"/>
        <v>82</v>
      </c>
      <c r="G242" s="78">
        <v>32</v>
      </c>
      <c r="H242" s="62">
        <f t="shared" ref="H242" si="46">C240+I242</f>
        <v>42</v>
      </c>
      <c r="I242" s="20"/>
      <c r="J242" s="21"/>
      <c r="K242" s="57">
        <v>42</v>
      </c>
      <c r="L242" s="23">
        <f t="shared" si="42"/>
        <v>8</v>
      </c>
      <c r="M242" s="23">
        <f t="shared" si="43"/>
        <v>8</v>
      </c>
      <c r="N242" s="23"/>
      <c r="O242" s="23">
        <v>5</v>
      </c>
      <c r="Q242" s="97">
        <f>AVERAGE(G239:G242)</f>
        <v>44.5</v>
      </c>
    </row>
    <row r="243" spans="1:17" s="12" customFormat="1" hidden="1" outlineLevel="1" collapsed="1">
      <c r="A243" s="95">
        <v>45339</v>
      </c>
      <c r="B243" s="25" t="s">
        <v>16</v>
      </c>
      <c r="C243" s="98"/>
      <c r="D243" s="99"/>
      <c r="E243" s="87">
        <f t="shared" si="45"/>
        <v>82</v>
      </c>
      <c r="G243" s="64"/>
      <c r="H243" s="63"/>
      <c r="I243" s="27"/>
      <c r="J243" s="28"/>
      <c r="K243" s="43"/>
      <c r="L243" s="29">
        <f t="shared" si="42"/>
        <v>8</v>
      </c>
      <c r="M243" s="29">
        <f t="shared" si="43"/>
        <v>8</v>
      </c>
      <c r="N243" s="29"/>
      <c r="O243" s="29"/>
    </row>
    <row r="244" spans="1:17" s="12" customFormat="1" hidden="1" outlineLevel="1">
      <c r="A244" s="95">
        <v>45340</v>
      </c>
      <c r="B244" s="25" t="s">
        <v>17</v>
      </c>
      <c r="C244" s="98"/>
      <c r="D244" s="99"/>
      <c r="E244" s="87">
        <f t="shared" si="45"/>
        <v>82</v>
      </c>
      <c r="G244" s="64"/>
      <c r="H244" s="63"/>
      <c r="I244" s="27"/>
      <c r="J244" s="28"/>
      <c r="K244" s="43"/>
      <c r="L244" s="29">
        <f t="shared" si="42"/>
        <v>8</v>
      </c>
      <c r="M244" s="29">
        <f t="shared" si="43"/>
        <v>8</v>
      </c>
      <c r="N244" s="29"/>
      <c r="O244" s="29"/>
    </row>
    <row r="245" spans="1:17" hidden="1" outlineLevel="1">
      <c r="A245" s="96">
        <v>45341</v>
      </c>
      <c r="B245" s="17" t="s">
        <v>18</v>
      </c>
      <c r="C245" s="101">
        <v>48</v>
      </c>
      <c r="D245" s="100">
        <v>48</v>
      </c>
      <c r="E245" s="22">
        <f t="shared" si="45"/>
        <v>82</v>
      </c>
      <c r="G245" s="78">
        <v>64</v>
      </c>
      <c r="H245" s="62">
        <f>C241+I245</f>
        <v>48</v>
      </c>
      <c r="I245" s="20"/>
      <c r="J245" s="21"/>
      <c r="K245" s="57">
        <v>48</v>
      </c>
      <c r="L245" s="23">
        <f t="shared" si="42"/>
        <v>-8</v>
      </c>
      <c r="M245" s="23">
        <f t="shared" si="43"/>
        <v>-8</v>
      </c>
      <c r="N245" s="23"/>
      <c r="O245" s="23">
        <v>5</v>
      </c>
    </row>
    <row r="246" spans="1:17" hidden="1" outlineLevel="1">
      <c r="A246" s="96">
        <v>45342</v>
      </c>
      <c r="B246" s="17" t="s">
        <v>19</v>
      </c>
      <c r="C246" s="101">
        <v>48</v>
      </c>
      <c r="D246" s="100">
        <v>56</v>
      </c>
      <c r="E246" s="22">
        <f t="shared" si="45"/>
        <v>90</v>
      </c>
      <c r="G246" s="78">
        <v>64</v>
      </c>
      <c r="H246" s="62">
        <f>C242+I246</f>
        <v>48</v>
      </c>
      <c r="I246" s="20"/>
      <c r="J246" s="21"/>
      <c r="K246" s="57">
        <v>48</v>
      </c>
      <c r="L246" s="23">
        <f t="shared" si="42"/>
        <v>-24</v>
      </c>
      <c r="M246" s="23">
        <f t="shared" si="43"/>
        <v>-24</v>
      </c>
      <c r="N246" s="23"/>
      <c r="O246" s="23">
        <v>8</v>
      </c>
    </row>
    <row r="247" spans="1:17" hidden="1" outlineLevel="1">
      <c r="A247" s="96">
        <v>45343</v>
      </c>
      <c r="B247" s="17" t="s">
        <v>20</v>
      </c>
      <c r="C247" s="101">
        <v>48</v>
      </c>
      <c r="D247" s="100">
        <v>56</v>
      </c>
      <c r="E247" s="22">
        <f t="shared" si="45"/>
        <v>98</v>
      </c>
      <c r="G247" s="78">
        <v>56</v>
      </c>
      <c r="H247" s="62">
        <f>C245+I247</f>
        <v>48</v>
      </c>
      <c r="I247" s="20"/>
      <c r="J247" s="21"/>
      <c r="K247" s="57">
        <v>48</v>
      </c>
      <c r="L247" s="23">
        <f t="shared" si="42"/>
        <v>-32</v>
      </c>
      <c r="M247" s="23">
        <f t="shared" si="43"/>
        <v>-32</v>
      </c>
      <c r="N247" s="23"/>
      <c r="O247" s="23">
        <v>6</v>
      </c>
    </row>
    <row r="248" spans="1:17" hidden="1" outlineLevel="1">
      <c r="A248" s="96">
        <v>45344</v>
      </c>
      <c r="B248" s="17" t="s">
        <v>14</v>
      </c>
      <c r="C248" s="101">
        <v>48</v>
      </c>
      <c r="D248" s="100">
        <v>48</v>
      </c>
      <c r="E248" s="22">
        <f t="shared" si="45"/>
        <v>98</v>
      </c>
      <c r="G248" s="78">
        <v>56</v>
      </c>
      <c r="H248" s="62">
        <f t="shared" ref="H248:H249" si="47">C246+I248</f>
        <v>48</v>
      </c>
      <c r="I248" s="20"/>
      <c r="J248" s="21"/>
      <c r="K248" s="57">
        <v>48</v>
      </c>
      <c r="L248" s="23">
        <f t="shared" si="42"/>
        <v>-40</v>
      </c>
      <c r="M248" s="23">
        <f t="shared" si="43"/>
        <v>-40</v>
      </c>
      <c r="N248" s="23"/>
      <c r="O248" s="23">
        <v>6</v>
      </c>
    </row>
    <row r="249" spans="1:17" hidden="1" outlineLevel="1">
      <c r="A249" s="96">
        <v>45345</v>
      </c>
      <c r="B249" s="17" t="s">
        <v>15</v>
      </c>
      <c r="C249" s="101">
        <v>48</v>
      </c>
      <c r="D249" s="100">
        <v>48</v>
      </c>
      <c r="E249" s="22">
        <f t="shared" si="45"/>
        <v>98</v>
      </c>
      <c r="G249" s="78">
        <v>0</v>
      </c>
      <c r="H249" s="62">
        <f t="shared" si="47"/>
        <v>48</v>
      </c>
      <c r="I249" s="20"/>
      <c r="J249" s="21"/>
      <c r="K249" s="57">
        <v>48</v>
      </c>
      <c r="L249" s="23">
        <f t="shared" si="42"/>
        <v>8</v>
      </c>
      <c r="M249" s="23">
        <f t="shared" si="43"/>
        <v>8</v>
      </c>
      <c r="N249" s="23"/>
      <c r="O249" s="23">
        <v>2</v>
      </c>
      <c r="Q249" s="1">
        <f>AVERAGE(G245:G249)</f>
        <v>48</v>
      </c>
    </row>
    <row r="250" spans="1:17" s="12" customFormat="1" hidden="1" outlineLevel="1">
      <c r="A250" s="95">
        <v>45346</v>
      </c>
      <c r="B250" s="25" t="s">
        <v>16</v>
      </c>
      <c r="C250" s="98"/>
      <c r="D250" s="99"/>
      <c r="E250" s="87">
        <f t="shared" si="45"/>
        <v>98</v>
      </c>
      <c r="G250" s="64"/>
      <c r="H250" s="63"/>
      <c r="I250" s="27"/>
      <c r="J250" s="28"/>
      <c r="K250" s="43"/>
      <c r="L250" s="29">
        <f t="shared" si="42"/>
        <v>8</v>
      </c>
      <c r="M250" s="29">
        <f t="shared" si="43"/>
        <v>8</v>
      </c>
      <c r="N250" s="29"/>
      <c r="O250" s="29"/>
    </row>
    <row r="251" spans="1:17" s="12" customFormat="1" hidden="1" outlineLevel="1">
      <c r="A251" s="95">
        <v>45347</v>
      </c>
      <c r="B251" s="25" t="s">
        <v>17</v>
      </c>
      <c r="C251" s="98"/>
      <c r="D251" s="99"/>
      <c r="E251" s="87">
        <f t="shared" si="45"/>
        <v>98</v>
      </c>
      <c r="G251" s="64"/>
      <c r="H251" s="63"/>
      <c r="I251" s="27"/>
      <c r="J251" s="28"/>
      <c r="K251" s="43"/>
      <c r="L251" s="29">
        <f t="shared" si="42"/>
        <v>8</v>
      </c>
      <c r="M251" s="29">
        <f t="shared" si="43"/>
        <v>8</v>
      </c>
      <c r="N251" s="29"/>
      <c r="O251" s="29"/>
    </row>
    <row r="252" spans="1:17" hidden="1" outlineLevel="1">
      <c r="A252" s="96">
        <v>45348</v>
      </c>
      <c r="B252" s="17" t="s">
        <v>18</v>
      </c>
      <c r="C252" s="101">
        <v>40</v>
      </c>
      <c r="D252" s="100">
        <v>40</v>
      </c>
      <c r="E252" s="22">
        <f t="shared" si="45"/>
        <v>98</v>
      </c>
      <c r="G252" s="78">
        <v>32</v>
      </c>
      <c r="H252" s="62">
        <f>C248+I252</f>
        <v>48</v>
      </c>
      <c r="I252" s="20"/>
      <c r="J252" s="21"/>
      <c r="K252" s="57">
        <v>48</v>
      </c>
      <c r="L252" s="23">
        <f t="shared" si="42"/>
        <v>24</v>
      </c>
      <c r="M252" s="23">
        <f t="shared" si="43"/>
        <v>24</v>
      </c>
      <c r="N252" s="23"/>
      <c r="O252" s="23">
        <v>4</v>
      </c>
    </row>
    <row r="253" spans="1:17" hidden="1" outlineLevel="1">
      <c r="A253" s="96">
        <v>45349</v>
      </c>
      <c r="B253" s="17" t="s">
        <v>19</v>
      </c>
      <c r="C253" s="101">
        <v>40</v>
      </c>
      <c r="D253" s="100">
        <v>40</v>
      </c>
      <c r="E253" s="22">
        <f t="shared" si="45"/>
        <v>98</v>
      </c>
      <c r="G253" s="78">
        <v>16</v>
      </c>
      <c r="H253" s="62">
        <f>C249+I253</f>
        <v>48</v>
      </c>
      <c r="I253" s="20"/>
      <c r="J253" s="21"/>
      <c r="K253" s="57">
        <v>48</v>
      </c>
      <c r="L253" s="23">
        <f t="shared" si="42"/>
        <v>56</v>
      </c>
      <c r="M253" s="23">
        <f t="shared" si="43"/>
        <v>56</v>
      </c>
      <c r="N253" s="23"/>
      <c r="O253" s="23">
        <v>7</v>
      </c>
    </row>
    <row r="254" spans="1:17" hidden="1" outlineLevel="1">
      <c r="A254" s="96">
        <v>45350</v>
      </c>
      <c r="B254" s="17" t="s">
        <v>20</v>
      </c>
      <c r="C254" s="101">
        <v>40</v>
      </c>
      <c r="D254" s="100">
        <v>40</v>
      </c>
      <c r="E254" s="22">
        <f t="shared" si="45"/>
        <v>98</v>
      </c>
      <c r="G254" s="78">
        <v>64</v>
      </c>
      <c r="H254" s="62">
        <f>C252+I254</f>
        <v>40</v>
      </c>
      <c r="I254" s="20"/>
      <c r="J254" s="21"/>
      <c r="K254" s="57">
        <v>40</v>
      </c>
      <c r="L254" s="23">
        <f t="shared" si="42"/>
        <v>32</v>
      </c>
      <c r="M254" s="23">
        <f t="shared" si="43"/>
        <v>32</v>
      </c>
      <c r="N254" s="23"/>
      <c r="O254" s="23">
        <v>4</v>
      </c>
    </row>
    <row r="255" spans="1:17" hidden="1" outlineLevel="1">
      <c r="A255" s="96">
        <v>45351</v>
      </c>
      <c r="B255" s="17" t="s">
        <v>14</v>
      </c>
      <c r="C255" s="101">
        <v>48</v>
      </c>
      <c r="D255" s="100">
        <v>48</v>
      </c>
      <c r="E255" s="22">
        <f t="shared" si="45"/>
        <v>98</v>
      </c>
      <c r="G255" s="78">
        <v>96</v>
      </c>
      <c r="H255" s="62">
        <f t="shared" ref="H255:H284" si="48">C253+I255</f>
        <v>40</v>
      </c>
      <c r="I255" s="20"/>
      <c r="J255" s="21"/>
      <c r="K255" s="57">
        <v>40</v>
      </c>
      <c r="L255" s="23">
        <f t="shared" si="42"/>
        <v>-24</v>
      </c>
      <c r="M255" s="23">
        <f t="shared" si="43"/>
        <v>-24</v>
      </c>
      <c r="N255" s="23"/>
      <c r="O255" s="23">
        <v>6</v>
      </c>
    </row>
    <row r="256" spans="1:17" hidden="1" outlineLevel="1">
      <c r="A256" s="96">
        <v>45352</v>
      </c>
      <c r="B256" s="17" t="s">
        <v>15</v>
      </c>
      <c r="C256" s="101">
        <v>48</v>
      </c>
      <c r="D256" s="100">
        <v>48</v>
      </c>
      <c r="E256" s="22">
        <f t="shared" si="45"/>
        <v>98</v>
      </c>
      <c r="G256" s="78">
        <v>0</v>
      </c>
      <c r="H256" s="62">
        <f t="shared" si="48"/>
        <v>40</v>
      </c>
      <c r="I256" s="20"/>
      <c r="J256" s="21"/>
      <c r="K256" s="57">
        <v>40</v>
      </c>
      <c r="L256" s="23">
        <f t="shared" ref="L256:L295" si="49">L255-G256+K256</f>
        <v>16</v>
      </c>
      <c r="M256" s="23">
        <f t="shared" ref="M256:M295" si="50">M255-G256+H256</f>
        <v>16</v>
      </c>
      <c r="N256" s="23"/>
      <c r="O256" s="23">
        <v>5</v>
      </c>
      <c r="Q256" s="1">
        <f>AVERAGE(G252:G256)</f>
        <v>41.6</v>
      </c>
    </row>
    <row r="257" spans="1:17" s="12" customFormat="1" hidden="1" outlineLevel="1" collapsed="1">
      <c r="A257" s="95">
        <v>45353</v>
      </c>
      <c r="B257" s="25" t="s">
        <v>16</v>
      </c>
      <c r="C257" s="98"/>
      <c r="D257" s="99"/>
      <c r="E257" s="87">
        <f t="shared" si="45"/>
        <v>98</v>
      </c>
      <c r="G257" s="64"/>
      <c r="H257" s="63"/>
      <c r="I257" s="27"/>
      <c r="J257" s="28"/>
      <c r="K257" s="43"/>
      <c r="L257" s="29">
        <f t="shared" si="49"/>
        <v>16</v>
      </c>
      <c r="M257" s="29">
        <f t="shared" si="50"/>
        <v>16</v>
      </c>
      <c r="N257" s="29"/>
      <c r="O257" s="29"/>
    </row>
    <row r="258" spans="1:17" s="12" customFormat="1" hidden="1" outlineLevel="1">
      <c r="A258" s="95">
        <v>45354</v>
      </c>
      <c r="B258" s="25" t="s">
        <v>17</v>
      </c>
      <c r="C258" s="98"/>
      <c r="D258" s="99"/>
      <c r="E258" s="87">
        <f t="shared" si="45"/>
        <v>98</v>
      </c>
      <c r="G258" s="64"/>
      <c r="H258" s="63"/>
      <c r="I258" s="27"/>
      <c r="J258" s="28"/>
      <c r="K258" s="43"/>
      <c r="L258" s="29">
        <f t="shared" si="49"/>
        <v>16</v>
      </c>
      <c r="M258" s="29">
        <f t="shared" si="50"/>
        <v>16</v>
      </c>
      <c r="N258" s="29"/>
      <c r="O258" s="29"/>
    </row>
    <row r="259" spans="1:17" hidden="1" outlineLevel="1">
      <c r="A259" s="96">
        <v>45355</v>
      </c>
      <c r="B259" s="17" t="s">
        <v>18</v>
      </c>
      <c r="C259" s="206">
        <v>0</v>
      </c>
      <c r="D259" s="100">
        <v>0</v>
      </c>
      <c r="E259" s="22">
        <f t="shared" si="45"/>
        <v>98</v>
      </c>
      <c r="G259" s="78">
        <v>0</v>
      </c>
      <c r="H259" s="62">
        <f>C255+I259</f>
        <v>48</v>
      </c>
      <c r="I259" s="20"/>
      <c r="J259" s="21"/>
      <c r="K259" s="57">
        <v>48</v>
      </c>
      <c r="L259" s="23">
        <f t="shared" si="49"/>
        <v>64</v>
      </c>
      <c r="M259" s="23">
        <f t="shared" si="50"/>
        <v>64</v>
      </c>
      <c r="N259" s="23"/>
      <c r="O259" s="23">
        <v>7</v>
      </c>
    </row>
    <row r="260" spans="1:17" hidden="1" outlineLevel="1">
      <c r="A260" s="96">
        <v>45356</v>
      </c>
      <c r="B260" s="17" t="s">
        <v>19</v>
      </c>
      <c r="C260" s="101">
        <v>40</v>
      </c>
      <c r="D260" s="100">
        <v>40</v>
      </c>
      <c r="E260" s="22">
        <f t="shared" si="45"/>
        <v>98</v>
      </c>
      <c r="G260" s="78">
        <v>64</v>
      </c>
      <c r="H260" s="62">
        <f>C256+I260</f>
        <v>48</v>
      </c>
      <c r="I260" s="20"/>
      <c r="J260" s="21"/>
      <c r="K260" s="57">
        <v>48</v>
      </c>
      <c r="L260" s="23">
        <f t="shared" si="49"/>
        <v>48</v>
      </c>
      <c r="M260" s="23">
        <f t="shared" si="50"/>
        <v>48</v>
      </c>
      <c r="N260" s="23"/>
      <c r="O260" s="23">
        <v>3</v>
      </c>
    </row>
    <row r="261" spans="1:17" hidden="1" outlineLevel="1">
      <c r="A261" s="96">
        <v>45357</v>
      </c>
      <c r="B261" s="17" t="s">
        <v>20</v>
      </c>
      <c r="C261" s="101">
        <v>40</v>
      </c>
      <c r="D261" s="100">
        <v>40</v>
      </c>
      <c r="E261" s="22">
        <f t="shared" si="45"/>
        <v>98</v>
      </c>
      <c r="G261" s="78">
        <v>32</v>
      </c>
      <c r="H261" s="62">
        <f>C259+I261</f>
        <v>0</v>
      </c>
      <c r="I261" s="20"/>
      <c r="J261" s="21"/>
      <c r="K261" s="57">
        <v>0</v>
      </c>
      <c r="L261" s="23">
        <f t="shared" si="49"/>
        <v>16</v>
      </c>
      <c r="M261" s="23">
        <f t="shared" si="50"/>
        <v>16</v>
      </c>
      <c r="N261" s="23"/>
      <c r="O261" s="23">
        <v>2</v>
      </c>
    </row>
    <row r="262" spans="1:17" hidden="1" outlineLevel="1">
      <c r="A262" s="96">
        <v>45358</v>
      </c>
      <c r="B262" s="17" t="s">
        <v>14</v>
      </c>
      <c r="C262" s="101">
        <v>48</v>
      </c>
      <c r="D262" s="100">
        <v>48</v>
      </c>
      <c r="E262" s="22">
        <f t="shared" si="45"/>
        <v>98</v>
      </c>
      <c r="G262" s="78">
        <v>56</v>
      </c>
      <c r="H262" s="62">
        <f t="shared" si="48"/>
        <v>40</v>
      </c>
      <c r="I262" s="20"/>
      <c r="J262" s="21"/>
      <c r="K262" s="57">
        <v>40</v>
      </c>
      <c r="L262" s="23">
        <f t="shared" si="49"/>
        <v>0</v>
      </c>
      <c r="M262" s="23">
        <f t="shared" si="50"/>
        <v>0</v>
      </c>
      <c r="N262" s="23"/>
      <c r="O262" s="23">
        <v>5</v>
      </c>
    </row>
    <row r="263" spans="1:17" hidden="1" outlineLevel="1">
      <c r="A263" s="96">
        <v>45359</v>
      </c>
      <c r="B263" s="17" t="s">
        <v>15</v>
      </c>
      <c r="C263" s="101">
        <v>48</v>
      </c>
      <c r="D263" s="100">
        <v>48</v>
      </c>
      <c r="E263" s="22">
        <f t="shared" si="45"/>
        <v>98</v>
      </c>
      <c r="G263" s="78">
        <v>80</v>
      </c>
      <c r="H263" s="62">
        <f t="shared" si="48"/>
        <v>40</v>
      </c>
      <c r="I263" s="20"/>
      <c r="J263" s="21"/>
      <c r="K263" s="57">
        <v>40</v>
      </c>
      <c r="L263" s="23">
        <f t="shared" si="49"/>
        <v>-40</v>
      </c>
      <c r="M263" s="23">
        <f t="shared" si="50"/>
        <v>-40</v>
      </c>
      <c r="N263" s="23"/>
      <c r="O263" s="23">
        <v>3</v>
      </c>
      <c r="Q263" s="1">
        <f>AVERAGE(G259:G263)</f>
        <v>46.4</v>
      </c>
    </row>
    <row r="264" spans="1:17" s="12" customFormat="1" hidden="1" outlineLevel="1" collapsed="1">
      <c r="A264" s="95">
        <v>45360</v>
      </c>
      <c r="B264" s="25" t="s">
        <v>16</v>
      </c>
      <c r="C264" s="98"/>
      <c r="D264" s="99"/>
      <c r="E264" s="87">
        <f t="shared" si="45"/>
        <v>98</v>
      </c>
      <c r="G264" s="79"/>
      <c r="H264" s="63"/>
      <c r="I264" s="27"/>
      <c r="J264" s="28"/>
      <c r="K264" s="43"/>
      <c r="L264" s="29">
        <f t="shared" si="49"/>
        <v>-40</v>
      </c>
      <c r="M264" s="29">
        <f t="shared" si="50"/>
        <v>-40</v>
      </c>
      <c r="N264" s="29"/>
      <c r="O264" s="29"/>
    </row>
    <row r="265" spans="1:17" s="12" customFormat="1" hidden="1" outlineLevel="1">
      <c r="A265" s="95">
        <v>45361</v>
      </c>
      <c r="B265" s="25" t="s">
        <v>17</v>
      </c>
      <c r="C265" s="98"/>
      <c r="D265" s="99"/>
      <c r="E265" s="87">
        <f t="shared" si="45"/>
        <v>98</v>
      </c>
      <c r="G265" s="79"/>
      <c r="H265" s="63"/>
      <c r="I265" s="27"/>
      <c r="J265" s="28"/>
      <c r="K265" s="43"/>
      <c r="L265" s="29">
        <f t="shared" si="49"/>
        <v>-40</v>
      </c>
      <c r="M265" s="29">
        <f t="shared" si="50"/>
        <v>-40</v>
      </c>
      <c r="N265" s="29"/>
      <c r="O265" s="29"/>
    </row>
    <row r="266" spans="1:17" hidden="1" outlineLevel="1">
      <c r="A266" s="96">
        <v>45362</v>
      </c>
      <c r="B266" s="17" t="s">
        <v>18</v>
      </c>
      <c r="C266" s="101">
        <v>48</v>
      </c>
      <c r="D266" s="100">
        <v>48</v>
      </c>
      <c r="E266" s="22">
        <f t="shared" si="45"/>
        <v>98</v>
      </c>
      <c r="G266" s="78">
        <v>48</v>
      </c>
      <c r="H266" s="62">
        <f>C262+I266</f>
        <v>48</v>
      </c>
      <c r="I266" s="20"/>
      <c r="J266" s="21"/>
      <c r="K266" s="57">
        <v>48</v>
      </c>
      <c r="L266" s="23">
        <f t="shared" si="49"/>
        <v>-40</v>
      </c>
      <c r="M266" s="23">
        <f t="shared" si="50"/>
        <v>-40</v>
      </c>
      <c r="N266" s="23"/>
      <c r="O266" s="23">
        <v>5</v>
      </c>
    </row>
    <row r="267" spans="1:17" hidden="1" outlineLevel="1">
      <c r="A267" s="96">
        <v>45363</v>
      </c>
      <c r="B267" s="17" t="s">
        <v>19</v>
      </c>
      <c r="C267" s="101">
        <v>48</v>
      </c>
      <c r="D267" s="100">
        <v>48</v>
      </c>
      <c r="E267" s="22">
        <f t="shared" si="45"/>
        <v>98</v>
      </c>
      <c r="G267" s="78">
        <v>56</v>
      </c>
      <c r="H267" s="62">
        <f>C263+I267</f>
        <v>48</v>
      </c>
      <c r="I267" s="20"/>
      <c r="J267" s="21"/>
      <c r="K267" s="57">
        <v>48</v>
      </c>
      <c r="L267" s="23">
        <f t="shared" si="49"/>
        <v>-48</v>
      </c>
      <c r="M267" s="23">
        <f t="shared" si="50"/>
        <v>-48</v>
      </c>
      <c r="N267" s="23"/>
      <c r="O267" s="23">
        <v>7</v>
      </c>
    </row>
    <row r="268" spans="1:17" hidden="1" outlineLevel="1">
      <c r="A268" s="96">
        <v>45364</v>
      </c>
      <c r="B268" s="17" t="s">
        <v>20</v>
      </c>
      <c r="C268" s="101">
        <f>48+6</f>
        <v>54</v>
      </c>
      <c r="D268" s="100">
        <v>48</v>
      </c>
      <c r="E268" s="22">
        <f t="shared" si="45"/>
        <v>92</v>
      </c>
      <c r="G268" s="78">
        <v>48</v>
      </c>
      <c r="H268" s="62">
        <f>C266+I268</f>
        <v>48</v>
      </c>
      <c r="I268" s="20"/>
      <c r="J268" s="21"/>
      <c r="K268" s="57">
        <v>48</v>
      </c>
      <c r="L268" s="23">
        <f t="shared" si="49"/>
        <v>-48</v>
      </c>
      <c r="M268" s="23">
        <f t="shared" si="50"/>
        <v>-48</v>
      </c>
      <c r="N268" s="23"/>
      <c r="O268" s="23">
        <v>6</v>
      </c>
    </row>
    <row r="269" spans="1:17" hidden="1" outlineLevel="1">
      <c r="A269" s="96">
        <v>45365</v>
      </c>
      <c r="B269" s="17" t="s">
        <v>14</v>
      </c>
      <c r="C269" s="101">
        <v>50</v>
      </c>
      <c r="D269" s="100">
        <v>52</v>
      </c>
      <c r="E269" s="22">
        <f t="shared" si="45"/>
        <v>94</v>
      </c>
      <c r="G269" s="78">
        <v>40</v>
      </c>
      <c r="H269" s="62">
        <f t="shared" si="48"/>
        <v>48</v>
      </c>
      <c r="I269" s="20"/>
      <c r="J269" s="21"/>
      <c r="K269" s="57">
        <v>48</v>
      </c>
      <c r="L269" s="23">
        <f t="shared" si="49"/>
        <v>-40</v>
      </c>
      <c r="M269" s="23">
        <f t="shared" si="50"/>
        <v>-40</v>
      </c>
      <c r="N269" s="23"/>
      <c r="O269" s="23">
        <v>7</v>
      </c>
    </row>
    <row r="270" spans="1:17" hidden="1" outlineLevel="1">
      <c r="A270" s="96">
        <v>45366</v>
      </c>
      <c r="B270" s="17" t="s">
        <v>15</v>
      </c>
      <c r="C270" s="101">
        <v>48</v>
      </c>
      <c r="D270" s="100">
        <v>54</v>
      </c>
      <c r="E270" s="22">
        <f t="shared" ref="E270:E301" si="51">E269-C270+D270</f>
        <v>100</v>
      </c>
      <c r="G270" s="78">
        <f>48+6</f>
        <v>54</v>
      </c>
      <c r="H270" s="62">
        <f>C268+I270</f>
        <v>54</v>
      </c>
      <c r="I270" s="20"/>
      <c r="J270" s="21"/>
      <c r="K270" s="57">
        <v>54</v>
      </c>
      <c r="L270" s="23">
        <f t="shared" si="49"/>
        <v>-40</v>
      </c>
      <c r="M270" s="23">
        <f t="shared" si="50"/>
        <v>-40</v>
      </c>
      <c r="N270" s="23"/>
      <c r="O270" s="23">
        <v>6</v>
      </c>
      <c r="Q270" s="1">
        <f>AVERAGE(G266:G270)</f>
        <v>49.2</v>
      </c>
    </row>
    <row r="271" spans="1:17" s="12" customFormat="1" hidden="1" outlineLevel="1" collapsed="1">
      <c r="A271" s="95">
        <v>45367</v>
      </c>
      <c r="B271" s="25" t="s">
        <v>16</v>
      </c>
      <c r="C271" s="98"/>
      <c r="D271" s="99"/>
      <c r="E271" s="87">
        <f t="shared" si="51"/>
        <v>100</v>
      </c>
      <c r="G271" s="64"/>
      <c r="H271" s="63"/>
      <c r="I271" s="27"/>
      <c r="J271" s="28"/>
      <c r="K271" s="43"/>
      <c r="L271" s="29">
        <f t="shared" si="49"/>
        <v>-40</v>
      </c>
      <c r="M271" s="29">
        <f t="shared" si="50"/>
        <v>-40</v>
      </c>
      <c r="N271" s="29"/>
      <c r="O271" s="29"/>
    </row>
    <row r="272" spans="1:17" s="12" customFormat="1" hidden="1" outlineLevel="1">
      <c r="A272" s="95">
        <v>45368</v>
      </c>
      <c r="B272" s="25" t="s">
        <v>17</v>
      </c>
      <c r="C272" s="98"/>
      <c r="D272" s="99"/>
      <c r="E272" s="87">
        <f t="shared" si="51"/>
        <v>100</v>
      </c>
      <c r="G272" s="64"/>
      <c r="H272" s="63"/>
      <c r="I272" s="27"/>
      <c r="J272" s="28"/>
      <c r="K272" s="43"/>
      <c r="L272" s="29">
        <f t="shared" si="49"/>
        <v>-40</v>
      </c>
      <c r="M272" s="29">
        <f t="shared" si="50"/>
        <v>-40</v>
      </c>
      <c r="N272" s="29"/>
      <c r="O272" s="29"/>
    </row>
    <row r="273" spans="1:17" hidden="1" outlineLevel="1">
      <c r="A273" s="96">
        <v>45369</v>
      </c>
      <c r="B273" s="17" t="s">
        <v>18</v>
      </c>
      <c r="C273" s="101">
        <v>48</v>
      </c>
      <c r="D273" s="100">
        <v>48</v>
      </c>
      <c r="E273" s="22">
        <f t="shared" si="51"/>
        <v>100</v>
      </c>
      <c r="G273" s="78">
        <f>48+2</f>
        <v>50</v>
      </c>
      <c r="H273" s="62">
        <f>C269+I273</f>
        <v>50</v>
      </c>
      <c r="I273" s="20"/>
      <c r="J273" s="21"/>
      <c r="K273" s="57">
        <v>50</v>
      </c>
      <c r="L273" s="23">
        <f t="shared" si="49"/>
        <v>-40</v>
      </c>
      <c r="M273" s="23">
        <f t="shared" si="50"/>
        <v>-40</v>
      </c>
      <c r="N273" s="23"/>
      <c r="O273" s="23">
        <v>4</v>
      </c>
    </row>
    <row r="274" spans="1:17" hidden="1" outlineLevel="1">
      <c r="A274" s="96">
        <v>45370</v>
      </c>
      <c r="B274" s="17" t="s">
        <v>19</v>
      </c>
      <c r="C274" s="101">
        <v>56</v>
      </c>
      <c r="D274" s="100">
        <v>56</v>
      </c>
      <c r="E274" s="22">
        <f t="shared" si="51"/>
        <v>100</v>
      </c>
      <c r="G274" s="78">
        <v>48</v>
      </c>
      <c r="H274" s="62">
        <f>C270+I274</f>
        <v>48</v>
      </c>
      <c r="I274" s="20"/>
      <c r="J274" s="21"/>
      <c r="K274" s="57">
        <v>48</v>
      </c>
      <c r="L274" s="23">
        <f t="shared" si="49"/>
        <v>-40</v>
      </c>
      <c r="M274" s="23">
        <f t="shared" si="50"/>
        <v>-40</v>
      </c>
      <c r="N274" s="23"/>
      <c r="O274" s="23">
        <v>3</v>
      </c>
    </row>
    <row r="275" spans="1:17" hidden="1" outlineLevel="1">
      <c r="A275" s="96">
        <v>45371</v>
      </c>
      <c r="B275" s="17" t="s">
        <v>20</v>
      </c>
      <c r="C275" s="101">
        <v>56</v>
      </c>
      <c r="D275" s="100">
        <v>56</v>
      </c>
      <c r="E275" s="22">
        <f t="shared" si="51"/>
        <v>100</v>
      </c>
      <c r="G275" s="78">
        <v>40</v>
      </c>
      <c r="H275" s="62">
        <f>C273+I275</f>
        <v>48</v>
      </c>
      <c r="I275" s="20"/>
      <c r="J275" s="21"/>
      <c r="K275" s="57">
        <v>48</v>
      </c>
      <c r="L275" s="23">
        <f t="shared" si="49"/>
        <v>-32</v>
      </c>
      <c r="M275" s="23">
        <f t="shared" si="50"/>
        <v>-32</v>
      </c>
      <c r="N275" s="23"/>
      <c r="O275" s="23">
        <v>6</v>
      </c>
    </row>
    <row r="276" spans="1:17" hidden="1" outlineLevel="1">
      <c r="A276" s="96">
        <v>45372</v>
      </c>
      <c r="B276" s="17" t="s">
        <v>14</v>
      </c>
      <c r="C276" s="101">
        <v>48</v>
      </c>
      <c r="D276" s="100">
        <v>48</v>
      </c>
      <c r="E276" s="22">
        <f t="shared" si="51"/>
        <v>100</v>
      </c>
      <c r="G276" s="78">
        <v>72</v>
      </c>
      <c r="H276" s="62">
        <f t="shared" si="48"/>
        <v>56</v>
      </c>
      <c r="I276" s="20"/>
      <c r="J276" s="21"/>
      <c r="K276" s="57">
        <v>56</v>
      </c>
      <c r="L276" s="23">
        <f t="shared" si="49"/>
        <v>-48</v>
      </c>
      <c r="M276" s="23">
        <f t="shared" si="50"/>
        <v>-48</v>
      </c>
      <c r="N276" s="23"/>
      <c r="O276" s="23">
        <v>7</v>
      </c>
    </row>
    <row r="277" spans="1:17" hidden="1" outlineLevel="1">
      <c r="A277" s="96">
        <v>45373</v>
      </c>
      <c r="B277" s="17" t="s">
        <v>15</v>
      </c>
      <c r="C277" s="101">
        <v>48</v>
      </c>
      <c r="D277" s="100">
        <v>48</v>
      </c>
      <c r="E277" s="22">
        <f t="shared" si="51"/>
        <v>100</v>
      </c>
      <c r="G277" s="78">
        <v>80</v>
      </c>
      <c r="H277" s="62">
        <f t="shared" si="48"/>
        <v>56</v>
      </c>
      <c r="I277" s="20"/>
      <c r="J277" s="21"/>
      <c r="K277" s="57">
        <v>56</v>
      </c>
      <c r="L277" s="23">
        <f t="shared" si="49"/>
        <v>-72</v>
      </c>
      <c r="M277" s="23">
        <f t="shared" si="50"/>
        <v>-72</v>
      </c>
      <c r="N277" s="23"/>
      <c r="O277" s="23">
        <v>7</v>
      </c>
      <c r="Q277" s="1">
        <f>AVERAGE(G273:G277)</f>
        <v>58</v>
      </c>
    </row>
    <row r="278" spans="1:17" s="12" customFormat="1" hidden="1" outlineLevel="1" collapsed="1">
      <c r="A278" s="95">
        <v>45374</v>
      </c>
      <c r="B278" s="25" t="s">
        <v>16</v>
      </c>
      <c r="C278" s="98"/>
      <c r="D278" s="99"/>
      <c r="E278" s="87">
        <f t="shared" si="51"/>
        <v>100</v>
      </c>
      <c r="G278" s="64"/>
      <c r="H278" s="63"/>
      <c r="I278" s="27"/>
      <c r="J278" s="28"/>
      <c r="K278" s="43"/>
      <c r="L278" s="29">
        <f t="shared" si="49"/>
        <v>-72</v>
      </c>
      <c r="M278" s="29">
        <f t="shared" si="50"/>
        <v>-72</v>
      </c>
      <c r="N278" s="29"/>
      <c r="O278" s="29"/>
    </row>
    <row r="279" spans="1:17" s="12" customFormat="1" hidden="1" outlineLevel="1">
      <c r="A279" s="95">
        <v>45375</v>
      </c>
      <c r="B279" s="25" t="s">
        <v>17</v>
      </c>
      <c r="C279" s="98"/>
      <c r="D279" s="99"/>
      <c r="E279" s="87">
        <f t="shared" si="51"/>
        <v>100</v>
      </c>
      <c r="G279" s="64"/>
      <c r="H279" s="63"/>
      <c r="I279" s="27"/>
      <c r="J279" s="28"/>
      <c r="K279" s="43"/>
      <c r="L279" s="29">
        <f t="shared" si="49"/>
        <v>-72</v>
      </c>
      <c r="M279" s="29">
        <f t="shared" si="50"/>
        <v>-72</v>
      </c>
      <c r="N279" s="29"/>
      <c r="O279" s="29"/>
    </row>
    <row r="280" spans="1:17" hidden="1" outlineLevel="1">
      <c r="A280" s="96">
        <v>45376</v>
      </c>
      <c r="B280" s="17" t="s">
        <v>18</v>
      </c>
      <c r="C280" s="101">
        <v>48</v>
      </c>
      <c r="D280" s="100">
        <v>48</v>
      </c>
      <c r="E280" s="22">
        <f t="shared" si="51"/>
        <v>100</v>
      </c>
      <c r="G280" s="78">
        <v>40</v>
      </c>
      <c r="H280" s="62">
        <f>C276+I280</f>
        <v>48</v>
      </c>
      <c r="I280" s="20"/>
      <c r="J280" s="21"/>
      <c r="K280" s="57">
        <v>48</v>
      </c>
      <c r="L280" s="23">
        <f t="shared" si="49"/>
        <v>-64</v>
      </c>
      <c r="M280" s="23">
        <f t="shared" si="50"/>
        <v>-64</v>
      </c>
      <c r="N280" s="23"/>
      <c r="O280" s="23">
        <v>8</v>
      </c>
    </row>
    <row r="281" spans="1:17" hidden="1" outlineLevel="1">
      <c r="A281" s="96">
        <v>45377</v>
      </c>
      <c r="B281" s="17" t="s">
        <v>19</v>
      </c>
      <c r="C281" s="101">
        <v>48</v>
      </c>
      <c r="D281" s="100">
        <v>48</v>
      </c>
      <c r="E281" s="22">
        <f t="shared" si="51"/>
        <v>100</v>
      </c>
      <c r="G281" s="78">
        <v>56</v>
      </c>
      <c r="H281" s="62">
        <f>C277+I281</f>
        <v>48</v>
      </c>
      <c r="I281" s="20"/>
      <c r="J281" s="21"/>
      <c r="K281" s="57">
        <v>48</v>
      </c>
      <c r="L281" s="23">
        <f t="shared" si="49"/>
        <v>-72</v>
      </c>
      <c r="M281" s="23">
        <f t="shared" si="50"/>
        <v>-72</v>
      </c>
      <c r="N281" s="23"/>
      <c r="O281" s="23">
        <v>6</v>
      </c>
    </row>
    <row r="282" spans="1:17" hidden="1" outlineLevel="1">
      <c r="A282" s="96">
        <v>45378</v>
      </c>
      <c r="B282" s="17" t="s">
        <v>20</v>
      </c>
      <c r="C282" s="101">
        <v>48</v>
      </c>
      <c r="D282" s="100">
        <v>48</v>
      </c>
      <c r="E282" s="22">
        <f t="shared" si="51"/>
        <v>100</v>
      </c>
      <c r="G282" s="78">
        <v>48</v>
      </c>
      <c r="H282" s="62">
        <f>C280+I282</f>
        <v>48</v>
      </c>
      <c r="I282" s="20"/>
      <c r="J282" s="21"/>
      <c r="K282" s="57">
        <v>48</v>
      </c>
      <c r="L282" s="23">
        <f t="shared" si="49"/>
        <v>-72</v>
      </c>
      <c r="M282" s="23">
        <f t="shared" si="50"/>
        <v>-72</v>
      </c>
      <c r="N282" s="23"/>
      <c r="O282" s="23">
        <v>0</v>
      </c>
    </row>
    <row r="283" spans="1:17" hidden="1" outlineLevel="1">
      <c r="A283" s="96">
        <v>45379</v>
      </c>
      <c r="B283" s="17" t="s">
        <v>14</v>
      </c>
      <c r="C283" s="101">
        <v>48</v>
      </c>
      <c r="D283" s="100">
        <v>48</v>
      </c>
      <c r="E283" s="22">
        <f t="shared" si="51"/>
        <v>100</v>
      </c>
      <c r="G283" s="78">
        <v>80</v>
      </c>
      <c r="H283" s="62">
        <f t="shared" si="48"/>
        <v>48</v>
      </c>
      <c r="I283" s="20"/>
      <c r="J283" s="21"/>
      <c r="K283" s="57">
        <v>48</v>
      </c>
      <c r="L283" s="23">
        <f t="shared" si="49"/>
        <v>-104</v>
      </c>
      <c r="M283" s="23">
        <f t="shared" si="50"/>
        <v>-104</v>
      </c>
      <c r="N283" s="23"/>
      <c r="O283" s="23">
        <v>5</v>
      </c>
    </row>
    <row r="284" spans="1:17" hidden="1" outlineLevel="1">
      <c r="A284" s="96">
        <v>45380</v>
      </c>
      <c r="B284" s="17" t="s">
        <v>15</v>
      </c>
      <c r="C284" s="101">
        <v>48</v>
      </c>
      <c r="D284" s="100">
        <v>13</v>
      </c>
      <c r="E284" s="22">
        <f t="shared" si="51"/>
        <v>65</v>
      </c>
      <c r="G284" s="78">
        <v>32</v>
      </c>
      <c r="H284" s="62">
        <f t="shared" si="48"/>
        <v>48</v>
      </c>
      <c r="I284" s="20"/>
      <c r="J284" s="21"/>
      <c r="K284" s="57">
        <v>48</v>
      </c>
      <c r="L284" s="23">
        <f t="shared" si="49"/>
        <v>-88</v>
      </c>
      <c r="M284" s="23">
        <f t="shared" si="50"/>
        <v>-88</v>
      </c>
      <c r="N284" s="23"/>
      <c r="O284" s="23">
        <v>4</v>
      </c>
      <c r="Q284" s="1">
        <f>AVERAGE(G280:G284)</f>
        <v>51.2</v>
      </c>
    </row>
    <row r="285" spans="1:17" s="12" customFormat="1" hidden="1" outlineLevel="1" collapsed="1">
      <c r="A285" s="95">
        <v>45381</v>
      </c>
      <c r="B285" s="25" t="s">
        <v>16</v>
      </c>
      <c r="C285" s="98"/>
      <c r="D285" s="99"/>
      <c r="E285" s="87">
        <f t="shared" si="51"/>
        <v>65</v>
      </c>
      <c r="G285" s="64"/>
      <c r="H285" s="63"/>
      <c r="I285" s="27"/>
      <c r="J285" s="28"/>
      <c r="K285" s="43"/>
      <c r="L285" s="29">
        <f t="shared" si="49"/>
        <v>-88</v>
      </c>
      <c r="M285" s="29">
        <f t="shared" si="50"/>
        <v>-88</v>
      </c>
      <c r="N285" s="29"/>
      <c r="O285" s="29"/>
    </row>
    <row r="286" spans="1:17" s="12" customFormat="1" hidden="1" outlineLevel="1">
      <c r="A286" s="95">
        <v>45382</v>
      </c>
      <c r="B286" s="25" t="s">
        <v>17</v>
      </c>
      <c r="C286" s="98"/>
      <c r="D286" s="99"/>
      <c r="E286" s="87">
        <f t="shared" si="51"/>
        <v>65</v>
      </c>
      <c r="G286" s="64"/>
      <c r="H286" s="63"/>
      <c r="I286" s="27"/>
      <c r="J286" s="28"/>
      <c r="K286" s="43"/>
      <c r="L286" s="29">
        <f t="shared" si="49"/>
        <v>-88</v>
      </c>
      <c r="M286" s="29">
        <f t="shared" si="50"/>
        <v>-88</v>
      </c>
      <c r="N286" s="29"/>
      <c r="O286" s="29"/>
    </row>
    <row r="287" spans="1:17" hidden="1" outlineLevel="1">
      <c r="A287" s="96">
        <v>45383</v>
      </c>
      <c r="B287" s="17" t="s">
        <v>18</v>
      </c>
      <c r="C287" s="101">
        <v>48</v>
      </c>
      <c r="D287" s="100">
        <v>73</v>
      </c>
      <c r="E287" s="22">
        <f t="shared" si="51"/>
        <v>90</v>
      </c>
      <c r="G287" s="78">
        <v>8</v>
      </c>
      <c r="H287" s="62">
        <f>C283+I287</f>
        <v>48</v>
      </c>
      <c r="I287" s="20"/>
      <c r="J287" s="21"/>
      <c r="K287" s="57">
        <v>48</v>
      </c>
      <c r="L287" s="23">
        <f t="shared" si="49"/>
        <v>-48</v>
      </c>
      <c r="M287" s="23">
        <f t="shared" si="50"/>
        <v>-48</v>
      </c>
      <c r="N287" s="23"/>
      <c r="O287" s="23">
        <v>5</v>
      </c>
    </row>
    <row r="288" spans="1:17" hidden="1" outlineLevel="1">
      <c r="A288" s="96">
        <v>45384</v>
      </c>
      <c r="B288" s="17" t="s">
        <v>19</v>
      </c>
      <c r="C288" s="101">
        <v>48</v>
      </c>
      <c r="D288" s="100">
        <v>58</v>
      </c>
      <c r="E288" s="22">
        <f t="shared" si="51"/>
        <v>100</v>
      </c>
      <c r="G288" s="78">
        <v>16</v>
      </c>
      <c r="H288" s="62">
        <f>C284+I288</f>
        <v>48</v>
      </c>
      <c r="I288" s="20"/>
      <c r="J288" s="21"/>
      <c r="K288" s="57">
        <v>48</v>
      </c>
      <c r="L288" s="23">
        <f t="shared" si="49"/>
        <v>-16</v>
      </c>
      <c r="M288" s="23">
        <f t="shared" si="50"/>
        <v>-16</v>
      </c>
      <c r="N288" s="23"/>
      <c r="O288" s="23">
        <v>4</v>
      </c>
    </row>
    <row r="289" spans="1:17" s="12" customFormat="1" hidden="1" outlineLevel="1">
      <c r="A289" s="95">
        <v>45385</v>
      </c>
      <c r="B289" s="25" t="s">
        <v>20</v>
      </c>
      <c r="C289" s="98">
        <v>48</v>
      </c>
      <c r="D289" s="99">
        <v>53</v>
      </c>
      <c r="E289" s="87">
        <f t="shared" si="51"/>
        <v>105</v>
      </c>
      <c r="G289" s="79">
        <v>0</v>
      </c>
      <c r="H289" s="63"/>
      <c r="I289" s="27"/>
      <c r="J289" s="28"/>
      <c r="K289" s="43">
        <v>0</v>
      </c>
      <c r="L289" s="29">
        <f t="shared" si="49"/>
        <v>-16</v>
      </c>
      <c r="M289" s="29">
        <f t="shared" si="50"/>
        <v>-16</v>
      </c>
      <c r="N289" s="29"/>
      <c r="O289" s="29"/>
    </row>
    <row r="290" spans="1:17" hidden="1" outlineLevel="1">
      <c r="A290" s="96">
        <v>45386</v>
      </c>
      <c r="B290" s="17" t="s">
        <v>14</v>
      </c>
      <c r="C290" s="101">
        <v>48</v>
      </c>
      <c r="D290" s="100">
        <v>48</v>
      </c>
      <c r="E290" s="22">
        <f t="shared" si="51"/>
        <v>105</v>
      </c>
      <c r="G290" s="78">
        <v>88</v>
      </c>
      <c r="H290" s="62">
        <f>C287+I290</f>
        <v>48</v>
      </c>
      <c r="I290" s="20"/>
      <c r="J290" s="21"/>
      <c r="K290" s="57">
        <v>48</v>
      </c>
      <c r="L290" s="23">
        <f t="shared" si="49"/>
        <v>-56</v>
      </c>
      <c r="M290" s="23">
        <f t="shared" si="50"/>
        <v>-56</v>
      </c>
      <c r="N290" s="23"/>
      <c r="O290" s="23">
        <v>7</v>
      </c>
    </row>
    <row r="291" spans="1:17" hidden="1" outlineLevel="1">
      <c r="A291" s="96">
        <v>45387</v>
      </c>
      <c r="B291" s="17" t="s">
        <v>15</v>
      </c>
      <c r="C291" s="101">
        <v>48</v>
      </c>
      <c r="D291" s="100">
        <v>48</v>
      </c>
      <c r="E291" s="22">
        <f t="shared" si="51"/>
        <v>105</v>
      </c>
      <c r="G291" s="78">
        <v>48</v>
      </c>
      <c r="H291" s="62">
        <f>C288+I291</f>
        <v>72</v>
      </c>
      <c r="I291" s="20">
        <f>J294/2</f>
        <v>24</v>
      </c>
      <c r="J291" s="21"/>
      <c r="K291" s="57">
        <v>72</v>
      </c>
      <c r="L291" s="23">
        <f t="shared" si="49"/>
        <v>-32</v>
      </c>
      <c r="M291" s="23">
        <f t="shared" si="50"/>
        <v>-32</v>
      </c>
      <c r="N291" s="23"/>
      <c r="O291" s="23">
        <v>4</v>
      </c>
      <c r="Q291" s="1">
        <f>AVERAGE(G287:G291)</f>
        <v>32</v>
      </c>
    </row>
    <row r="292" spans="1:17" s="12" customFormat="1" hidden="1" outlineLevel="1" collapsed="1">
      <c r="A292" s="95">
        <v>45388</v>
      </c>
      <c r="B292" s="25" t="s">
        <v>16</v>
      </c>
      <c r="C292" s="98"/>
      <c r="D292" s="99"/>
      <c r="E292" s="87">
        <f t="shared" si="51"/>
        <v>105</v>
      </c>
      <c r="G292" s="64"/>
      <c r="H292" s="63"/>
      <c r="I292" s="27"/>
      <c r="J292" s="28"/>
      <c r="K292" s="43"/>
      <c r="L292" s="29">
        <f t="shared" si="49"/>
        <v>-32</v>
      </c>
      <c r="M292" s="29">
        <f t="shared" si="50"/>
        <v>-32</v>
      </c>
      <c r="N292" s="29"/>
      <c r="O292" s="29"/>
    </row>
    <row r="293" spans="1:17" s="12" customFormat="1" hidden="1" outlineLevel="1">
      <c r="A293" s="95">
        <v>45389</v>
      </c>
      <c r="B293" s="25" t="s">
        <v>17</v>
      </c>
      <c r="C293" s="98"/>
      <c r="D293" s="99"/>
      <c r="E293" s="87">
        <f t="shared" si="51"/>
        <v>105</v>
      </c>
      <c r="G293" s="79"/>
      <c r="H293" s="63"/>
      <c r="I293" s="27"/>
      <c r="J293" s="28"/>
      <c r="K293" s="43"/>
      <c r="L293" s="29">
        <f t="shared" si="49"/>
        <v>-32</v>
      </c>
      <c r="M293" s="29">
        <f t="shared" si="50"/>
        <v>-32</v>
      </c>
      <c r="N293" s="29"/>
      <c r="O293" s="29"/>
    </row>
    <row r="294" spans="1:17" hidden="1" outlineLevel="1">
      <c r="A294" s="96">
        <v>45390</v>
      </c>
      <c r="B294" s="17" t="s">
        <v>18</v>
      </c>
      <c r="C294" s="101">
        <v>48</v>
      </c>
      <c r="D294" s="100">
        <v>48</v>
      </c>
      <c r="E294" s="22">
        <f t="shared" si="51"/>
        <v>105</v>
      </c>
      <c r="G294" s="78">
        <v>72</v>
      </c>
      <c r="H294" s="62">
        <f>C290+I294</f>
        <v>72</v>
      </c>
      <c r="I294" s="20">
        <f>J294/2</f>
        <v>24</v>
      </c>
      <c r="J294" s="21">
        <f>C289</f>
        <v>48</v>
      </c>
      <c r="K294" s="57">
        <v>72</v>
      </c>
      <c r="L294" s="23">
        <f t="shared" si="49"/>
        <v>-32</v>
      </c>
      <c r="M294" s="23">
        <f t="shared" si="50"/>
        <v>-32</v>
      </c>
      <c r="N294" s="23"/>
      <c r="O294" s="23">
        <v>5</v>
      </c>
    </row>
    <row r="295" spans="1:17" hidden="1" outlineLevel="1">
      <c r="A295" s="96">
        <v>45391</v>
      </c>
      <c r="B295" s="17" t="s">
        <v>19</v>
      </c>
      <c r="C295" s="101">
        <v>48</v>
      </c>
      <c r="D295" s="100">
        <v>48</v>
      </c>
      <c r="E295" s="22">
        <f t="shared" si="51"/>
        <v>105</v>
      </c>
      <c r="G295" s="78">
        <v>48</v>
      </c>
      <c r="H295" s="62">
        <f>C291+I295</f>
        <v>48</v>
      </c>
      <c r="I295" s="20"/>
      <c r="J295" s="21"/>
      <c r="K295" s="57">
        <v>48</v>
      </c>
      <c r="L295" s="23">
        <f t="shared" si="49"/>
        <v>-32</v>
      </c>
      <c r="M295" s="23">
        <f t="shared" si="50"/>
        <v>-32</v>
      </c>
      <c r="N295" s="23"/>
      <c r="O295" s="23">
        <v>8</v>
      </c>
    </row>
    <row r="296" spans="1:17" hidden="1" outlineLevel="1">
      <c r="A296" s="96">
        <v>45392</v>
      </c>
      <c r="B296" s="17" t="s">
        <v>20</v>
      </c>
      <c r="C296" s="101">
        <v>48</v>
      </c>
      <c r="D296" s="100">
        <v>48</v>
      </c>
      <c r="E296" s="22">
        <f t="shared" si="51"/>
        <v>105</v>
      </c>
      <c r="G296" s="78">
        <v>40</v>
      </c>
      <c r="H296" s="62">
        <f>C294+I296</f>
        <v>48</v>
      </c>
      <c r="I296" s="20"/>
      <c r="J296" s="21"/>
      <c r="K296" s="57">
        <v>48</v>
      </c>
      <c r="L296" s="23">
        <f t="shared" ref="L296:L316" si="52">L295-G296+K296</f>
        <v>-24</v>
      </c>
      <c r="M296" s="23">
        <f t="shared" ref="M296:M316" si="53">M295-G296+H296</f>
        <v>-24</v>
      </c>
      <c r="N296" s="23"/>
      <c r="O296" s="23">
        <v>7</v>
      </c>
    </row>
    <row r="297" spans="1:17" hidden="1" outlineLevel="1">
      <c r="A297" s="96">
        <v>45393</v>
      </c>
      <c r="B297" s="17" t="s">
        <v>14</v>
      </c>
      <c r="C297" s="101">
        <v>48</v>
      </c>
      <c r="D297" s="100">
        <v>48</v>
      </c>
      <c r="E297" s="22">
        <f t="shared" si="51"/>
        <v>105</v>
      </c>
      <c r="G297" s="78">
        <v>56</v>
      </c>
      <c r="H297" s="62">
        <f>C295+I297</f>
        <v>48</v>
      </c>
      <c r="I297" s="20"/>
      <c r="J297" s="21"/>
      <c r="K297" s="57">
        <v>48</v>
      </c>
      <c r="L297" s="23">
        <f t="shared" si="52"/>
        <v>-32</v>
      </c>
      <c r="M297" s="23">
        <f t="shared" si="53"/>
        <v>-32</v>
      </c>
      <c r="N297" s="23"/>
      <c r="O297" s="23">
        <v>2</v>
      </c>
    </row>
    <row r="298" spans="1:17" hidden="1" outlineLevel="1">
      <c r="A298" s="96">
        <v>45394</v>
      </c>
      <c r="B298" s="17" t="s">
        <v>15</v>
      </c>
      <c r="C298" s="101">
        <v>56</v>
      </c>
      <c r="D298" s="100">
        <v>57</v>
      </c>
      <c r="E298" s="22">
        <f t="shared" si="51"/>
        <v>106</v>
      </c>
      <c r="G298" s="78">
        <v>48</v>
      </c>
      <c r="H298" s="62">
        <f>C296+I298</f>
        <v>48</v>
      </c>
      <c r="I298" s="20"/>
      <c r="J298" s="21"/>
      <c r="K298" s="57">
        <v>48</v>
      </c>
      <c r="L298" s="23">
        <f t="shared" si="52"/>
        <v>-32</v>
      </c>
      <c r="M298" s="23">
        <f t="shared" si="53"/>
        <v>-32</v>
      </c>
      <c r="N298" s="23"/>
      <c r="O298" s="23">
        <v>1</v>
      </c>
      <c r="Q298" s="1">
        <f>AVERAGE(G294:G298)</f>
        <v>52.8</v>
      </c>
    </row>
    <row r="299" spans="1:17" s="12" customFormat="1" hidden="1" outlineLevel="1" collapsed="1">
      <c r="A299" s="95">
        <v>45395</v>
      </c>
      <c r="B299" s="25" t="s">
        <v>16</v>
      </c>
      <c r="C299" s="98"/>
      <c r="D299" s="99"/>
      <c r="E299" s="87">
        <f t="shared" si="51"/>
        <v>106</v>
      </c>
      <c r="G299" s="79"/>
      <c r="H299" s="63"/>
      <c r="I299" s="27"/>
      <c r="J299" s="28"/>
      <c r="K299" s="43"/>
      <c r="L299" s="29">
        <f t="shared" si="52"/>
        <v>-32</v>
      </c>
      <c r="M299" s="29">
        <f t="shared" si="53"/>
        <v>-32</v>
      </c>
      <c r="N299" s="29"/>
      <c r="O299" s="29"/>
    </row>
    <row r="300" spans="1:17" s="12" customFormat="1" hidden="1" outlineLevel="1">
      <c r="A300" s="95">
        <v>45396</v>
      </c>
      <c r="B300" s="25" t="s">
        <v>17</v>
      </c>
      <c r="C300" s="98"/>
      <c r="D300" s="99"/>
      <c r="E300" s="87">
        <f t="shared" si="51"/>
        <v>106</v>
      </c>
      <c r="G300" s="79"/>
      <c r="H300" s="63"/>
      <c r="I300" s="27"/>
      <c r="J300" s="28"/>
      <c r="K300" s="43"/>
      <c r="L300" s="29">
        <f t="shared" si="52"/>
        <v>-32</v>
      </c>
      <c r="M300" s="29">
        <f t="shared" si="53"/>
        <v>-32</v>
      </c>
      <c r="N300" s="29"/>
      <c r="O300" s="29"/>
    </row>
    <row r="301" spans="1:17" hidden="1" outlineLevel="1">
      <c r="A301" s="96">
        <v>45397</v>
      </c>
      <c r="B301" s="17" t="s">
        <v>18</v>
      </c>
      <c r="C301" s="101">
        <v>48</v>
      </c>
      <c r="D301" s="100">
        <v>48</v>
      </c>
      <c r="E301" s="22">
        <f t="shared" si="51"/>
        <v>106</v>
      </c>
      <c r="G301" s="78">
        <v>56</v>
      </c>
      <c r="H301" s="62">
        <f>C297+I301</f>
        <v>48</v>
      </c>
      <c r="I301" s="20"/>
      <c r="J301" s="21"/>
      <c r="K301" s="57">
        <v>48</v>
      </c>
      <c r="L301" s="23">
        <f t="shared" si="52"/>
        <v>-40</v>
      </c>
      <c r="M301" s="23">
        <f t="shared" si="53"/>
        <v>-40</v>
      </c>
      <c r="N301" s="23"/>
      <c r="O301" s="23">
        <v>5</v>
      </c>
    </row>
    <row r="302" spans="1:17" hidden="1" outlineLevel="1">
      <c r="A302" s="96">
        <v>45398</v>
      </c>
      <c r="B302" s="17" t="s">
        <v>19</v>
      </c>
      <c r="C302" s="101">
        <v>57</v>
      </c>
      <c r="D302" s="100">
        <v>57</v>
      </c>
      <c r="E302" s="22">
        <f t="shared" ref="E302:E333" si="54">E301-C302+D302</f>
        <v>106</v>
      </c>
      <c r="G302" s="78">
        <v>56</v>
      </c>
      <c r="H302" s="62">
        <f>C298+I302</f>
        <v>56</v>
      </c>
      <c r="I302" s="20"/>
      <c r="J302" s="21"/>
      <c r="K302" s="57">
        <v>56</v>
      </c>
      <c r="L302" s="23">
        <f t="shared" si="52"/>
        <v>-40</v>
      </c>
      <c r="M302" s="23">
        <f t="shared" si="53"/>
        <v>-40</v>
      </c>
      <c r="N302" s="23"/>
      <c r="O302" s="23">
        <v>6</v>
      </c>
    </row>
    <row r="303" spans="1:17" hidden="1" outlineLevel="1">
      <c r="A303" s="96">
        <v>45399</v>
      </c>
      <c r="B303" s="17" t="s">
        <v>20</v>
      </c>
      <c r="C303" s="101">
        <v>56</v>
      </c>
      <c r="D303" s="100">
        <v>56</v>
      </c>
      <c r="E303" s="22">
        <f t="shared" si="54"/>
        <v>106</v>
      </c>
      <c r="G303" s="78">
        <v>48</v>
      </c>
      <c r="H303" s="62">
        <f>C301+I303</f>
        <v>48</v>
      </c>
      <c r="I303" s="20"/>
      <c r="J303" s="21"/>
      <c r="K303" s="57">
        <v>48</v>
      </c>
      <c r="L303" s="23">
        <f t="shared" si="52"/>
        <v>-40</v>
      </c>
      <c r="M303" s="23">
        <f t="shared" si="53"/>
        <v>-40</v>
      </c>
      <c r="N303" s="23"/>
      <c r="O303" s="23">
        <v>7</v>
      </c>
    </row>
    <row r="304" spans="1:17" hidden="1" outlineLevel="1">
      <c r="A304" s="96">
        <v>45400</v>
      </c>
      <c r="B304" s="17" t="s">
        <v>14</v>
      </c>
      <c r="C304" s="101">
        <v>48</v>
      </c>
      <c r="D304" s="100">
        <v>56</v>
      </c>
      <c r="E304" s="22">
        <f t="shared" si="54"/>
        <v>114</v>
      </c>
      <c r="G304" s="78">
        <v>65</v>
      </c>
      <c r="H304" s="62">
        <f>C302+I304</f>
        <v>57</v>
      </c>
      <c r="I304" s="20"/>
      <c r="J304" s="21"/>
      <c r="K304" s="57">
        <v>57</v>
      </c>
      <c r="L304" s="23">
        <f t="shared" si="52"/>
        <v>-48</v>
      </c>
      <c r="M304" s="23">
        <f t="shared" si="53"/>
        <v>-48</v>
      </c>
      <c r="N304" s="23"/>
      <c r="O304" s="23">
        <v>4</v>
      </c>
    </row>
    <row r="305" spans="1:17" hidden="1" outlineLevel="1">
      <c r="A305" s="96">
        <v>45401</v>
      </c>
      <c r="B305" s="17" t="s">
        <v>15</v>
      </c>
      <c r="C305" s="101">
        <v>48</v>
      </c>
      <c r="D305" s="100">
        <v>48</v>
      </c>
      <c r="E305" s="22">
        <f t="shared" si="54"/>
        <v>114</v>
      </c>
      <c r="G305" s="78">
        <v>40</v>
      </c>
      <c r="H305" s="62">
        <f>C303+I305</f>
        <v>56</v>
      </c>
      <c r="I305" s="20"/>
      <c r="J305" s="21"/>
      <c r="K305" s="57">
        <v>56</v>
      </c>
      <c r="L305" s="23">
        <f t="shared" si="52"/>
        <v>-32</v>
      </c>
      <c r="M305" s="23">
        <f t="shared" si="53"/>
        <v>-32</v>
      </c>
      <c r="N305" s="23"/>
      <c r="O305" s="23">
        <v>7</v>
      </c>
      <c r="Q305" s="1">
        <f>AVERAGE(G301:G305)</f>
        <v>53</v>
      </c>
    </row>
    <row r="306" spans="1:17" s="12" customFormat="1" hidden="1" outlineLevel="1">
      <c r="A306" s="95">
        <v>45402</v>
      </c>
      <c r="B306" s="25" t="s">
        <v>16</v>
      </c>
      <c r="C306" s="98"/>
      <c r="D306" s="99"/>
      <c r="E306" s="87">
        <f t="shared" si="54"/>
        <v>114</v>
      </c>
      <c r="G306" s="79"/>
      <c r="H306" s="63"/>
      <c r="I306" s="27"/>
      <c r="J306" s="28"/>
      <c r="K306" s="43"/>
      <c r="L306" s="29">
        <f t="shared" si="52"/>
        <v>-32</v>
      </c>
      <c r="M306" s="29">
        <f t="shared" si="53"/>
        <v>-32</v>
      </c>
      <c r="N306" s="29"/>
      <c r="O306" s="29"/>
    </row>
    <row r="307" spans="1:17" s="12" customFormat="1" hidden="1" outlineLevel="1">
      <c r="A307" s="95">
        <v>45403</v>
      </c>
      <c r="B307" s="25" t="s">
        <v>17</v>
      </c>
      <c r="C307" s="98"/>
      <c r="D307" s="99"/>
      <c r="E307" s="87">
        <f t="shared" si="54"/>
        <v>114</v>
      </c>
      <c r="G307" s="79"/>
      <c r="H307" s="63"/>
      <c r="I307" s="27"/>
      <c r="J307" s="28"/>
      <c r="K307" s="43"/>
      <c r="L307" s="29">
        <f t="shared" si="52"/>
        <v>-32</v>
      </c>
      <c r="M307" s="29">
        <f t="shared" si="53"/>
        <v>-32</v>
      </c>
      <c r="N307" s="29"/>
      <c r="O307" s="29"/>
    </row>
    <row r="308" spans="1:17" hidden="1" outlineLevel="1" collapsed="1">
      <c r="A308" s="96">
        <v>45404</v>
      </c>
      <c r="B308" s="17" t="s">
        <v>18</v>
      </c>
      <c r="C308" s="101">
        <v>48</v>
      </c>
      <c r="D308" s="100">
        <v>48</v>
      </c>
      <c r="E308" s="22">
        <f t="shared" si="54"/>
        <v>114</v>
      </c>
      <c r="G308" s="78">
        <v>24</v>
      </c>
      <c r="H308" s="62">
        <f>C304+I308</f>
        <v>48</v>
      </c>
      <c r="I308" s="20"/>
      <c r="J308" s="21"/>
      <c r="K308" s="57">
        <v>48</v>
      </c>
      <c r="L308" s="23">
        <f t="shared" si="52"/>
        <v>-8</v>
      </c>
      <c r="M308" s="23">
        <f t="shared" si="53"/>
        <v>-8</v>
      </c>
      <c r="N308" s="23"/>
      <c r="O308" s="23">
        <v>0</v>
      </c>
    </row>
    <row r="309" spans="1:17" hidden="1" outlineLevel="1">
      <c r="A309" s="96">
        <v>45405</v>
      </c>
      <c r="B309" s="17" t="s">
        <v>19</v>
      </c>
      <c r="C309" s="101">
        <v>48</v>
      </c>
      <c r="D309" s="100">
        <v>48</v>
      </c>
      <c r="E309" s="22">
        <f t="shared" si="54"/>
        <v>114</v>
      </c>
      <c r="G309" s="78">
        <v>24</v>
      </c>
      <c r="H309" s="62">
        <f>C305+I309</f>
        <v>48</v>
      </c>
      <c r="I309" s="20"/>
      <c r="J309" s="21"/>
      <c r="K309" s="57">
        <v>48</v>
      </c>
      <c r="L309" s="23">
        <f t="shared" si="52"/>
        <v>16</v>
      </c>
      <c r="M309" s="23">
        <f t="shared" si="53"/>
        <v>16</v>
      </c>
      <c r="N309" s="23"/>
      <c r="O309" s="23">
        <v>6</v>
      </c>
    </row>
    <row r="310" spans="1:17" hidden="1" outlineLevel="1">
      <c r="A310" s="96">
        <v>45406</v>
      </c>
      <c r="B310" s="17" t="s">
        <v>20</v>
      </c>
      <c r="C310" s="101">
        <v>56</v>
      </c>
      <c r="D310" s="100">
        <v>56</v>
      </c>
      <c r="E310" s="22">
        <f t="shared" si="54"/>
        <v>114</v>
      </c>
      <c r="G310" s="78">
        <v>88</v>
      </c>
      <c r="H310" s="62">
        <f>C308+I310</f>
        <v>48</v>
      </c>
      <c r="I310" s="20"/>
      <c r="J310" s="21"/>
      <c r="K310" s="57">
        <v>48</v>
      </c>
      <c r="L310" s="23">
        <f t="shared" si="52"/>
        <v>-24</v>
      </c>
      <c r="M310" s="23">
        <f t="shared" si="53"/>
        <v>-24</v>
      </c>
      <c r="N310" s="23"/>
      <c r="O310" s="23">
        <v>0</v>
      </c>
    </row>
    <row r="311" spans="1:17" hidden="1" outlineLevel="1">
      <c r="A311" s="96">
        <v>45407</v>
      </c>
      <c r="B311" s="17" t="s">
        <v>14</v>
      </c>
      <c r="C311" s="101">
        <v>56</v>
      </c>
      <c r="D311" s="100">
        <v>112</v>
      </c>
      <c r="E311" s="22">
        <f t="shared" si="54"/>
        <v>170</v>
      </c>
      <c r="G311" s="78">
        <v>64</v>
      </c>
      <c r="H311" s="62">
        <f>C309+I311</f>
        <v>48</v>
      </c>
      <c r="I311" s="20"/>
      <c r="J311" s="21"/>
      <c r="K311" s="57">
        <v>48</v>
      </c>
      <c r="L311" s="23">
        <f t="shared" si="52"/>
        <v>-40</v>
      </c>
      <c r="M311" s="23">
        <f t="shared" si="53"/>
        <v>-40</v>
      </c>
      <c r="N311" s="23"/>
      <c r="O311" s="23">
        <v>7</v>
      </c>
    </row>
    <row r="312" spans="1:17" hidden="1" outlineLevel="1">
      <c r="A312" s="96">
        <v>45408</v>
      </c>
      <c r="B312" s="17" t="s">
        <v>15</v>
      </c>
      <c r="C312" s="101">
        <v>56</v>
      </c>
      <c r="D312" s="100"/>
      <c r="E312" s="22">
        <f t="shared" si="54"/>
        <v>114</v>
      </c>
      <c r="G312" s="78">
        <v>48</v>
      </c>
      <c r="H312" s="62">
        <f>C310+I312</f>
        <v>56</v>
      </c>
      <c r="I312" s="20"/>
      <c r="J312" s="21"/>
      <c r="K312" s="57">
        <v>56</v>
      </c>
      <c r="L312" s="23">
        <f t="shared" si="52"/>
        <v>-32</v>
      </c>
      <c r="M312" s="23">
        <f t="shared" si="53"/>
        <v>-32</v>
      </c>
      <c r="N312" s="23"/>
      <c r="O312" s="23">
        <v>0</v>
      </c>
      <c r="Q312" s="1">
        <f>AVERAGE(G308:G312)</f>
        <v>49.6</v>
      </c>
    </row>
    <row r="313" spans="1:17" s="12" customFormat="1" hidden="1" outlineLevel="1">
      <c r="A313" s="95">
        <v>45409</v>
      </c>
      <c r="B313" s="25" t="s">
        <v>16</v>
      </c>
      <c r="C313" s="98"/>
      <c r="D313" s="99"/>
      <c r="E313" s="87">
        <f t="shared" si="54"/>
        <v>114</v>
      </c>
      <c r="G313" s="64"/>
      <c r="H313" s="63"/>
      <c r="I313" s="27"/>
      <c r="J313" s="28"/>
      <c r="K313" s="43"/>
      <c r="L313" s="29">
        <f t="shared" si="52"/>
        <v>-32</v>
      </c>
      <c r="M313" s="29">
        <f t="shared" si="53"/>
        <v>-32</v>
      </c>
      <c r="N313" s="29"/>
      <c r="O313" s="29"/>
    </row>
    <row r="314" spans="1:17" s="12" customFormat="1" hidden="1" outlineLevel="1">
      <c r="A314" s="95">
        <v>45410</v>
      </c>
      <c r="B314" s="25" t="s">
        <v>17</v>
      </c>
      <c r="C314" s="98"/>
      <c r="D314" s="99"/>
      <c r="E314" s="87">
        <f t="shared" si="54"/>
        <v>114</v>
      </c>
      <c r="G314" s="64"/>
      <c r="H314" s="63"/>
      <c r="I314" s="27"/>
      <c r="J314" s="28"/>
      <c r="K314" s="43"/>
      <c r="L314" s="29">
        <f t="shared" si="52"/>
        <v>-32</v>
      </c>
      <c r="M314" s="29">
        <f t="shared" si="53"/>
        <v>-32</v>
      </c>
      <c r="N314" s="29"/>
      <c r="O314" s="29"/>
    </row>
    <row r="315" spans="1:17" s="12" customFormat="1" hidden="1" outlineLevel="1">
      <c r="A315" s="95">
        <v>45411</v>
      </c>
      <c r="B315" s="25" t="s">
        <v>18</v>
      </c>
      <c r="C315" s="98"/>
      <c r="D315" s="99"/>
      <c r="E315" s="87">
        <f t="shared" si="54"/>
        <v>114</v>
      </c>
      <c r="G315" s="64"/>
      <c r="H315" s="63"/>
      <c r="I315" s="27"/>
      <c r="J315" s="28"/>
      <c r="K315" s="43"/>
      <c r="L315" s="29">
        <f t="shared" si="52"/>
        <v>-32</v>
      </c>
      <c r="M315" s="29">
        <f t="shared" si="53"/>
        <v>-32</v>
      </c>
      <c r="N315" s="29"/>
      <c r="O315" s="29"/>
    </row>
    <row r="316" spans="1:17" s="12" customFormat="1" hidden="1" outlineLevel="1">
      <c r="A316" s="95">
        <v>45412</v>
      </c>
      <c r="B316" s="25" t="s">
        <v>19</v>
      </c>
      <c r="C316" s="98"/>
      <c r="D316" s="99"/>
      <c r="E316" s="87">
        <f t="shared" si="54"/>
        <v>114</v>
      </c>
      <c r="G316" s="64"/>
      <c r="H316" s="63"/>
      <c r="I316" s="27"/>
      <c r="J316" s="28"/>
      <c r="K316" s="43"/>
      <c r="L316" s="29">
        <f t="shared" si="52"/>
        <v>-32</v>
      </c>
      <c r="M316" s="29">
        <f t="shared" si="53"/>
        <v>-32</v>
      </c>
      <c r="N316" s="29"/>
      <c r="O316" s="29"/>
    </row>
    <row r="317" spans="1:17" s="12" customFormat="1" hidden="1" outlineLevel="1">
      <c r="A317" s="95">
        <v>45413</v>
      </c>
      <c r="B317" s="25" t="s">
        <v>20</v>
      </c>
      <c r="C317" s="98"/>
      <c r="D317" s="99"/>
      <c r="E317" s="87">
        <f t="shared" si="54"/>
        <v>114</v>
      </c>
      <c r="G317" s="64"/>
      <c r="H317" s="63"/>
      <c r="I317" s="27"/>
      <c r="J317" s="28"/>
      <c r="K317" s="43"/>
      <c r="L317" s="29">
        <f t="shared" ref="L317:L347" si="55">L316-G317+K317</f>
        <v>-32</v>
      </c>
      <c r="M317" s="29">
        <f t="shared" ref="M317:M347" si="56">M316-G317+H317</f>
        <v>-32</v>
      </c>
      <c r="N317" s="29"/>
      <c r="O317" s="29"/>
    </row>
    <row r="318" spans="1:17" s="12" customFormat="1" hidden="1" outlineLevel="1">
      <c r="A318" s="95">
        <v>45414</v>
      </c>
      <c r="B318" s="25" t="s">
        <v>14</v>
      </c>
      <c r="C318" s="98"/>
      <c r="D318" s="99"/>
      <c r="E318" s="87">
        <f t="shared" si="54"/>
        <v>114</v>
      </c>
      <c r="G318" s="64"/>
      <c r="H318" s="63"/>
      <c r="I318" s="27"/>
      <c r="J318" s="28"/>
      <c r="K318" s="43"/>
      <c r="L318" s="29">
        <f t="shared" si="55"/>
        <v>-32</v>
      </c>
      <c r="M318" s="29">
        <f t="shared" si="56"/>
        <v>-32</v>
      </c>
      <c r="N318" s="29"/>
      <c r="O318" s="29"/>
    </row>
    <row r="319" spans="1:17" s="12" customFormat="1" hidden="1" outlineLevel="1">
      <c r="A319" s="95">
        <v>45415</v>
      </c>
      <c r="B319" s="25" t="s">
        <v>15</v>
      </c>
      <c r="C319" s="98"/>
      <c r="D319" s="99"/>
      <c r="E319" s="87">
        <f t="shared" si="54"/>
        <v>114</v>
      </c>
      <c r="G319" s="64"/>
      <c r="H319" s="63"/>
      <c r="I319" s="27"/>
      <c r="J319" s="28"/>
      <c r="K319" s="43"/>
      <c r="L319" s="29">
        <f t="shared" si="55"/>
        <v>-32</v>
      </c>
      <c r="M319" s="29">
        <f t="shared" si="56"/>
        <v>-32</v>
      </c>
      <c r="N319" s="29"/>
      <c r="O319" s="29"/>
    </row>
    <row r="320" spans="1:17" s="12" customFormat="1" hidden="1" outlineLevel="1">
      <c r="A320" s="95">
        <v>45416</v>
      </c>
      <c r="B320" s="25" t="s">
        <v>16</v>
      </c>
      <c r="C320" s="98"/>
      <c r="D320" s="99"/>
      <c r="E320" s="87">
        <f t="shared" si="54"/>
        <v>114</v>
      </c>
      <c r="G320" s="64"/>
      <c r="H320" s="63"/>
      <c r="I320" s="27"/>
      <c r="J320" s="28"/>
      <c r="K320" s="43"/>
      <c r="L320" s="29">
        <f t="shared" si="55"/>
        <v>-32</v>
      </c>
      <c r="M320" s="29">
        <f t="shared" si="56"/>
        <v>-32</v>
      </c>
      <c r="N320" s="29"/>
      <c r="O320" s="29"/>
    </row>
    <row r="321" spans="1:17" s="12" customFormat="1" hidden="1" outlineLevel="1">
      <c r="A321" s="95">
        <v>45417</v>
      </c>
      <c r="B321" s="25" t="s">
        <v>17</v>
      </c>
      <c r="C321" s="98"/>
      <c r="D321" s="99"/>
      <c r="E321" s="87">
        <f t="shared" si="54"/>
        <v>114</v>
      </c>
      <c r="G321" s="64"/>
      <c r="H321" s="63"/>
      <c r="I321" s="27"/>
      <c r="J321" s="28"/>
      <c r="K321" s="43"/>
      <c r="L321" s="29">
        <f t="shared" si="55"/>
        <v>-32</v>
      </c>
      <c r="M321" s="29">
        <f t="shared" si="56"/>
        <v>-32</v>
      </c>
      <c r="N321" s="29"/>
      <c r="O321" s="29"/>
    </row>
    <row r="322" spans="1:17" hidden="1" outlineLevel="1" collapsed="1">
      <c r="A322" s="96">
        <v>45418</v>
      </c>
      <c r="B322" s="17" t="s">
        <v>18</v>
      </c>
      <c r="C322" s="101">
        <f>56</f>
        <v>56</v>
      </c>
      <c r="D322" s="100">
        <v>56</v>
      </c>
      <c r="E322" s="22">
        <f t="shared" si="54"/>
        <v>114</v>
      </c>
      <c r="G322" s="78">
        <v>56</v>
      </c>
      <c r="H322" s="62">
        <f>C311+I322</f>
        <v>56</v>
      </c>
      <c r="I322" s="20"/>
      <c r="J322" s="21"/>
      <c r="K322" s="57">
        <v>56</v>
      </c>
      <c r="L322" s="23">
        <f t="shared" si="55"/>
        <v>-32</v>
      </c>
      <c r="M322" s="23">
        <f t="shared" si="56"/>
        <v>-32</v>
      </c>
      <c r="N322" s="23"/>
      <c r="O322" s="23">
        <v>9</v>
      </c>
    </row>
    <row r="323" spans="1:17" hidden="1" outlineLevel="1">
      <c r="A323" s="96">
        <v>45419</v>
      </c>
      <c r="B323" s="17" t="s">
        <v>19</v>
      </c>
      <c r="C323" s="101">
        <v>57</v>
      </c>
      <c r="D323" s="100">
        <v>57</v>
      </c>
      <c r="E323" s="22">
        <f t="shared" si="54"/>
        <v>114</v>
      </c>
      <c r="G323" s="78">
        <v>56</v>
      </c>
      <c r="H323" s="62">
        <f>C312+I323</f>
        <v>56</v>
      </c>
      <c r="I323" s="20"/>
      <c r="J323" s="21"/>
      <c r="K323" s="57">
        <v>56</v>
      </c>
      <c r="L323" s="23">
        <f t="shared" si="55"/>
        <v>-32</v>
      </c>
      <c r="M323" s="23">
        <f t="shared" si="56"/>
        <v>-32</v>
      </c>
      <c r="N323" s="23"/>
      <c r="O323" s="23">
        <f>1+6</f>
        <v>7</v>
      </c>
    </row>
    <row r="324" spans="1:17" hidden="1" outlineLevel="1">
      <c r="A324" s="96">
        <v>45420</v>
      </c>
      <c r="B324" s="17" t="s">
        <v>20</v>
      </c>
      <c r="C324" s="101">
        <f>64-8</f>
        <v>56</v>
      </c>
      <c r="D324" s="100">
        <v>56</v>
      </c>
      <c r="E324" s="22">
        <f t="shared" si="54"/>
        <v>114</v>
      </c>
      <c r="G324" s="78">
        <v>48</v>
      </c>
      <c r="H324" s="62">
        <f>C322+I324</f>
        <v>56</v>
      </c>
      <c r="I324" s="20"/>
      <c r="J324" s="21"/>
      <c r="K324" s="57">
        <v>56</v>
      </c>
      <c r="L324" s="23">
        <f t="shared" si="55"/>
        <v>-24</v>
      </c>
      <c r="M324" s="23">
        <f t="shared" si="56"/>
        <v>-24</v>
      </c>
      <c r="N324" s="23"/>
      <c r="O324" s="23">
        <v>8</v>
      </c>
    </row>
    <row r="325" spans="1:17" hidden="1" outlineLevel="1">
      <c r="A325" s="96">
        <v>45421</v>
      </c>
      <c r="B325" s="17" t="s">
        <v>14</v>
      </c>
      <c r="C325" s="101">
        <f>64-8</f>
        <v>56</v>
      </c>
      <c r="D325" s="100">
        <v>56</v>
      </c>
      <c r="E325" s="22">
        <f t="shared" si="54"/>
        <v>114</v>
      </c>
      <c r="G325" s="78">
        <v>49</v>
      </c>
      <c r="H325" s="62">
        <f>C323+I325</f>
        <v>57</v>
      </c>
      <c r="I325" s="20"/>
      <c r="J325" s="21"/>
      <c r="K325" s="57">
        <v>57</v>
      </c>
      <c r="L325" s="23">
        <f t="shared" si="55"/>
        <v>-16</v>
      </c>
      <c r="M325" s="23">
        <f t="shared" si="56"/>
        <v>-16</v>
      </c>
      <c r="N325" s="23"/>
      <c r="O325" s="23">
        <v>6</v>
      </c>
    </row>
    <row r="326" spans="1:17" hidden="1" outlineLevel="1">
      <c r="A326" s="96">
        <v>45422</v>
      </c>
      <c r="B326" s="17" t="s">
        <v>15</v>
      </c>
      <c r="C326" s="101">
        <f>64-8</f>
        <v>56</v>
      </c>
      <c r="D326" s="100">
        <v>56</v>
      </c>
      <c r="E326" s="22">
        <f t="shared" si="54"/>
        <v>114</v>
      </c>
      <c r="G326" s="78">
        <v>48</v>
      </c>
      <c r="H326" s="62">
        <f>C324+I326</f>
        <v>56</v>
      </c>
      <c r="I326" s="20"/>
      <c r="J326" s="21"/>
      <c r="K326" s="57">
        <v>56</v>
      </c>
      <c r="L326" s="23">
        <f t="shared" si="55"/>
        <v>-8</v>
      </c>
      <c r="M326" s="23">
        <f t="shared" si="56"/>
        <v>-8</v>
      </c>
      <c r="N326" s="23"/>
      <c r="O326" s="23">
        <v>2</v>
      </c>
      <c r="Q326" s="1">
        <f>AVERAGE(G322:G326)</f>
        <v>51.4</v>
      </c>
    </row>
    <row r="327" spans="1:17" s="12" customFormat="1" hidden="1" outlineLevel="1">
      <c r="A327" s="95">
        <v>45423</v>
      </c>
      <c r="B327" s="25" t="s">
        <v>16</v>
      </c>
      <c r="C327" s="98"/>
      <c r="D327" s="99"/>
      <c r="E327" s="87">
        <f t="shared" si="54"/>
        <v>114</v>
      </c>
      <c r="G327" s="79"/>
      <c r="H327" s="63"/>
      <c r="I327" s="27"/>
      <c r="J327" s="28"/>
      <c r="K327" s="43"/>
      <c r="L327" s="29">
        <f t="shared" si="55"/>
        <v>-8</v>
      </c>
      <c r="M327" s="29">
        <f t="shared" si="56"/>
        <v>-8</v>
      </c>
      <c r="N327" s="29"/>
      <c r="O327" s="29"/>
    </row>
    <row r="328" spans="1:17" s="12" customFormat="1" hidden="1" outlineLevel="1">
      <c r="A328" s="95">
        <v>45424</v>
      </c>
      <c r="B328" s="25" t="s">
        <v>17</v>
      </c>
      <c r="C328" s="98"/>
      <c r="D328" s="99"/>
      <c r="E328" s="87">
        <f t="shared" si="54"/>
        <v>114</v>
      </c>
      <c r="G328" s="79"/>
      <c r="H328" s="63"/>
      <c r="I328" s="27"/>
      <c r="J328" s="28"/>
      <c r="K328" s="43"/>
      <c r="L328" s="29">
        <f t="shared" si="55"/>
        <v>-8</v>
      </c>
      <c r="M328" s="29">
        <f t="shared" si="56"/>
        <v>-8</v>
      </c>
      <c r="N328" s="29"/>
      <c r="O328" s="29"/>
    </row>
    <row r="329" spans="1:17" hidden="1" outlineLevel="1" collapsed="1">
      <c r="A329" s="96">
        <v>45425</v>
      </c>
      <c r="B329" s="17" t="s">
        <v>18</v>
      </c>
      <c r="C329" s="101">
        <v>56</v>
      </c>
      <c r="D329" s="100">
        <v>56</v>
      </c>
      <c r="E329" s="22">
        <f t="shared" si="54"/>
        <v>114</v>
      </c>
      <c r="G329" s="78">
        <v>56</v>
      </c>
      <c r="H329" s="62">
        <f>C325+I329</f>
        <v>56</v>
      </c>
      <c r="I329" s="20"/>
      <c r="J329" s="21"/>
      <c r="K329" s="57">
        <v>56</v>
      </c>
      <c r="L329" s="23">
        <f t="shared" si="55"/>
        <v>-8</v>
      </c>
      <c r="M329" s="23">
        <f t="shared" si="56"/>
        <v>-8</v>
      </c>
      <c r="N329" s="23"/>
      <c r="O329" s="23">
        <f>8+7</f>
        <v>15</v>
      </c>
    </row>
    <row r="330" spans="1:17" hidden="1" outlineLevel="1">
      <c r="A330" s="96">
        <v>45426</v>
      </c>
      <c r="B330" s="17" t="s">
        <v>19</v>
      </c>
      <c r="C330" s="101">
        <v>65</v>
      </c>
      <c r="D330" s="100">
        <v>65</v>
      </c>
      <c r="E330" s="22">
        <f t="shared" si="54"/>
        <v>114</v>
      </c>
      <c r="G330" s="78">
        <v>72</v>
      </c>
      <c r="H330" s="62">
        <f>C326+I330</f>
        <v>56</v>
      </c>
      <c r="I330" s="20"/>
      <c r="J330" s="21"/>
      <c r="K330" s="57">
        <v>56</v>
      </c>
      <c r="L330" s="23">
        <f t="shared" si="55"/>
        <v>-24</v>
      </c>
      <c r="M330" s="23">
        <f t="shared" si="56"/>
        <v>-24</v>
      </c>
      <c r="N330" s="23"/>
      <c r="O330" s="23">
        <v>7</v>
      </c>
    </row>
    <row r="331" spans="1:17" hidden="1" outlineLevel="1">
      <c r="A331" s="96">
        <v>45427</v>
      </c>
      <c r="B331" s="17" t="s">
        <v>20</v>
      </c>
      <c r="C331" s="101">
        <v>64</v>
      </c>
      <c r="D331" s="100">
        <v>64</v>
      </c>
      <c r="E331" s="22">
        <f t="shared" si="54"/>
        <v>114</v>
      </c>
      <c r="G331" s="78">
        <v>64</v>
      </c>
      <c r="H331" s="62">
        <f>C329+I331</f>
        <v>56</v>
      </c>
      <c r="I331" s="20"/>
      <c r="J331" s="21"/>
      <c r="K331" s="57">
        <v>56</v>
      </c>
      <c r="L331" s="23">
        <f t="shared" si="55"/>
        <v>-32</v>
      </c>
      <c r="M331" s="23">
        <f t="shared" si="56"/>
        <v>-32</v>
      </c>
      <c r="N331" s="23"/>
      <c r="O331" s="23"/>
    </row>
    <row r="332" spans="1:17" hidden="1" outlineLevel="1">
      <c r="A332" s="96">
        <v>45428</v>
      </c>
      <c r="B332" s="17" t="s">
        <v>14</v>
      </c>
      <c r="C332" s="101">
        <f>64-8</f>
        <v>56</v>
      </c>
      <c r="D332" s="100">
        <v>64</v>
      </c>
      <c r="E332" s="22">
        <f t="shared" si="54"/>
        <v>122</v>
      </c>
      <c r="G332" s="78">
        <v>65</v>
      </c>
      <c r="H332" s="62">
        <f>C330+I332</f>
        <v>65</v>
      </c>
      <c r="I332" s="20"/>
      <c r="J332" s="21"/>
      <c r="K332" s="57">
        <v>65</v>
      </c>
      <c r="L332" s="23">
        <f t="shared" si="55"/>
        <v>-32</v>
      </c>
      <c r="M332" s="23">
        <f t="shared" si="56"/>
        <v>-32</v>
      </c>
      <c r="N332" s="23"/>
      <c r="O332" s="23"/>
    </row>
    <row r="333" spans="1:17" hidden="1" outlineLevel="1">
      <c r="A333" s="96">
        <v>45429</v>
      </c>
      <c r="B333" s="17" t="s">
        <v>15</v>
      </c>
      <c r="C333" s="101">
        <v>56</v>
      </c>
      <c r="D333" s="100">
        <v>64</v>
      </c>
      <c r="E333" s="22">
        <f t="shared" si="54"/>
        <v>130</v>
      </c>
      <c r="G333" s="78">
        <v>48</v>
      </c>
      <c r="H333" s="62">
        <f>C331+I333</f>
        <v>64</v>
      </c>
      <c r="I333" s="20"/>
      <c r="J333" s="21"/>
      <c r="K333" s="57">
        <v>64</v>
      </c>
      <c r="L333" s="23">
        <f t="shared" si="55"/>
        <v>-16</v>
      </c>
      <c r="M333" s="23">
        <f t="shared" si="56"/>
        <v>-16</v>
      </c>
      <c r="N333" s="23"/>
      <c r="O333" s="23"/>
      <c r="Q333" s="1">
        <f>AVERAGE(G329:G333)</f>
        <v>61</v>
      </c>
    </row>
    <row r="334" spans="1:17" s="12" customFormat="1" hidden="1" outlineLevel="1" collapsed="1">
      <c r="A334" s="95">
        <v>45430</v>
      </c>
      <c r="B334" s="25" t="s">
        <v>16</v>
      </c>
      <c r="C334" s="98"/>
      <c r="D334" s="99"/>
      <c r="E334" s="87">
        <f t="shared" ref="E334:E397" si="57">E333-C334+D334</f>
        <v>130</v>
      </c>
      <c r="G334" s="79"/>
      <c r="H334" s="63"/>
      <c r="I334" s="27"/>
      <c r="J334" s="28"/>
      <c r="K334" s="43"/>
      <c r="L334" s="29">
        <f t="shared" si="55"/>
        <v>-16</v>
      </c>
      <c r="M334" s="29">
        <f t="shared" si="56"/>
        <v>-16</v>
      </c>
      <c r="N334" s="29"/>
      <c r="O334" s="29"/>
    </row>
    <row r="335" spans="1:17" s="12" customFormat="1" hidden="1" outlineLevel="1">
      <c r="A335" s="95">
        <v>45431</v>
      </c>
      <c r="B335" s="25" t="s">
        <v>17</v>
      </c>
      <c r="C335" s="98"/>
      <c r="D335" s="99"/>
      <c r="E335" s="87">
        <f t="shared" si="57"/>
        <v>130</v>
      </c>
      <c r="G335" s="79"/>
      <c r="H335" s="63"/>
      <c r="I335" s="27"/>
      <c r="J335" s="28"/>
      <c r="K335" s="43"/>
      <c r="L335" s="29">
        <f t="shared" si="55"/>
        <v>-16</v>
      </c>
      <c r="M335" s="29">
        <f t="shared" si="56"/>
        <v>-16</v>
      </c>
      <c r="N335" s="29"/>
      <c r="O335" s="29"/>
    </row>
    <row r="336" spans="1:17" hidden="1" outlineLevel="1">
      <c r="A336" s="96">
        <v>45432</v>
      </c>
      <c r="B336" s="17" t="s">
        <v>18</v>
      </c>
      <c r="C336" s="101">
        <v>64</v>
      </c>
      <c r="D336" s="100">
        <v>64</v>
      </c>
      <c r="E336" s="22">
        <f t="shared" si="57"/>
        <v>130</v>
      </c>
      <c r="G336" s="78">
        <v>80</v>
      </c>
      <c r="H336" s="62">
        <f>C332+I336</f>
        <v>56</v>
      </c>
      <c r="I336" s="20"/>
      <c r="J336" s="21"/>
      <c r="K336" s="57">
        <v>56</v>
      </c>
      <c r="L336" s="23">
        <f t="shared" si="55"/>
        <v>-40</v>
      </c>
      <c r="M336" s="23">
        <f t="shared" si="56"/>
        <v>-40</v>
      </c>
      <c r="N336" s="23"/>
      <c r="O336" s="23"/>
    </row>
    <row r="337" spans="1:17" hidden="1" outlineLevel="1">
      <c r="A337" s="96">
        <v>45433</v>
      </c>
      <c r="B337" s="17" t="s">
        <v>19</v>
      </c>
      <c r="C337" s="101">
        <v>64</v>
      </c>
      <c r="D337" s="100">
        <v>64</v>
      </c>
      <c r="E337" s="22">
        <f t="shared" si="57"/>
        <v>130</v>
      </c>
      <c r="G337" s="78">
        <v>64</v>
      </c>
      <c r="H337" s="62">
        <f>C333+I337</f>
        <v>56</v>
      </c>
      <c r="I337" s="20"/>
      <c r="J337" s="21"/>
      <c r="K337" s="57">
        <v>56</v>
      </c>
      <c r="L337" s="23">
        <f t="shared" si="55"/>
        <v>-48</v>
      </c>
      <c r="M337" s="23">
        <f t="shared" si="56"/>
        <v>-48</v>
      </c>
      <c r="N337" s="23"/>
      <c r="O337" s="23"/>
    </row>
    <row r="338" spans="1:17" hidden="1" outlineLevel="1">
      <c r="A338" s="96">
        <v>45434</v>
      </c>
      <c r="B338" s="17" t="s">
        <v>20</v>
      </c>
      <c r="C338" s="101">
        <v>56</v>
      </c>
      <c r="D338" s="100">
        <v>64</v>
      </c>
      <c r="E338" s="22">
        <f t="shared" si="57"/>
        <v>138</v>
      </c>
      <c r="G338" s="78">
        <v>64</v>
      </c>
      <c r="H338" s="62">
        <f>C336+I338</f>
        <v>64</v>
      </c>
      <c r="I338" s="20"/>
      <c r="J338" s="21"/>
      <c r="K338" s="57">
        <v>64</v>
      </c>
      <c r="L338" s="23">
        <f t="shared" si="55"/>
        <v>-48</v>
      </c>
      <c r="M338" s="23">
        <f t="shared" si="56"/>
        <v>-48</v>
      </c>
      <c r="N338" s="23"/>
      <c r="O338" s="23"/>
    </row>
    <row r="339" spans="1:17" hidden="1" outlineLevel="1">
      <c r="A339" s="96">
        <v>45435</v>
      </c>
      <c r="B339" s="17" t="s">
        <v>14</v>
      </c>
      <c r="C339" s="101">
        <f>64-8</f>
        <v>56</v>
      </c>
      <c r="D339" s="100">
        <v>64</v>
      </c>
      <c r="E339" s="22">
        <f t="shared" si="57"/>
        <v>146</v>
      </c>
      <c r="G339" s="78">
        <v>40</v>
      </c>
      <c r="H339" s="62">
        <f>C337+I339</f>
        <v>64</v>
      </c>
      <c r="I339" s="20"/>
      <c r="J339" s="21"/>
      <c r="K339" s="57">
        <v>64</v>
      </c>
      <c r="L339" s="23">
        <f t="shared" si="55"/>
        <v>-24</v>
      </c>
      <c r="M339" s="23">
        <f t="shared" si="56"/>
        <v>-24</v>
      </c>
      <c r="N339" s="23"/>
      <c r="O339" s="23">
        <v>4</v>
      </c>
    </row>
    <row r="340" spans="1:17" hidden="1" outlineLevel="1">
      <c r="A340" s="96">
        <v>45436</v>
      </c>
      <c r="B340" s="17" t="s">
        <v>15</v>
      </c>
      <c r="C340" s="101">
        <v>56</v>
      </c>
      <c r="D340" s="100">
        <v>64</v>
      </c>
      <c r="E340" s="22">
        <f t="shared" si="57"/>
        <v>154</v>
      </c>
      <c r="G340" s="78">
        <v>56</v>
      </c>
      <c r="H340" s="62">
        <f>C338+I340</f>
        <v>56</v>
      </c>
      <c r="I340" s="20"/>
      <c r="J340" s="21"/>
      <c r="K340" s="57">
        <v>56</v>
      </c>
      <c r="L340" s="23">
        <f t="shared" si="55"/>
        <v>-24</v>
      </c>
      <c r="M340" s="23">
        <f t="shared" si="56"/>
        <v>-24</v>
      </c>
      <c r="N340" s="23"/>
      <c r="O340" s="23">
        <v>4</v>
      </c>
      <c r="Q340" s="1">
        <f>AVERAGE(G336:G340)</f>
        <v>60.8</v>
      </c>
    </row>
    <row r="341" spans="1:17" s="12" customFormat="1" hidden="1" outlineLevel="1">
      <c r="A341" s="95">
        <v>45437</v>
      </c>
      <c r="B341" s="25" t="s">
        <v>16</v>
      </c>
      <c r="C341" s="98"/>
      <c r="D341" s="99"/>
      <c r="E341" s="87">
        <f t="shared" si="57"/>
        <v>154</v>
      </c>
      <c r="G341" s="79"/>
      <c r="H341" s="63"/>
      <c r="I341" s="27"/>
      <c r="J341" s="28"/>
      <c r="K341" s="43"/>
      <c r="L341" s="29">
        <f t="shared" si="55"/>
        <v>-24</v>
      </c>
      <c r="M341" s="29">
        <f t="shared" si="56"/>
        <v>-24</v>
      </c>
      <c r="N341" s="29"/>
      <c r="O341" s="29"/>
    </row>
    <row r="342" spans="1:17" s="12" customFormat="1" hidden="1" outlineLevel="1">
      <c r="A342" s="95">
        <v>45438</v>
      </c>
      <c r="B342" s="25" t="s">
        <v>17</v>
      </c>
      <c r="C342" s="98"/>
      <c r="D342" s="99"/>
      <c r="E342" s="87">
        <f t="shared" si="57"/>
        <v>154</v>
      </c>
      <c r="G342" s="79"/>
      <c r="H342" s="63"/>
      <c r="I342" s="27"/>
      <c r="J342" s="28"/>
      <c r="K342" s="43"/>
      <c r="L342" s="29">
        <f t="shared" si="55"/>
        <v>-24</v>
      </c>
      <c r="M342" s="29">
        <f t="shared" si="56"/>
        <v>-24</v>
      </c>
      <c r="N342" s="29"/>
      <c r="O342" s="29"/>
    </row>
    <row r="343" spans="1:17" hidden="1" outlineLevel="1">
      <c r="A343" s="96">
        <v>45439</v>
      </c>
      <c r="B343" s="17" t="s">
        <v>18</v>
      </c>
      <c r="C343" s="101">
        <v>64</v>
      </c>
      <c r="D343" s="100"/>
      <c r="E343" s="22">
        <f t="shared" si="57"/>
        <v>90</v>
      </c>
      <c r="G343" s="78">
        <v>64</v>
      </c>
      <c r="H343" s="62">
        <f>C339+I343</f>
        <v>56</v>
      </c>
      <c r="I343" s="20"/>
      <c r="J343" s="21"/>
      <c r="K343" s="57">
        <v>56</v>
      </c>
      <c r="L343" s="23">
        <f t="shared" si="55"/>
        <v>-32</v>
      </c>
      <c r="M343" s="23">
        <f t="shared" si="56"/>
        <v>-32</v>
      </c>
      <c r="N343" s="23"/>
      <c r="O343" s="23">
        <v>7</v>
      </c>
    </row>
    <row r="344" spans="1:17" hidden="1" outlineLevel="1">
      <c r="A344" s="96">
        <v>45440</v>
      </c>
      <c r="B344" s="17" t="s">
        <v>19</v>
      </c>
      <c r="C344" s="101">
        <v>0</v>
      </c>
      <c r="D344" s="100">
        <v>56</v>
      </c>
      <c r="E344" s="22">
        <f t="shared" si="57"/>
        <v>146</v>
      </c>
      <c r="G344" s="78">
        <v>64</v>
      </c>
      <c r="H344" s="62">
        <f>C340+I344</f>
        <v>56</v>
      </c>
      <c r="I344" s="20"/>
      <c r="J344" s="21"/>
      <c r="K344" s="57">
        <v>56</v>
      </c>
      <c r="L344" s="23">
        <f t="shared" si="55"/>
        <v>-40</v>
      </c>
      <c r="M344" s="23">
        <f t="shared" si="56"/>
        <v>-40</v>
      </c>
      <c r="N344" s="23"/>
      <c r="O344" s="23">
        <v>8</v>
      </c>
    </row>
    <row r="345" spans="1:17" hidden="1" outlineLevel="1">
      <c r="A345" s="96">
        <v>45441</v>
      </c>
      <c r="B345" s="17" t="s">
        <v>20</v>
      </c>
      <c r="C345" s="101">
        <v>0</v>
      </c>
      <c r="D345" s="100">
        <v>48</v>
      </c>
      <c r="E345" s="22">
        <f t="shared" si="57"/>
        <v>194</v>
      </c>
      <c r="G345" s="78">
        <v>64</v>
      </c>
      <c r="H345" s="62">
        <f>C343+I345</f>
        <v>64</v>
      </c>
      <c r="I345" s="20"/>
      <c r="J345" s="21"/>
      <c r="K345" s="57">
        <v>64</v>
      </c>
      <c r="L345" s="23">
        <f t="shared" si="55"/>
        <v>-40</v>
      </c>
      <c r="M345" s="23">
        <f t="shared" si="56"/>
        <v>-40</v>
      </c>
      <c r="N345" s="23"/>
      <c r="O345" s="23">
        <v>8</v>
      </c>
    </row>
    <row r="346" spans="1:17" hidden="1" outlineLevel="1">
      <c r="A346" s="96">
        <v>45442</v>
      </c>
      <c r="B346" s="17" t="s">
        <v>14</v>
      </c>
      <c r="C346" s="101">
        <v>64</v>
      </c>
      <c r="D346" s="100">
        <v>48</v>
      </c>
      <c r="E346" s="22">
        <f t="shared" si="57"/>
        <v>178</v>
      </c>
      <c r="G346" s="211">
        <v>0</v>
      </c>
      <c r="H346" s="202">
        <f>C344+I346</f>
        <v>0</v>
      </c>
      <c r="I346" s="20"/>
      <c r="J346" s="21"/>
      <c r="K346" s="57">
        <v>0</v>
      </c>
      <c r="L346" s="23">
        <f t="shared" si="55"/>
        <v>-40</v>
      </c>
      <c r="M346" s="23">
        <f t="shared" si="56"/>
        <v>-40</v>
      </c>
      <c r="N346" s="23"/>
      <c r="O346" s="23"/>
    </row>
    <row r="347" spans="1:17" hidden="1" outlineLevel="1">
      <c r="A347" s="96">
        <v>45443</v>
      </c>
      <c r="B347" s="17" t="s">
        <v>15</v>
      </c>
      <c r="C347" s="101">
        <v>64</v>
      </c>
      <c r="D347" s="100">
        <v>48</v>
      </c>
      <c r="E347" s="22">
        <f t="shared" si="57"/>
        <v>162</v>
      </c>
      <c r="G347" s="211">
        <v>0</v>
      </c>
      <c r="H347" s="202">
        <f>C345+I347</f>
        <v>0</v>
      </c>
      <c r="I347" s="20"/>
      <c r="J347" s="21"/>
      <c r="K347" s="57">
        <v>0</v>
      </c>
      <c r="L347" s="23">
        <f t="shared" si="55"/>
        <v>-40</v>
      </c>
      <c r="M347" s="23">
        <f t="shared" si="56"/>
        <v>-40</v>
      </c>
      <c r="N347" s="23"/>
      <c r="O347" s="23"/>
      <c r="Q347" s="1">
        <f>AVERAGE(G343:G347)</f>
        <v>38.4</v>
      </c>
    </row>
    <row r="348" spans="1:17" s="12" customFormat="1" hidden="1" outlineLevel="1" collapsed="1">
      <c r="A348" s="95">
        <v>45444</v>
      </c>
      <c r="B348" s="25" t="s">
        <v>16</v>
      </c>
      <c r="C348" s="98"/>
      <c r="D348" s="99"/>
      <c r="E348" s="87">
        <f t="shared" si="57"/>
        <v>162</v>
      </c>
      <c r="G348" s="79"/>
      <c r="H348" s="63"/>
      <c r="I348" s="27"/>
      <c r="J348" s="28"/>
      <c r="K348" s="43"/>
      <c r="L348" s="29">
        <f t="shared" ref="L348:L378" si="58">L347-G348+K348</f>
        <v>-40</v>
      </c>
      <c r="M348" s="29">
        <f t="shared" ref="M348:M378" si="59">M347-G348+H348</f>
        <v>-40</v>
      </c>
      <c r="N348" s="29"/>
      <c r="O348" s="29"/>
    </row>
    <row r="349" spans="1:17" s="12" customFormat="1" hidden="1" outlineLevel="1">
      <c r="A349" s="95">
        <v>45445</v>
      </c>
      <c r="B349" s="25" t="s">
        <v>17</v>
      </c>
      <c r="C349" s="98"/>
      <c r="D349" s="99"/>
      <c r="E349" s="87">
        <f t="shared" si="57"/>
        <v>162</v>
      </c>
      <c r="G349" s="64"/>
      <c r="H349" s="63"/>
      <c r="I349" s="27"/>
      <c r="J349" s="28"/>
      <c r="K349" s="43"/>
      <c r="L349" s="29">
        <f t="shared" si="58"/>
        <v>-40</v>
      </c>
      <c r="M349" s="29">
        <f t="shared" si="59"/>
        <v>-40</v>
      </c>
      <c r="N349" s="29"/>
      <c r="O349" s="29"/>
    </row>
    <row r="350" spans="1:17" hidden="1" outlineLevel="1">
      <c r="A350" s="96">
        <v>45446</v>
      </c>
      <c r="B350" s="17" t="s">
        <v>18</v>
      </c>
      <c r="C350" s="101">
        <f>64-8-8</f>
        <v>48</v>
      </c>
      <c r="D350" s="100">
        <v>48</v>
      </c>
      <c r="E350" s="22">
        <f t="shared" si="57"/>
        <v>162</v>
      </c>
      <c r="G350" s="78">
        <v>32</v>
      </c>
      <c r="H350" s="62">
        <f>C346+I350</f>
        <v>64</v>
      </c>
      <c r="I350" s="20"/>
      <c r="J350" s="21"/>
      <c r="K350" s="57">
        <v>64</v>
      </c>
      <c r="L350" s="23">
        <f t="shared" si="58"/>
        <v>-8</v>
      </c>
      <c r="M350" s="23">
        <f t="shared" si="59"/>
        <v>-8</v>
      </c>
      <c r="N350" s="23"/>
      <c r="O350" s="23">
        <v>4</v>
      </c>
    </row>
    <row r="351" spans="1:17" hidden="1" outlineLevel="1">
      <c r="A351" s="96">
        <v>45447</v>
      </c>
      <c r="B351" s="17" t="s">
        <v>19</v>
      </c>
      <c r="C351" s="101">
        <f>64-8-8</f>
        <v>48</v>
      </c>
      <c r="D351" s="100">
        <v>48</v>
      </c>
      <c r="E351" s="22">
        <f t="shared" si="57"/>
        <v>162</v>
      </c>
      <c r="G351" s="78">
        <v>48</v>
      </c>
      <c r="H351" s="62">
        <f>C347+I351</f>
        <v>64</v>
      </c>
      <c r="I351" s="20"/>
      <c r="J351" s="21"/>
      <c r="K351" s="57">
        <v>64</v>
      </c>
      <c r="L351" s="23">
        <f t="shared" si="58"/>
        <v>8</v>
      </c>
      <c r="M351" s="23">
        <f t="shared" si="59"/>
        <v>8</v>
      </c>
      <c r="N351" s="23"/>
      <c r="O351" s="23">
        <v>7</v>
      </c>
    </row>
    <row r="352" spans="1:17" hidden="1" outlineLevel="1">
      <c r="A352" s="96">
        <v>45448</v>
      </c>
      <c r="B352" s="17" t="s">
        <v>20</v>
      </c>
      <c r="C352" s="101">
        <f>64-8-8</f>
        <v>48</v>
      </c>
      <c r="D352" s="100"/>
      <c r="E352" s="22">
        <f t="shared" si="57"/>
        <v>114</v>
      </c>
      <c r="G352" s="78">
        <v>24</v>
      </c>
      <c r="H352" s="62">
        <f>C350+I352</f>
        <v>48</v>
      </c>
      <c r="I352" s="20"/>
      <c r="J352" s="21"/>
      <c r="K352" s="57">
        <v>48</v>
      </c>
      <c r="L352" s="23">
        <f t="shared" si="58"/>
        <v>32</v>
      </c>
      <c r="M352" s="23">
        <f t="shared" si="59"/>
        <v>32</v>
      </c>
      <c r="N352" s="23"/>
      <c r="O352" s="23">
        <v>8</v>
      </c>
    </row>
    <row r="353" spans="1:17" hidden="1" outlineLevel="1">
      <c r="A353" s="96">
        <v>45449</v>
      </c>
      <c r="B353" s="17" t="s">
        <v>14</v>
      </c>
      <c r="C353" s="101">
        <f>64-8-8</f>
        <v>48</v>
      </c>
      <c r="D353" s="100">
        <v>48</v>
      </c>
      <c r="E353" s="22">
        <f t="shared" si="57"/>
        <v>114</v>
      </c>
      <c r="G353" s="78">
        <v>72</v>
      </c>
      <c r="H353" s="62">
        <f>C351+I353</f>
        <v>48</v>
      </c>
      <c r="I353" s="20"/>
      <c r="J353" s="21"/>
      <c r="K353" s="57">
        <v>48</v>
      </c>
      <c r="L353" s="23">
        <f t="shared" si="58"/>
        <v>8</v>
      </c>
      <c r="M353" s="23">
        <f t="shared" si="59"/>
        <v>8</v>
      </c>
      <c r="N353" s="23"/>
      <c r="O353" s="23">
        <v>8</v>
      </c>
    </row>
    <row r="354" spans="1:17" hidden="1" outlineLevel="1">
      <c r="A354" s="96">
        <v>45450</v>
      </c>
      <c r="B354" s="17" t="s">
        <v>15</v>
      </c>
      <c r="C354" s="101">
        <f>64-8-8</f>
        <v>48</v>
      </c>
      <c r="D354" s="100">
        <v>48</v>
      </c>
      <c r="E354" s="22">
        <f t="shared" si="57"/>
        <v>114</v>
      </c>
      <c r="G354" s="78">
        <v>56</v>
      </c>
      <c r="H354" s="62">
        <f>C352+I354</f>
        <v>48</v>
      </c>
      <c r="I354" s="20"/>
      <c r="J354" s="21"/>
      <c r="K354" s="57">
        <v>48</v>
      </c>
      <c r="L354" s="23">
        <f t="shared" si="58"/>
        <v>0</v>
      </c>
      <c r="M354" s="23">
        <f t="shared" si="59"/>
        <v>0</v>
      </c>
      <c r="N354" s="23"/>
      <c r="O354" s="23">
        <v>7</v>
      </c>
      <c r="Q354" s="1">
        <f>AVERAGE(G350:G354)</f>
        <v>46.4</v>
      </c>
    </row>
    <row r="355" spans="1:17" s="12" customFormat="1" hidden="1" outlineLevel="1">
      <c r="A355" s="95">
        <v>45451</v>
      </c>
      <c r="B355" s="25" t="s">
        <v>16</v>
      </c>
      <c r="C355" s="98"/>
      <c r="D355" s="99"/>
      <c r="E355" s="87">
        <f t="shared" si="57"/>
        <v>114</v>
      </c>
      <c r="G355" s="64"/>
      <c r="H355" s="63"/>
      <c r="I355" s="27"/>
      <c r="J355" s="28"/>
      <c r="K355" s="43"/>
      <c r="L355" s="29">
        <f t="shared" si="58"/>
        <v>0</v>
      </c>
      <c r="M355" s="29">
        <f t="shared" si="59"/>
        <v>0</v>
      </c>
      <c r="N355" s="29"/>
      <c r="O355" s="29"/>
    </row>
    <row r="356" spans="1:17" s="12" customFormat="1" hidden="1" outlineLevel="1">
      <c r="A356" s="95">
        <v>45452</v>
      </c>
      <c r="B356" s="25" t="s">
        <v>17</v>
      </c>
      <c r="C356" s="98"/>
      <c r="D356" s="99"/>
      <c r="E356" s="87">
        <f t="shared" si="57"/>
        <v>114</v>
      </c>
      <c r="G356" s="64"/>
      <c r="H356" s="63"/>
      <c r="I356" s="27"/>
      <c r="J356" s="28"/>
      <c r="K356" s="43"/>
      <c r="L356" s="29">
        <f t="shared" si="58"/>
        <v>0</v>
      </c>
      <c r="M356" s="29">
        <f t="shared" si="59"/>
        <v>0</v>
      </c>
      <c r="N356" s="29"/>
      <c r="O356" s="29"/>
    </row>
    <row r="357" spans="1:17" hidden="1" outlineLevel="1">
      <c r="A357" s="96">
        <v>45453</v>
      </c>
      <c r="B357" s="17" t="s">
        <v>18</v>
      </c>
      <c r="C357" s="101">
        <v>56</v>
      </c>
      <c r="D357" s="100">
        <v>46</v>
      </c>
      <c r="E357" s="22">
        <f t="shared" si="57"/>
        <v>104</v>
      </c>
      <c r="G357" s="78">
        <v>64</v>
      </c>
      <c r="H357" s="62">
        <f>C353+I357</f>
        <v>48</v>
      </c>
      <c r="I357" s="20"/>
      <c r="J357" s="21"/>
      <c r="K357" s="57">
        <v>48</v>
      </c>
      <c r="L357" s="23">
        <f t="shared" si="58"/>
        <v>-16</v>
      </c>
      <c r="M357" s="23">
        <f t="shared" si="59"/>
        <v>-16</v>
      </c>
      <c r="N357" s="23"/>
      <c r="O357" s="23">
        <v>7</v>
      </c>
    </row>
    <row r="358" spans="1:17" hidden="1" outlineLevel="1">
      <c r="A358" s="96">
        <v>45454</v>
      </c>
      <c r="B358" s="17" t="s">
        <v>19</v>
      </c>
      <c r="C358" s="101">
        <v>56</v>
      </c>
      <c r="D358" s="100">
        <v>42</v>
      </c>
      <c r="E358" s="22">
        <f t="shared" si="57"/>
        <v>90</v>
      </c>
      <c r="G358" s="78">
        <v>104</v>
      </c>
      <c r="H358" s="62">
        <f>C354+I358</f>
        <v>48</v>
      </c>
      <c r="I358" s="20"/>
      <c r="J358" s="21"/>
      <c r="K358" s="57">
        <v>48</v>
      </c>
      <c r="L358" s="23">
        <f t="shared" si="58"/>
        <v>-72</v>
      </c>
      <c r="M358" s="23">
        <f t="shared" si="59"/>
        <v>-72</v>
      </c>
      <c r="N358" s="23"/>
      <c r="O358" s="23">
        <v>1</v>
      </c>
    </row>
    <row r="359" spans="1:17" hidden="1" outlineLevel="1">
      <c r="A359" s="96">
        <v>45455</v>
      </c>
      <c r="B359" s="17" t="s">
        <v>20</v>
      </c>
      <c r="C359" s="101">
        <v>56</v>
      </c>
      <c r="D359" s="100">
        <v>56</v>
      </c>
      <c r="E359" s="22">
        <f t="shared" si="57"/>
        <v>90</v>
      </c>
      <c r="G359" s="78">
        <v>32</v>
      </c>
      <c r="H359" s="62">
        <f>C357+I359</f>
        <v>56</v>
      </c>
      <c r="I359" s="20"/>
      <c r="J359" s="21"/>
      <c r="K359" s="57">
        <v>56</v>
      </c>
      <c r="L359" s="23">
        <f t="shared" si="58"/>
        <v>-48</v>
      </c>
      <c r="M359" s="23">
        <f t="shared" si="59"/>
        <v>-48</v>
      </c>
      <c r="N359" s="23"/>
      <c r="O359" s="23">
        <v>8</v>
      </c>
    </row>
    <row r="360" spans="1:17" hidden="1" outlineLevel="1">
      <c r="A360" s="96">
        <v>45456</v>
      </c>
      <c r="B360" s="17" t="s">
        <v>14</v>
      </c>
      <c r="C360" s="101">
        <v>56</v>
      </c>
      <c r="D360" s="100">
        <v>56</v>
      </c>
      <c r="E360" s="22">
        <f t="shared" si="57"/>
        <v>90</v>
      </c>
      <c r="G360" s="78">
        <v>48</v>
      </c>
      <c r="H360" s="62">
        <f>C358+I360</f>
        <v>56</v>
      </c>
      <c r="I360" s="20"/>
      <c r="J360" s="21"/>
      <c r="K360" s="57">
        <v>56</v>
      </c>
      <c r="L360" s="23">
        <f t="shared" si="58"/>
        <v>-40</v>
      </c>
      <c r="M360" s="23">
        <f t="shared" si="59"/>
        <v>-40</v>
      </c>
      <c r="N360" s="23"/>
      <c r="O360" s="23"/>
    </row>
    <row r="361" spans="1:17" hidden="1" outlineLevel="1">
      <c r="A361" s="96">
        <v>45457</v>
      </c>
      <c r="B361" s="17" t="s">
        <v>15</v>
      </c>
      <c r="C361" s="101">
        <v>56</v>
      </c>
      <c r="D361" s="100">
        <v>56</v>
      </c>
      <c r="E361" s="22">
        <f t="shared" si="57"/>
        <v>90</v>
      </c>
      <c r="G361" s="83">
        <v>48</v>
      </c>
      <c r="H361" s="62">
        <f>C359+I361</f>
        <v>56</v>
      </c>
      <c r="I361" s="20"/>
      <c r="J361" s="21"/>
      <c r="K361" s="57">
        <v>56</v>
      </c>
      <c r="L361" s="23">
        <f t="shared" si="58"/>
        <v>-32</v>
      </c>
      <c r="M361" s="23">
        <f t="shared" si="59"/>
        <v>-32</v>
      </c>
      <c r="N361" s="23"/>
      <c r="O361" s="23">
        <v>6</v>
      </c>
      <c r="Q361" s="1">
        <f>AVERAGE(G357:G361)</f>
        <v>59.2</v>
      </c>
    </row>
    <row r="362" spans="1:17" s="12" customFormat="1" hidden="1" outlineLevel="1" collapsed="1">
      <c r="A362" s="95">
        <v>45458</v>
      </c>
      <c r="B362" s="25" t="s">
        <v>16</v>
      </c>
      <c r="C362" s="98"/>
      <c r="D362" s="99"/>
      <c r="E362" s="87">
        <f t="shared" si="57"/>
        <v>90</v>
      </c>
      <c r="G362" s="64"/>
      <c r="H362" s="63"/>
      <c r="I362" s="27"/>
      <c r="J362" s="28"/>
      <c r="K362" s="43"/>
      <c r="L362" s="29">
        <f t="shared" si="58"/>
        <v>-32</v>
      </c>
      <c r="M362" s="29">
        <f t="shared" si="59"/>
        <v>-32</v>
      </c>
      <c r="N362" s="29"/>
      <c r="O362" s="29"/>
    </row>
    <row r="363" spans="1:17" s="12" customFormat="1" hidden="1" outlineLevel="1">
      <c r="A363" s="95">
        <v>45459</v>
      </c>
      <c r="B363" s="25" t="s">
        <v>17</v>
      </c>
      <c r="C363" s="98"/>
      <c r="D363" s="99"/>
      <c r="E363" s="87">
        <f t="shared" si="57"/>
        <v>90</v>
      </c>
      <c r="G363" s="64"/>
      <c r="H363" s="63"/>
      <c r="I363" s="27"/>
      <c r="J363" s="28"/>
      <c r="K363" s="43"/>
      <c r="L363" s="29">
        <f t="shared" si="58"/>
        <v>-32</v>
      </c>
      <c r="M363" s="29">
        <f t="shared" si="59"/>
        <v>-32</v>
      </c>
      <c r="N363" s="29"/>
      <c r="O363" s="29"/>
    </row>
    <row r="364" spans="1:17" hidden="1" outlineLevel="1">
      <c r="A364" s="96">
        <v>45460</v>
      </c>
      <c r="B364" s="17" t="s">
        <v>18</v>
      </c>
      <c r="C364" s="101">
        <v>64</v>
      </c>
      <c r="D364" s="100">
        <v>64</v>
      </c>
      <c r="E364" s="22">
        <f t="shared" si="57"/>
        <v>90</v>
      </c>
      <c r="G364" s="78">
        <v>56</v>
      </c>
      <c r="H364" s="62">
        <f>C360+I364</f>
        <v>56</v>
      </c>
      <c r="I364" s="20"/>
      <c r="J364" s="21"/>
      <c r="K364" s="57">
        <v>56</v>
      </c>
      <c r="L364" s="23">
        <f t="shared" si="58"/>
        <v>-32</v>
      </c>
      <c r="M364" s="23">
        <f t="shared" si="59"/>
        <v>-32</v>
      </c>
      <c r="N364" s="23"/>
      <c r="O364" s="23">
        <v>7</v>
      </c>
    </row>
    <row r="365" spans="1:17" hidden="1" outlineLevel="1">
      <c r="A365" s="96">
        <v>45461</v>
      </c>
      <c r="B365" s="17" t="s">
        <v>19</v>
      </c>
      <c r="C365" s="101">
        <v>64</v>
      </c>
      <c r="D365" s="100">
        <v>64</v>
      </c>
      <c r="E365" s="22">
        <f t="shared" si="57"/>
        <v>90</v>
      </c>
      <c r="G365" s="78">
        <v>64</v>
      </c>
      <c r="H365" s="62">
        <f>C361+I365</f>
        <v>56</v>
      </c>
      <c r="I365" s="20"/>
      <c r="J365" s="21"/>
      <c r="K365" s="57">
        <v>56</v>
      </c>
      <c r="L365" s="23">
        <f t="shared" si="58"/>
        <v>-40</v>
      </c>
      <c r="M365" s="23">
        <f t="shared" si="59"/>
        <v>-40</v>
      </c>
      <c r="N365" s="23"/>
      <c r="O365" s="23">
        <v>35</v>
      </c>
    </row>
    <row r="366" spans="1:17" hidden="1" outlineLevel="1">
      <c r="A366" s="96">
        <v>45462</v>
      </c>
      <c r="B366" s="17" t="s">
        <v>20</v>
      </c>
      <c r="C366" s="101">
        <v>64</v>
      </c>
      <c r="D366" s="100">
        <v>64</v>
      </c>
      <c r="E366" s="22">
        <f t="shared" si="57"/>
        <v>90</v>
      </c>
      <c r="G366" s="78">
        <v>56</v>
      </c>
      <c r="H366" s="62">
        <f>C364+I366</f>
        <v>64</v>
      </c>
      <c r="I366" s="20"/>
      <c r="J366" s="21"/>
      <c r="K366" s="57">
        <v>64</v>
      </c>
      <c r="L366" s="23">
        <f t="shared" si="58"/>
        <v>-32</v>
      </c>
      <c r="M366" s="23">
        <f t="shared" si="59"/>
        <v>-32</v>
      </c>
      <c r="N366" s="23"/>
      <c r="O366" s="23">
        <v>8</v>
      </c>
    </row>
    <row r="367" spans="1:17" hidden="1" outlineLevel="1">
      <c r="A367" s="96">
        <v>45463</v>
      </c>
      <c r="B367" s="17" t="s">
        <v>14</v>
      </c>
      <c r="C367" s="101">
        <v>64</v>
      </c>
      <c r="D367" s="100">
        <v>64</v>
      </c>
      <c r="E367" s="22">
        <f t="shared" si="57"/>
        <v>90</v>
      </c>
      <c r="G367" s="78">
        <v>72</v>
      </c>
      <c r="H367" s="62">
        <f>C365+I367</f>
        <v>64</v>
      </c>
      <c r="I367" s="20"/>
      <c r="J367" s="21"/>
      <c r="K367" s="57">
        <v>64</v>
      </c>
      <c r="L367" s="23">
        <f t="shared" si="58"/>
        <v>-40</v>
      </c>
      <c r="M367" s="23">
        <f t="shared" si="59"/>
        <v>-40</v>
      </c>
      <c r="N367" s="23"/>
      <c r="O367" s="23">
        <v>7</v>
      </c>
    </row>
    <row r="368" spans="1:17" hidden="1" outlineLevel="1">
      <c r="A368" s="96">
        <v>45464</v>
      </c>
      <c r="B368" s="17" t="s">
        <v>15</v>
      </c>
      <c r="C368" s="101">
        <v>64</v>
      </c>
      <c r="D368" s="100">
        <v>64</v>
      </c>
      <c r="E368" s="22">
        <f t="shared" si="57"/>
        <v>90</v>
      </c>
      <c r="G368" s="83">
        <v>40</v>
      </c>
      <c r="H368" s="62">
        <f>C366+I368</f>
        <v>64</v>
      </c>
      <c r="I368" s="20"/>
      <c r="J368" s="21"/>
      <c r="K368" s="57">
        <v>64</v>
      </c>
      <c r="L368" s="23">
        <f t="shared" si="58"/>
        <v>-16</v>
      </c>
      <c r="M368" s="23">
        <f t="shared" si="59"/>
        <v>-16</v>
      </c>
      <c r="N368" s="23"/>
      <c r="O368" s="23">
        <v>3</v>
      </c>
      <c r="Q368" s="1">
        <f>AVERAGE(G364:G368)</f>
        <v>57.6</v>
      </c>
    </row>
    <row r="369" spans="1:17" s="12" customFormat="1" hidden="1" outlineLevel="1" collapsed="1">
      <c r="A369" s="95">
        <v>45465</v>
      </c>
      <c r="B369" s="25" t="s">
        <v>16</v>
      </c>
      <c r="C369" s="98"/>
      <c r="D369" s="99"/>
      <c r="E369" s="87">
        <f t="shared" si="57"/>
        <v>90</v>
      </c>
      <c r="G369" s="64"/>
      <c r="H369" s="63"/>
      <c r="I369" s="27"/>
      <c r="J369" s="28"/>
      <c r="K369" s="43"/>
      <c r="L369" s="29">
        <f t="shared" si="58"/>
        <v>-16</v>
      </c>
      <c r="M369" s="29">
        <f t="shared" si="59"/>
        <v>-16</v>
      </c>
      <c r="N369" s="29"/>
      <c r="O369" s="29"/>
    </row>
    <row r="370" spans="1:17" s="12" customFormat="1" hidden="1" outlineLevel="1">
      <c r="A370" s="95">
        <v>45466</v>
      </c>
      <c r="B370" s="25" t="s">
        <v>17</v>
      </c>
      <c r="C370" s="98"/>
      <c r="D370" s="99"/>
      <c r="E370" s="87">
        <f t="shared" si="57"/>
        <v>90</v>
      </c>
      <c r="G370" s="64"/>
      <c r="H370" s="63"/>
      <c r="I370" s="27"/>
      <c r="J370" s="28"/>
      <c r="K370" s="43"/>
      <c r="L370" s="29">
        <f t="shared" si="58"/>
        <v>-16</v>
      </c>
      <c r="M370" s="29">
        <f t="shared" si="59"/>
        <v>-16</v>
      </c>
      <c r="N370" s="29"/>
      <c r="O370" s="29"/>
    </row>
    <row r="371" spans="1:17" hidden="1" outlineLevel="1">
      <c r="A371" s="96">
        <v>45467</v>
      </c>
      <c r="B371" s="17" t="s">
        <v>18</v>
      </c>
      <c r="C371" s="101">
        <v>56</v>
      </c>
      <c r="D371" s="100">
        <v>56</v>
      </c>
      <c r="E371" s="22">
        <f t="shared" si="57"/>
        <v>90</v>
      </c>
      <c r="G371" s="83">
        <v>64</v>
      </c>
      <c r="H371" s="62">
        <f>C367+I371</f>
        <v>64</v>
      </c>
      <c r="I371" s="20"/>
      <c r="J371" s="21"/>
      <c r="K371" s="57">
        <v>64</v>
      </c>
      <c r="L371" s="23">
        <f t="shared" si="58"/>
        <v>-16</v>
      </c>
      <c r="M371" s="23">
        <f t="shared" si="59"/>
        <v>-16</v>
      </c>
      <c r="N371" s="23"/>
      <c r="O371" s="23">
        <v>9</v>
      </c>
    </row>
    <row r="372" spans="1:17" hidden="1" outlineLevel="1">
      <c r="A372" s="96">
        <v>45468</v>
      </c>
      <c r="B372" s="17" t="s">
        <v>19</v>
      </c>
      <c r="C372" s="101">
        <v>64</v>
      </c>
      <c r="D372" s="100">
        <v>64</v>
      </c>
      <c r="E372" s="22">
        <f t="shared" si="57"/>
        <v>90</v>
      </c>
      <c r="G372" s="83">
        <v>176</v>
      </c>
      <c r="H372" s="62">
        <f>C368+I372</f>
        <v>64</v>
      </c>
      <c r="I372" s="20"/>
      <c r="J372" s="21"/>
      <c r="K372" s="57">
        <v>64</v>
      </c>
      <c r="L372" s="23">
        <f t="shared" si="58"/>
        <v>-128</v>
      </c>
      <c r="M372" s="23">
        <f t="shared" si="59"/>
        <v>-128</v>
      </c>
      <c r="N372" s="23"/>
      <c r="O372" s="23">
        <v>6</v>
      </c>
    </row>
    <row r="373" spans="1:17" hidden="1" outlineLevel="1">
      <c r="A373" s="96">
        <v>45469</v>
      </c>
      <c r="B373" s="17" t="s">
        <v>20</v>
      </c>
      <c r="C373" s="101">
        <v>64</v>
      </c>
      <c r="D373" s="100">
        <v>64</v>
      </c>
      <c r="E373" s="22">
        <f t="shared" si="57"/>
        <v>90</v>
      </c>
      <c r="G373" s="78">
        <v>56</v>
      </c>
      <c r="H373" s="62">
        <f>C371+I373</f>
        <v>56</v>
      </c>
      <c r="I373" s="20"/>
      <c r="J373" s="21"/>
      <c r="K373" s="57">
        <v>56</v>
      </c>
      <c r="L373" s="23">
        <f t="shared" si="58"/>
        <v>-128</v>
      </c>
      <c r="M373" s="23">
        <f t="shared" si="59"/>
        <v>-128</v>
      </c>
      <c r="N373" s="23"/>
      <c r="O373" s="23">
        <v>3</v>
      </c>
    </row>
    <row r="374" spans="1:17" hidden="1" outlineLevel="1">
      <c r="A374" s="96">
        <v>45470</v>
      </c>
      <c r="B374" s="17" t="s">
        <v>14</v>
      </c>
      <c r="C374" s="101">
        <v>64</v>
      </c>
      <c r="D374" s="100">
        <v>50</v>
      </c>
      <c r="E374" s="22">
        <f t="shared" si="57"/>
        <v>76</v>
      </c>
      <c r="G374" s="78">
        <v>0</v>
      </c>
      <c r="H374" s="62">
        <f>C372+I374</f>
        <v>64</v>
      </c>
      <c r="I374" s="20"/>
      <c r="J374" s="21"/>
      <c r="K374" s="57">
        <v>64</v>
      </c>
      <c r="L374" s="23">
        <f t="shared" si="58"/>
        <v>-64</v>
      </c>
      <c r="M374" s="23">
        <f t="shared" si="59"/>
        <v>-64</v>
      </c>
      <c r="N374" s="23"/>
      <c r="O374" s="23">
        <v>8</v>
      </c>
    </row>
    <row r="375" spans="1:17" hidden="1" outlineLevel="1">
      <c r="A375" s="96">
        <v>45471</v>
      </c>
      <c r="B375" s="17" t="s">
        <v>15</v>
      </c>
      <c r="C375" s="101">
        <v>56</v>
      </c>
      <c r="D375" s="100">
        <v>56</v>
      </c>
      <c r="E375" s="22">
        <f t="shared" si="57"/>
        <v>76</v>
      </c>
      <c r="G375" s="78">
        <v>0</v>
      </c>
      <c r="H375" s="62">
        <f>C373+I375</f>
        <v>64</v>
      </c>
      <c r="I375" s="20"/>
      <c r="J375" s="21"/>
      <c r="K375" s="57">
        <v>64</v>
      </c>
      <c r="L375" s="23">
        <f t="shared" si="58"/>
        <v>0</v>
      </c>
      <c r="M375" s="23">
        <f t="shared" si="59"/>
        <v>0</v>
      </c>
      <c r="N375" s="23"/>
      <c r="O375" s="23">
        <v>8</v>
      </c>
      <c r="Q375" s="1">
        <f>AVERAGE(G371:G375)</f>
        <v>59.2</v>
      </c>
    </row>
    <row r="376" spans="1:17" s="12" customFormat="1" hidden="1" outlineLevel="1" collapsed="1">
      <c r="A376" s="95">
        <v>45472</v>
      </c>
      <c r="B376" s="25" t="s">
        <v>16</v>
      </c>
      <c r="C376" s="98"/>
      <c r="D376" s="99"/>
      <c r="E376" s="87">
        <f t="shared" si="57"/>
        <v>76</v>
      </c>
      <c r="G376" s="64"/>
      <c r="H376" s="63"/>
      <c r="I376" s="27"/>
      <c r="J376" s="28"/>
      <c r="K376" s="43"/>
      <c r="L376" s="29">
        <f t="shared" si="58"/>
        <v>0</v>
      </c>
      <c r="M376" s="29">
        <f t="shared" si="59"/>
        <v>0</v>
      </c>
      <c r="N376" s="29"/>
      <c r="O376" s="29"/>
    </row>
    <row r="377" spans="1:17" s="12" customFormat="1" hidden="1" outlineLevel="1">
      <c r="A377" s="95">
        <v>45473</v>
      </c>
      <c r="B377" s="25" t="s">
        <v>17</v>
      </c>
      <c r="C377" s="98"/>
      <c r="D377" s="99"/>
      <c r="E377" s="87">
        <f t="shared" si="57"/>
        <v>76</v>
      </c>
      <c r="G377" s="64"/>
      <c r="H377" s="63"/>
      <c r="I377" s="27"/>
      <c r="J377" s="28"/>
      <c r="K377" s="43"/>
      <c r="L377" s="29">
        <f t="shared" si="58"/>
        <v>0</v>
      </c>
      <c r="M377" s="29">
        <f t="shared" si="59"/>
        <v>0</v>
      </c>
      <c r="N377" s="29"/>
      <c r="O377" s="29"/>
    </row>
    <row r="378" spans="1:17" hidden="1" outlineLevel="1">
      <c r="A378" s="96">
        <v>45474</v>
      </c>
      <c r="B378" s="17" t="s">
        <v>18</v>
      </c>
      <c r="C378" s="101">
        <v>56</v>
      </c>
      <c r="D378" s="100">
        <v>56</v>
      </c>
      <c r="E378" s="22">
        <f t="shared" si="57"/>
        <v>76</v>
      </c>
      <c r="G378" s="78">
        <v>112</v>
      </c>
      <c r="H378" s="62">
        <f>C374+I378</f>
        <v>64</v>
      </c>
      <c r="I378" s="20"/>
      <c r="J378" s="21"/>
      <c r="K378" s="57">
        <v>64</v>
      </c>
      <c r="L378" s="23">
        <f t="shared" si="58"/>
        <v>-48</v>
      </c>
      <c r="M378" s="23">
        <f t="shared" si="59"/>
        <v>-48</v>
      </c>
      <c r="N378" s="23"/>
      <c r="O378" s="23">
        <v>3</v>
      </c>
    </row>
    <row r="379" spans="1:17" hidden="1" outlineLevel="1">
      <c r="A379" s="96">
        <v>45475</v>
      </c>
      <c r="B379" s="17" t="s">
        <v>19</v>
      </c>
      <c r="C379" s="101">
        <v>56</v>
      </c>
      <c r="D379" s="100">
        <v>56</v>
      </c>
      <c r="E379" s="22">
        <f t="shared" si="57"/>
        <v>76</v>
      </c>
      <c r="G379" s="78">
        <v>64</v>
      </c>
      <c r="H379" s="62">
        <f>C375+I379</f>
        <v>56</v>
      </c>
      <c r="I379" s="20"/>
      <c r="J379" s="21"/>
      <c r="K379" s="57">
        <v>56</v>
      </c>
      <c r="L379" s="23">
        <f t="shared" ref="L379:L409" si="60">L378-G379+K379</f>
        <v>-56</v>
      </c>
      <c r="M379" s="23">
        <f t="shared" ref="M379:M409" si="61">M378-G379+H379</f>
        <v>-56</v>
      </c>
      <c r="N379" s="23"/>
      <c r="O379" s="23">
        <v>7</v>
      </c>
    </row>
    <row r="380" spans="1:17" hidden="1" outlineLevel="1">
      <c r="A380" s="96">
        <v>45476</v>
      </c>
      <c r="B380" s="17" t="s">
        <v>20</v>
      </c>
      <c r="C380" s="101">
        <v>56</v>
      </c>
      <c r="D380" s="100">
        <v>56</v>
      </c>
      <c r="E380" s="22">
        <f t="shared" si="57"/>
        <v>76</v>
      </c>
      <c r="G380" s="78">
        <v>80</v>
      </c>
      <c r="H380" s="62">
        <f>C378+I380</f>
        <v>56</v>
      </c>
      <c r="I380" s="20"/>
      <c r="J380" s="21"/>
      <c r="K380" s="57">
        <v>56</v>
      </c>
      <c r="L380" s="23">
        <f t="shared" si="60"/>
        <v>-80</v>
      </c>
      <c r="M380" s="23">
        <f t="shared" si="61"/>
        <v>-80</v>
      </c>
      <c r="N380" s="23"/>
      <c r="O380" s="23">
        <v>0</v>
      </c>
    </row>
    <row r="381" spans="1:17" hidden="1" outlineLevel="1">
      <c r="A381" s="96">
        <v>45477</v>
      </c>
      <c r="B381" s="17" t="s">
        <v>14</v>
      </c>
      <c r="C381" s="101">
        <v>56</v>
      </c>
      <c r="D381" s="100">
        <v>64</v>
      </c>
      <c r="E381" s="22">
        <f t="shared" si="57"/>
        <v>84</v>
      </c>
      <c r="G381" s="78">
        <v>72</v>
      </c>
      <c r="H381" s="62">
        <f>C379+I381</f>
        <v>56</v>
      </c>
      <c r="I381" s="20"/>
      <c r="J381" s="21"/>
      <c r="K381" s="57">
        <v>56</v>
      </c>
      <c r="L381" s="23">
        <f t="shared" si="60"/>
        <v>-96</v>
      </c>
      <c r="M381" s="23">
        <f t="shared" si="61"/>
        <v>-96</v>
      </c>
      <c r="N381" s="23"/>
      <c r="O381" s="23">
        <v>4</v>
      </c>
    </row>
    <row r="382" spans="1:17" s="12" customFormat="1" hidden="1" outlineLevel="1" collapsed="1">
      <c r="A382" s="95">
        <v>45478</v>
      </c>
      <c r="B382" s="25" t="s">
        <v>15</v>
      </c>
      <c r="C382" s="101">
        <v>56</v>
      </c>
      <c r="D382" s="99">
        <v>64</v>
      </c>
      <c r="E382" s="87">
        <f t="shared" si="57"/>
        <v>92</v>
      </c>
      <c r="G382" s="213">
        <v>0</v>
      </c>
      <c r="H382" s="63">
        <v>0</v>
      </c>
      <c r="I382" s="27"/>
      <c r="J382" s="28"/>
      <c r="K382" s="43">
        <v>0</v>
      </c>
      <c r="L382" s="29">
        <f t="shared" si="60"/>
        <v>-96</v>
      </c>
      <c r="M382" s="29">
        <f t="shared" si="61"/>
        <v>-96</v>
      </c>
      <c r="N382" s="29"/>
      <c r="O382" s="29"/>
      <c r="Q382" s="12">
        <f>AVERAGE(G378:G382)</f>
        <v>65.599999999999994</v>
      </c>
    </row>
    <row r="383" spans="1:17" s="12" customFormat="1" hidden="1" outlineLevel="1">
      <c r="A383" s="95">
        <v>45479</v>
      </c>
      <c r="B383" s="25" t="s">
        <v>16</v>
      </c>
      <c r="C383" s="98"/>
      <c r="D383" s="99"/>
      <c r="E383" s="87">
        <f t="shared" si="57"/>
        <v>92</v>
      </c>
      <c r="G383" s="64"/>
      <c r="H383" s="63"/>
      <c r="I383" s="27"/>
      <c r="J383" s="28"/>
      <c r="K383" s="43"/>
      <c r="L383" s="29">
        <f t="shared" si="60"/>
        <v>-96</v>
      </c>
      <c r="M383" s="29">
        <f t="shared" si="61"/>
        <v>-96</v>
      </c>
      <c r="N383" s="29"/>
      <c r="O383" s="29"/>
    </row>
    <row r="384" spans="1:17" s="12" customFormat="1" hidden="1" outlineLevel="1">
      <c r="A384" s="95">
        <v>45480</v>
      </c>
      <c r="B384" s="25" t="s">
        <v>17</v>
      </c>
      <c r="C384" s="98"/>
      <c r="D384" s="99"/>
      <c r="E384" s="87">
        <f t="shared" si="57"/>
        <v>92</v>
      </c>
      <c r="G384" s="64"/>
      <c r="H384" s="63"/>
      <c r="I384" s="27"/>
      <c r="J384" s="28"/>
      <c r="K384" s="43"/>
      <c r="L384" s="29">
        <f t="shared" si="60"/>
        <v>-96</v>
      </c>
      <c r="M384" s="29">
        <f t="shared" si="61"/>
        <v>-96</v>
      </c>
      <c r="N384" s="29"/>
      <c r="O384" s="29"/>
    </row>
    <row r="385" spans="1:17" hidden="1" outlineLevel="1">
      <c r="A385" s="96">
        <v>45481</v>
      </c>
      <c r="B385" s="17" t="s">
        <v>18</v>
      </c>
      <c r="C385" s="101">
        <f>72-8</f>
        <v>64</v>
      </c>
      <c r="D385" s="100">
        <v>64</v>
      </c>
      <c r="E385" s="22">
        <f t="shared" si="57"/>
        <v>92</v>
      </c>
      <c r="G385" s="203">
        <v>80</v>
      </c>
      <c r="H385" s="62">
        <f>C380+I385</f>
        <v>72</v>
      </c>
      <c r="I385" s="20">
        <v>16</v>
      </c>
      <c r="J385" s="21"/>
      <c r="K385" s="57">
        <v>72</v>
      </c>
      <c r="L385" s="23">
        <f t="shared" si="60"/>
        <v>-104</v>
      </c>
      <c r="M385" s="23">
        <f t="shared" si="61"/>
        <v>-104</v>
      </c>
      <c r="N385" s="23"/>
      <c r="O385" s="23">
        <v>9</v>
      </c>
    </row>
    <row r="386" spans="1:17" hidden="1" outlineLevel="1">
      <c r="A386" s="96">
        <v>45482</v>
      </c>
      <c r="B386" s="17" t="s">
        <v>19</v>
      </c>
      <c r="C386" s="101">
        <f>72-8</f>
        <v>64</v>
      </c>
      <c r="D386" s="100">
        <v>64</v>
      </c>
      <c r="E386" s="22">
        <f t="shared" si="57"/>
        <v>92</v>
      </c>
      <c r="G386" s="203">
        <v>80</v>
      </c>
      <c r="H386" s="62">
        <f>C381+I386</f>
        <v>72</v>
      </c>
      <c r="I386" s="20">
        <v>16</v>
      </c>
      <c r="J386" s="21"/>
      <c r="K386" s="57">
        <v>72</v>
      </c>
      <c r="L386" s="23">
        <f t="shared" si="60"/>
        <v>-112</v>
      </c>
      <c r="M386" s="23">
        <f t="shared" si="61"/>
        <v>-112</v>
      </c>
      <c r="N386" s="23"/>
      <c r="O386" s="23">
        <f>7+5</f>
        <v>12</v>
      </c>
    </row>
    <row r="387" spans="1:17" hidden="1" outlineLevel="1">
      <c r="A387" s="96">
        <v>45483</v>
      </c>
      <c r="B387" s="17" t="s">
        <v>20</v>
      </c>
      <c r="C387" s="101">
        <v>72</v>
      </c>
      <c r="D387" s="100">
        <v>72</v>
      </c>
      <c r="E387" s="22">
        <f t="shared" si="57"/>
        <v>92</v>
      </c>
      <c r="G387" s="203">
        <v>24</v>
      </c>
      <c r="H387" s="62">
        <f>C385+I387</f>
        <v>88</v>
      </c>
      <c r="I387" s="20">
        <v>24</v>
      </c>
      <c r="J387" s="21"/>
      <c r="K387" s="57">
        <v>88</v>
      </c>
      <c r="L387" s="23">
        <f t="shared" si="60"/>
        <v>-48</v>
      </c>
      <c r="M387" s="23">
        <f t="shared" si="61"/>
        <v>-48</v>
      </c>
      <c r="N387" s="23"/>
      <c r="O387" s="23">
        <v>10</v>
      </c>
    </row>
    <row r="388" spans="1:17" hidden="1" outlineLevel="1">
      <c r="A388" s="96">
        <v>45484</v>
      </c>
      <c r="B388" s="17" t="s">
        <v>14</v>
      </c>
      <c r="C388" s="101">
        <v>72</v>
      </c>
      <c r="D388" s="100">
        <v>72</v>
      </c>
      <c r="E388" s="22">
        <f t="shared" si="57"/>
        <v>92</v>
      </c>
      <c r="G388" s="203">
        <v>56</v>
      </c>
      <c r="H388" s="62">
        <f>C386+I388+16</f>
        <v>80</v>
      </c>
      <c r="I388" s="20"/>
      <c r="J388" s="21">
        <f>SUM(I385:I388)</f>
        <v>56</v>
      </c>
      <c r="K388" s="57">
        <v>80</v>
      </c>
      <c r="L388" s="23">
        <f t="shared" si="60"/>
        <v>-24</v>
      </c>
      <c r="M388" s="23">
        <f>M387-G388+H388</f>
        <v>-24</v>
      </c>
      <c r="N388" s="23"/>
      <c r="O388" s="23">
        <v>4</v>
      </c>
    </row>
    <row r="389" spans="1:17" hidden="1" outlineLevel="1">
      <c r="A389" s="96">
        <v>45485</v>
      </c>
      <c r="B389" s="17" t="s">
        <v>15</v>
      </c>
      <c r="C389" s="101">
        <v>72</v>
      </c>
      <c r="D389" s="100">
        <v>72</v>
      </c>
      <c r="E389" s="22">
        <f t="shared" si="57"/>
        <v>92</v>
      </c>
      <c r="G389" s="78">
        <v>64</v>
      </c>
      <c r="H389" s="62">
        <f>C387+I389</f>
        <v>64</v>
      </c>
      <c r="I389" s="20">
        <v>-8</v>
      </c>
      <c r="J389" s="21"/>
      <c r="K389" s="57">
        <v>64</v>
      </c>
      <c r="L389" s="23">
        <f t="shared" si="60"/>
        <v>-24</v>
      </c>
      <c r="M389" s="23">
        <f t="shared" si="61"/>
        <v>-24</v>
      </c>
      <c r="N389" s="23"/>
      <c r="O389" s="23">
        <v>5</v>
      </c>
      <c r="Q389" s="1">
        <f>AVERAGE(G385:G389)</f>
        <v>60.8</v>
      </c>
    </row>
    <row r="390" spans="1:17" s="12" customFormat="1" hidden="1" outlineLevel="1">
      <c r="A390" s="95">
        <v>45486</v>
      </c>
      <c r="B390" s="25" t="s">
        <v>16</v>
      </c>
      <c r="C390" s="98"/>
      <c r="D390" s="99"/>
      <c r="E390" s="87">
        <f t="shared" si="57"/>
        <v>92</v>
      </c>
      <c r="G390" s="64"/>
      <c r="H390" s="63"/>
      <c r="I390" s="27"/>
      <c r="J390" s="28"/>
      <c r="K390" s="43"/>
      <c r="L390" s="29">
        <f t="shared" si="60"/>
        <v>-24</v>
      </c>
      <c r="M390" s="29">
        <f t="shared" si="61"/>
        <v>-24</v>
      </c>
      <c r="N390" s="29"/>
      <c r="O390" s="29"/>
    </row>
    <row r="391" spans="1:17" s="12" customFormat="1" hidden="1" outlineLevel="1" collapsed="1">
      <c r="A391" s="95">
        <v>45487</v>
      </c>
      <c r="B391" s="25" t="s">
        <v>17</v>
      </c>
      <c r="C391" s="98"/>
      <c r="D391" s="99"/>
      <c r="E391" s="87">
        <f t="shared" si="57"/>
        <v>92</v>
      </c>
      <c r="G391" s="64"/>
      <c r="H391" s="63"/>
      <c r="I391" s="27"/>
      <c r="J391" s="28"/>
      <c r="K391" s="43"/>
      <c r="L391" s="29">
        <f t="shared" si="60"/>
        <v>-24</v>
      </c>
      <c r="M391" s="29">
        <f t="shared" si="61"/>
        <v>-24</v>
      </c>
      <c r="N391" s="29"/>
      <c r="O391" s="29"/>
    </row>
    <row r="392" spans="1:17" s="12" customFormat="1" hidden="1" outlineLevel="1">
      <c r="A392" s="95">
        <v>45488</v>
      </c>
      <c r="B392" s="25" t="s">
        <v>18</v>
      </c>
      <c r="C392" s="98"/>
      <c r="D392" s="99"/>
      <c r="E392" s="87">
        <f t="shared" si="57"/>
        <v>92</v>
      </c>
      <c r="G392" s="64"/>
      <c r="H392" s="63"/>
      <c r="I392" s="27"/>
      <c r="J392" s="28"/>
      <c r="K392" s="43"/>
      <c r="L392" s="29">
        <f t="shared" si="60"/>
        <v>-24</v>
      </c>
      <c r="M392" s="29">
        <f t="shared" si="61"/>
        <v>-24</v>
      </c>
      <c r="N392" s="29"/>
      <c r="O392" s="29"/>
    </row>
    <row r="393" spans="1:17" hidden="1" outlineLevel="1">
      <c r="A393" s="96">
        <v>45489</v>
      </c>
      <c r="B393" s="17" t="s">
        <v>19</v>
      </c>
      <c r="C393" s="101">
        <f>64-16</f>
        <v>48</v>
      </c>
      <c r="D393" s="100">
        <v>48</v>
      </c>
      <c r="E393" s="22">
        <f t="shared" si="57"/>
        <v>92</v>
      </c>
      <c r="G393" s="78">
        <v>24</v>
      </c>
      <c r="H393" s="62">
        <f>C388+I393</f>
        <v>72</v>
      </c>
      <c r="I393" s="20"/>
      <c r="J393" s="21"/>
      <c r="K393" s="57">
        <v>72</v>
      </c>
      <c r="L393" s="23">
        <f t="shared" si="60"/>
        <v>24</v>
      </c>
      <c r="M393" s="23">
        <f t="shared" si="61"/>
        <v>24</v>
      </c>
      <c r="N393" s="23"/>
      <c r="O393" s="23">
        <v>4</v>
      </c>
    </row>
    <row r="394" spans="1:17" hidden="1" outlineLevel="1">
      <c r="A394" s="96">
        <v>45490</v>
      </c>
      <c r="B394" s="17" t="s">
        <v>20</v>
      </c>
      <c r="C394" s="101">
        <f>64-16</f>
        <v>48</v>
      </c>
      <c r="D394" s="100">
        <v>48</v>
      </c>
      <c r="E394" s="22">
        <f t="shared" si="57"/>
        <v>92</v>
      </c>
      <c r="G394" s="78">
        <v>88</v>
      </c>
      <c r="H394" s="62">
        <f>C389+I394</f>
        <v>56</v>
      </c>
      <c r="I394" s="20">
        <v>-16</v>
      </c>
      <c r="J394" s="21"/>
      <c r="K394" s="57">
        <v>56</v>
      </c>
      <c r="L394" s="23">
        <f t="shared" si="60"/>
        <v>-8</v>
      </c>
      <c r="M394" s="23">
        <f t="shared" si="61"/>
        <v>-8</v>
      </c>
      <c r="N394" s="23"/>
      <c r="O394" s="23">
        <v>8</v>
      </c>
    </row>
    <row r="395" spans="1:17" hidden="1" outlineLevel="1">
      <c r="A395" s="96">
        <v>45491</v>
      </c>
      <c r="B395" s="17" t="s">
        <v>14</v>
      </c>
      <c r="C395" s="101">
        <f>64-16</f>
        <v>48</v>
      </c>
      <c r="D395" s="100">
        <v>48</v>
      </c>
      <c r="E395" s="22">
        <f t="shared" si="57"/>
        <v>92</v>
      </c>
      <c r="G395" s="78">
        <v>56</v>
      </c>
      <c r="H395" s="62">
        <f>C393+I395</f>
        <v>48</v>
      </c>
      <c r="I395" s="20"/>
      <c r="J395" s="21"/>
      <c r="K395" s="57">
        <v>48</v>
      </c>
      <c r="L395" s="23">
        <f t="shared" si="60"/>
        <v>-16</v>
      </c>
      <c r="M395" s="23">
        <f t="shared" si="61"/>
        <v>-16</v>
      </c>
      <c r="N395" s="23"/>
      <c r="O395" s="23">
        <v>7</v>
      </c>
    </row>
    <row r="396" spans="1:17" hidden="1" outlineLevel="1">
      <c r="A396" s="96">
        <v>45492</v>
      </c>
      <c r="B396" s="17" t="s">
        <v>15</v>
      </c>
      <c r="C396" s="101">
        <f>64-16</f>
        <v>48</v>
      </c>
      <c r="D396" s="100">
        <v>48</v>
      </c>
      <c r="E396" s="22">
        <f t="shared" si="57"/>
        <v>92</v>
      </c>
      <c r="G396" s="78">
        <v>16</v>
      </c>
      <c r="H396" s="62">
        <f>C394+I396</f>
        <v>48</v>
      </c>
      <c r="I396" s="20"/>
      <c r="J396" s="21"/>
      <c r="K396" s="57">
        <v>48</v>
      </c>
      <c r="L396" s="23">
        <f t="shared" si="60"/>
        <v>16</v>
      </c>
      <c r="M396" s="23">
        <f t="shared" si="61"/>
        <v>16</v>
      </c>
      <c r="N396" s="23"/>
      <c r="O396" s="23">
        <v>4</v>
      </c>
      <c r="Q396" s="1">
        <f>AVERAGE(G393:G396)</f>
        <v>46</v>
      </c>
    </row>
    <row r="397" spans="1:17" s="12" customFormat="1" hidden="1" outlineLevel="1" collapsed="1">
      <c r="A397" s="95">
        <v>45493</v>
      </c>
      <c r="B397" s="25" t="s">
        <v>16</v>
      </c>
      <c r="C397" s="98"/>
      <c r="D397" s="99"/>
      <c r="E397" s="87">
        <f t="shared" si="57"/>
        <v>92</v>
      </c>
      <c r="G397" s="64"/>
      <c r="H397" s="63"/>
      <c r="I397" s="27"/>
      <c r="J397" s="28"/>
      <c r="K397" s="43"/>
      <c r="L397" s="29">
        <f t="shared" si="60"/>
        <v>16</v>
      </c>
      <c r="M397" s="29">
        <f t="shared" si="61"/>
        <v>16</v>
      </c>
      <c r="N397" s="29"/>
      <c r="O397" s="29"/>
    </row>
    <row r="398" spans="1:17" s="12" customFormat="1" hidden="1" outlineLevel="1">
      <c r="A398" s="95">
        <v>45494</v>
      </c>
      <c r="B398" s="25" t="s">
        <v>17</v>
      </c>
      <c r="C398" s="98"/>
      <c r="D398" s="99"/>
      <c r="E398" s="87">
        <f t="shared" ref="E398:E461" si="62">E397-C398+D398</f>
        <v>92</v>
      </c>
      <c r="G398" s="64"/>
      <c r="H398" s="63"/>
      <c r="I398" s="27"/>
      <c r="J398" s="28"/>
      <c r="K398" s="43"/>
      <c r="L398" s="29">
        <f t="shared" si="60"/>
        <v>16</v>
      </c>
      <c r="M398" s="29">
        <f t="shared" si="61"/>
        <v>16</v>
      </c>
      <c r="N398" s="29"/>
      <c r="O398" s="29"/>
    </row>
    <row r="399" spans="1:17" hidden="1" outlineLevel="1">
      <c r="A399" s="96">
        <v>45495</v>
      </c>
      <c r="B399" s="17" t="s">
        <v>18</v>
      </c>
      <c r="C399" s="101">
        <v>56</v>
      </c>
      <c r="D399" s="100">
        <v>56</v>
      </c>
      <c r="E399" s="22">
        <f t="shared" si="62"/>
        <v>92</v>
      </c>
      <c r="G399" s="78">
        <v>72</v>
      </c>
      <c r="H399" s="62">
        <f>C395+I399</f>
        <v>48</v>
      </c>
      <c r="I399" s="20"/>
      <c r="J399" s="21"/>
      <c r="K399" s="57">
        <v>48</v>
      </c>
      <c r="L399" s="23">
        <f t="shared" si="60"/>
        <v>-8</v>
      </c>
      <c r="M399" s="23">
        <f t="shared" si="61"/>
        <v>-8</v>
      </c>
      <c r="N399" s="23"/>
      <c r="O399" s="23">
        <v>8</v>
      </c>
    </row>
    <row r="400" spans="1:17" hidden="1" outlineLevel="1">
      <c r="A400" s="96">
        <v>45496</v>
      </c>
      <c r="B400" s="17" t="s">
        <v>19</v>
      </c>
      <c r="C400" s="101">
        <v>56</v>
      </c>
      <c r="D400" s="100">
        <v>56</v>
      </c>
      <c r="E400" s="22">
        <f t="shared" si="62"/>
        <v>92</v>
      </c>
      <c r="G400" s="78">
        <v>64</v>
      </c>
      <c r="H400" s="62">
        <f>C396+I400</f>
        <v>48</v>
      </c>
      <c r="I400" s="20"/>
      <c r="J400" s="21"/>
      <c r="K400" s="57">
        <v>48</v>
      </c>
      <c r="L400" s="23">
        <f t="shared" si="60"/>
        <v>-24</v>
      </c>
      <c r="M400" s="23">
        <f t="shared" si="61"/>
        <v>-24</v>
      </c>
      <c r="N400" s="23"/>
      <c r="O400" s="23">
        <v>8</v>
      </c>
    </row>
    <row r="401" spans="1:17" hidden="1" outlineLevel="1">
      <c r="A401" s="96">
        <v>45497</v>
      </c>
      <c r="B401" s="17" t="s">
        <v>20</v>
      </c>
      <c r="C401" s="101">
        <v>56</v>
      </c>
      <c r="D401" s="100">
        <v>56</v>
      </c>
      <c r="E401" s="22">
        <f t="shared" si="62"/>
        <v>92</v>
      </c>
      <c r="G401" s="78">
        <v>96</v>
      </c>
      <c r="H401" s="62">
        <f>C399+I401</f>
        <v>56</v>
      </c>
      <c r="I401" s="20"/>
      <c r="J401" s="21"/>
      <c r="K401" s="57">
        <v>56</v>
      </c>
      <c r="L401" s="23">
        <f t="shared" si="60"/>
        <v>-64</v>
      </c>
      <c r="M401" s="23">
        <f t="shared" si="61"/>
        <v>-64</v>
      </c>
      <c r="N401" s="23"/>
      <c r="O401" s="23">
        <v>4</v>
      </c>
    </row>
    <row r="402" spans="1:17" hidden="1" outlineLevel="1">
      <c r="A402" s="96">
        <v>45498</v>
      </c>
      <c r="B402" s="17" t="s">
        <v>14</v>
      </c>
      <c r="C402" s="101">
        <v>56</v>
      </c>
      <c r="D402" s="100">
        <v>56</v>
      </c>
      <c r="E402" s="22">
        <f t="shared" si="62"/>
        <v>92</v>
      </c>
      <c r="G402" s="78">
        <v>72</v>
      </c>
      <c r="H402" s="62">
        <f>C400+I402</f>
        <v>56</v>
      </c>
      <c r="I402" s="20"/>
      <c r="J402" s="21"/>
      <c r="K402" s="57">
        <v>56</v>
      </c>
      <c r="L402" s="23">
        <f t="shared" si="60"/>
        <v>-80</v>
      </c>
      <c r="M402" s="23">
        <f t="shared" si="61"/>
        <v>-80</v>
      </c>
      <c r="N402" s="23"/>
      <c r="O402" s="23">
        <v>8</v>
      </c>
    </row>
    <row r="403" spans="1:17" hidden="1" outlineLevel="1">
      <c r="A403" s="96">
        <v>45499</v>
      </c>
      <c r="B403" s="17" t="s">
        <v>15</v>
      </c>
      <c r="C403" s="101">
        <v>56</v>
      </c>
      <c r="D403" s="100">
        <v>56</v>
      </c>
      <c r="E403" s="22">
        <f t="shared" si="62"/>
        <v>92</v>
      </c>
      <c r="G403" s="78">
        <v>56</v>
      </c>
      <c r="H403" s="62">
        <f>C401+I403</f>
        <v>56</v>
      </c>
      <c r="I403" s="20"/>
      <c r="J403" s="21"/>
      <c r="K403" s="57">
        <v>56</v>
      </c>
      <c r="L403" s="23">
        <f t="shared" si="60"/>
        <v>-80</v>
      </c>
      <c r="M403" s="23">
        <f t="shared" si="61"/>
        <v>-80</v>
      </c>
      <c r="N403" s="23"/>
      <c r="O403" s="23">
        <v>6</v>
      </c>
      <c r="Q403" s="1">
        <f>AVERAGE(G399:G403)</f>
        <v>72</v>
      </c>
    </row>
    <row r="404" spans="1:17" s="12" customFormat="1" hidden="1" outlineLevel="1" collapsed="1">
      <c r="A404" s="95">
        <v>45500</v>
      </c>
      <c r="B404" s="25" t="s">
        <v>16</v>
      </c>
      <c r="C404" s="98"/>
      <c r="D404" s="99"/>
      <c r="E404" s="87">
        <f t="shared" si="62"/>
        <v>92</v>
      </c>
      <c r="G404" s="79"/>
      <c r="H404" s="63"/>
      <c r="I404" s="27"/>
      <c r="J404" s="28"/>
      <c r="K404" s="43"/>
      <c r="L404" s="29">
        <f t="shared" si="60"/>
        <v>-80</v>
      </c>
      <c r="M404" s="29">
        <f t="shared" si="61"/>
        <v>-80</v>
      </c>
      <c r="N404" s="29"/>
      <c r="O404" s="29"/>
    </row>
    <row r="405" spans="1:17" s="12" customFormat="1" hidden="1" outlineLevel="1">
      <c r="A405" s="95">
        <v>45501</v>
      </c>
      <c r="B405" s="25" t="s">
        <v>17</v>
      </c>
      <c r="C405" s="98"/>
      <c r="D405" s="99"/>
      <c r="E405" s="87">
        <f t="shared" si="62"/>
        <v>92</v>
      </c>
      <c r="G405" s="79"/>
      <c r="H405" s="63"/>
      <c r="I405" s="27"/>
      <c r="J405" s="28"/>
      <c r="K405" s="43"/>
      <c r="L405" s="29">
        <f t="shared" si="60"/>
        <v>-80</v>
      </c>
      <c r="M405" s="29">
        <f t="shared" si="61"/>
        <v>-80</v>
      </c>
      <c r="N405" s="29"/>
      <c r="O405" s="29"/>
    </row>
    <row r="406" spans="1:17" hidden="1" outlineLevel="1">
      <c r="A406" s="96">
        <v>45502</v>
      </c>
      <c r="B406" s="17" t="s">
        <v>18</v>
      </c>
      <c r="C406" s="101">
        <v>72</v>
      </c>
      <c r="D406" s="100">
        <v>72</v>
      </c>
      <c r="E406" s="22">
        <f t="shared" si="62"/>
        <v>92</v>
      </c>
      <c r="G406" s="78">
        <v>96</v>
      </c>
      <c r="H406" s="62">
        <f>C402+I406</f>
        <v>56</v>
      </c>
      <c r="I406" s="20"/>
      <c r="J406" s="21"/>
      <c r="K406" s="57">
        <v>56</v>
      </c>
      <c r="L406" s="23">
        <f t="shared" si="60"/>
        <v>-120</v>
      </c>
      <c r="M406" s="23">
        <f t="shared" si="61"/>
        <v>-120</v>
      </c>
      <c r="N406" s="23"/>
      <c r="O406" s="23">
        <v>8</v>
      </c>
    </row>
    <row r="407" spans="1:17" hidden="1" outlineLevel="1">
      <c r="A407" s="96">
        <v>45503</v>
      </c>
      <c r="B407" s="17" t="s">
        <v>19</v>
      </c>
      <c r="C407" s="101">
        <v>72</v>
      </c>
      <c r="D407" s="100">
        <v>72</v>
      </c>
      <c r="E407" s="22">
        <f t="shared" si="62"/>
        <v>92</v>
      </c>
      <c r="G407" s="78">
        <v>112</v>
      </c>
      <c r="H407" s="62">
        <f>C403+I407</f>
        <v>56</v>
      </c>
      <c r="I407" s="20"/>
      <c r="J407" s="21"/>
      <c r="K407" s="57">
        <v>56</v>
      </c>
      <c r="L407" s="23">
        <f t="shared" si="60"/>
        <v>-176</v>
      </c>
      <c r="M407" s="23">
        <f t="shared" si="61"/>
        <v>-176</v>
      </c>
      <c r="N407" s="23"/>
      <c r="O407" s="23">
        <v>5</v>
      </c>
    </row>
    <row r="408" spans="1:17" hidden="1" outlineLevel="1">
      <c r="A408" s="96">
        <v>45504</v>
      </c>
      <c r="B408" s="17" t="s">
        <v>20</v>
      </c>
      <c r="C408" s="101">
        <v>72</v>
      </c>
      <c r="D408" s="100">
        <v>72</v>
      </c>
      <c r="E408" s="22">
        <f t="shared" si="62"/>
        <v>92</v>
      </c>
      <c r="G408" s="78">
        <v>24</v>
      </c>
      <c r="H408" s="62">
        <f>C406+I408</f>
        <v>72</v>
      </c>
      <c r="I408" s="20"/>
      <c r="J408" s="21"/>
      <c r="K408" s="57">
        <v>72</v>
      </c>
      <c r="L408" s="23">
        <f t="shared" si="60"/>
        <v>-128</v>
      </c>
      <c r="M408" s="23">
        <f t="shared" si="61"/>
        <v>-128</v>
      </c>
      <c r="N408" s="23"/>
      <c r="O408" s="23">
        <v>5</v>
      </c>
    </row>
    <row r="409" spans="1:17" hidden="1" outlineLevel="1">
      <c r="A409" s="96">
        <v>45505</v>
      </c>
      <c r="B409" s="17" t="s">
        <v>14</v>
      </c>
      <c r="C409" s="101">
        <v>64</v>
      </c>
      <c r="D409" s="100">
        <v>64</v>
      </c>
      <c r="E409" s="22">
        <f t="shared" si="62"/>
        <v>92</v>
      </c>
      <c r="G409" s="78">
        <v>48</v>
      </c>
      <c r="H409" s="62">
        <f>C407+I409</f>
        <v>72</v>
      </c>
      <c r="I409" s="20"/>
      <c r="J409" s="21"/>
      <c r="K409" s="57">
        <v>72</v>
      </c>
      <c r="L409" s="23">
        <f t="shared" si="60"/>
        <v>-104</v>
      </c>
      <c r="M409" s="23">
        <f t="shared" si="61"/>
        <v>-104</v>
      </c>
      <c r="N409" s="23"/>
      <c r="O409" s="23">
        <v>6</v>
      </c>
    </row>
    <row r="410" spans="1:17" hidden="1" outlineLevel="1">
      <c r="A410" s="96">
        <v>45506</v>
      </c>
      <c r="B410" s="17" t="s">
        <v>15</v>
      </c>
      <c r="C410" s="101">
        <v>64</v>
      </c>
      <c r="D410" s="100">
        <v>64</v>
      </c>
      <c r="E410" s="22">
        <f t="shared" si="62"/>
        <v>92</v>
      </c>
      <c r="G410" s="78">
        <v>48</v>
      </c>
      <c r="H410" s="62">
        <f>C408+I410</f>
        <v>72</v>
      </c>
      <c r="I410" s="20"/>
      <c r="J410" s="21"/>
      <c r="K410" s="57">
        <v>72</v>
      </c>
      <c r="L410" s="23">
        <f t="shared" ref="L410:L440" si="63">L409-G410+K410</f>
        <v>-80</v>
      </c>
      <c r="M410" s="23">
        <f t="shared" ref="M410:M440" si="64">M409-G410+H410</f>
        <v>-80</v>
      </c>
      <c r="N410" s="23"/>
      <c r="O410" s="23">
        <v>10</v>
      </c>
      <c r="Q410" s="1">
        <f>AVERAGE(G406:G410)</f>
        <v>65.599999999999994</v>
      </c>
    </row>
    <row r="411" spans="1:17" s="12" customFormat="1" hidden="1" outlineLevel="1" collapsed="1">
      <c r="A411" s="95">
        <v>45507</v>
      </c>
      <c r="B411" s="25" t="s">
        <v>16</v>
      </c>
      <c r="C411" s="98"/>
      <c r="D411" s="99"/>
      <c r="E411" s="87">
        <f t="shared" si="62"/>
        <v>92</v>
      </c>
      <c r="G411" s="64"/>
      <c r="H411" s="63"/>
      <c r="I411" s="27"/>
      <c r="J411" s="28"/>
      <c r="K411" s="43"/>
      <c r="L411" s="29">
        <f t="shared" si="63"/>
        <v>-80</v>
      </c>
      <c r="M411" s="29">
        <f t="shared" si="64"/>
        <v>-80</v>
      </c>
      <c r="N411" s="29"/>
      <c r="O411" s="29"/>
    </row>
    <row r="412" spans="1:17" s="12" customFormat="1" hidden="1" outlineLevel="1">
      <c r="A412" s="95">
        <v>45508</v>
      </c>
      <c r="B412" s="25" t="s">
        <v>17</v>
      </c>
      <c r="C412" s="98"/>
      <c r="D412" s="99"/>
      <c r="E412" s="87">
        <f t="shared" si="62"/>
        <v>92</v>
      </c>
      <c r="G412" s="64"/>
      <c r="H412" s="63"/>
      <c r="I412" s="27"/>
      <c r="J412" s="28"/>
      <c r="K412" s="43"/>
      <c r="L412" s="29">
        <f t="shared" si="63"/>
        <v>-80</v>
      </c>
      <c r="M412" s="29">
        <f t="shared" si="64"/>
        <v>-80</v>
      </c>
      <c r="N412" s="29"/>
      <c r="O412" s="29"/>
    </row>
    <row r="413" spans="1:17" hidden="1" outlineLevel="1">
      <c r="A413" s="96">
        <v>45509</v>
      </c>
      <c r="B413" s="17" t="s">
        <v>18</v>
      </c>
      <c r="C413" s="101">
        <v>64</v>
      </c>
      <c r="D413" s="100">
        <v>64</v>
      </c>
      <c r="E413" s="22">
        <f t="shared" si="62"/>
        <v>92</v>
      </c>
      <c r="G413" s="78">
        <v>64</v>
      </c>
      <c r="H413" s="62">
        <f>C409+I413</f>
        <v>64</v>
      </c>
      <c r="I413" s="20"/>
      <c r="J413" s="21"/>
      <c r="K413" s="57">
        <v>64</v>
      </c>
      <c r="L413" s="23">
        <f t="shared" si="63"/>
        <v>-80</v>
      </c>
      <c r="M413" s="23">
        <f t="shared" si="64"/>
        <v>-80</v>
      </c>
      <c r="N413" s="23"/>
      <c r="O413" s="23">
        <v>7</v>
      </c>
    </row>
    <row r="414" spans="1:17" hidden="1" outlineLevel="1">
      <c r="A414" s="96">
        <v>45510</v>
      </c>
      <c r="B414" s="17" t="s">
        <v>19</v>
      </c>
      <c r="C414" s="101">
        <v>64</v>
      </c>
      <c r="D414" s="100"/>
      <c r="E414" s="22">
        <f t="shared" si="62"/>
        <v>28</v>
      </c>
      <c r="G414" s="78">
        <v>64</v>
      </c>
      <c r="H414" s="62">
        <f>C410+I414</f>
        <v>64</v>
      </c>
      <c r="I414" s="20"/>
      <c r="J414" s="21"/>
      <c r="K414" s="57">
        <v>64</v>
      </c>
      <c r="L414" s="23">
        <f t="shared" si="63"/>
        <v>-80</v>
      </c>
      <c r="M414" s="23">
        <f t="shared" si="64"/>
        <v>-80</v>
      </c>
      <c r="N414" s="23"/>
      <c r="O414" s="23">
        <v>9</v>
      </c>
    </row>
    <row r="415" spans="1:17" hidden="1" outlineLevel="1">
      <c r="A415" s="96">
        <v>45511</v>
      </c>
      <c r="B415" s="17" t="s">
        <v>20</v>
      </c>
      <c r="C415" s="101">
        <v>64</v>
      </c>
      <c r="D415" s="100">
        <v>24</v>
      </c>
      <c r="E415" s="22">
        <f t="shared" si="62"/>
        <v>-12</v>
      </c>
      <c r="G415" s="78">
        <v>88</v>
      </c>
      <c r="H415" s="62">
        <f>C413+I415</f>
        <v>64</v>
      </c>
      <c r="I415" s="20"/>
      <c r="J415" s="21"/>
      <c r="K415" s="57">
        <v>64</v>
      </c>
      <c r="L415" s="23">
        <f t="shared" si="63"/>
        <v>-104</v>
      </c>
      <c r="M415" s="23">
        <f t="shared" si="64"/>
        <v>-104</v>
      </c>
      <c r="N415" s="23"/>
      <c r="O415" s="23">
        <v>0</v>
      </c>
    </row>
    <row r="416" spans="1:17" hidden="1" outlineLevel="1">
      <c r="A416" s="96">
        <v>45512</v>
      </c>
      <c r="B416" s="17" t="s">
        <v>14</v>
      </c>
      <c r="C416" s="101">
        <v>72</v>
      </c>
      <c r="D416" s="100">
        <v>68</v>
      </c>
      <c r="E416" s="22">
        <f t="shared" si="62"/>
        <v>-16</v>
      </c>
      <c r="G416" s="78">
        <v>72</v>
      </c>
      <c r="H416" s="62">
        <f>C414+I416</f>
        <v>64</v>
      </c>
      <c r="I416" s="20"/>
      <c r="J416" s="21"/>
      <c r="K416" s="57">
        <v>64</v>
      </c>
      <c r="L416" s="23">
        <f t="shared" si="63"/>
        <v>-112</v>
      </c>
      <c r="M416" s="23">
        <f t="shared" si="64"/>
        <v>-112</v>
      </c>
      <c r="N416" s="23"/>
      <c r="O416" s="23">
        <v>8</v>
      </c>
    </row>
    <row r="417" spans="1:17" hidden="1" outlineLevel="1">
      <c r="A417" s="96">
        <v>45513</v>
      </c>
      <c r="B417" s="17" t="s">
        <v>15</v>
      </c>
      <c r="C417" s="101">
        <v>64</v>
      </c>
      <c r="D417" s="100">
        <v>68</v>
      </c>
      <c r="E417" s="22">
        <f t="shared" si="62"/>
        <v>-12</v>
      </c>
      <c r="G417" s="78">
        <v>32</v>
      </c>
      <c r="H417" s="62">
        <f>C415+I417</f>
        <v>64</v>
      </c>
      <c r="I417" s="20"/>
      <c r="J417" s="21"/>
      <c r="K417" s="57">
        <v>64</v>
      </c>
      <c r="L417" s="23">
        <f t="shared" si="63"/>
        <v>-80</v>
      </c>
      <c r="M417" s="23">
        <f t="shared" si="64"/>
        <v>-80</v>
      </c>
      <c r="N417" s="23"/>
      <c r="O417" s="23">
        <v>5</v>
      </c>
      <c r="Q417" s="1">
        <f>AVERAGE(G413:G417)</f>
        <v>64</v>
      </c>
    </row>
    <row r="418" spans="1:17" s="12" customFormat="1" hidden="1" outlineLevel="1">
      <c r="A418" s="95">
        <v>45514</v>
      </c>
      <c r="B418" s="25" t="s">
        <v>16</v>
      </c>
      <c r="C418" s="98"/>
      <c r="D418" s="99"/>
      <c r="E418" s="87">
        <f t="shared" si="62"/>
        <v>-12</v>
      </c>
      <c r="G418" s="64"/>
      <c r="H418" s="63"/>
      <c r="I418" s="27"/>
      <c r="J418" s="28"/>
      <c r="K418" s="43"/>
      <c r="L418" s="29">
        <f t="shared" si="63"/>
        <v>-80</v>
      </c>
      <c r="M418" s="29">
        <f t="shared" si="64"/>
        <v>-80</v>
      </c>
      <c r="N418" s="29"/>
      <c r="O418" s="29"/>
    </row>
    <row r="419" spans="1:17" s="12" customFormat="1" hidden="1" outlineLevel="1">
      <c r="A419" s="95">
        <v>45515</v>
      </c>
      <c r="B419" s="25" t="s">
        <v>17</v>
      </c>
      <c r="C419" s="98"/>
      <c r="D419" s="99"/>
      <c r="E419" s="87">
        <f t="shared" si="62"/>
        <v>-12</v>
      </c>
      <c r="G419" s="64"/>
      <c r="H419" s="63"/>
      <c r="I419" s="27"/>
      <c r="J419" s="28"/>
      <c r="K419" s="43"/>
      <c r="L419" s="29">
        <f t="shared" si="63"/>
        <v>-80</v>
      </c>
      <c r="M419" s="29">
        <f t="shared" si="64"/>
        <v>-80</v>
      </c>
      <c r="N419" s="29"/>
      <c r="O419" s="29"/>
    </row>
    <row r="420" spans="1:17" s="12" customFormat="1" hidden="1" outlineLevel="1">
      <c r="A420" s="95">
        <v>45516</v>
      </c>
      <c r="B420" s="25" t="s">
        <v>18</v>
      </c>
      <c r="C420" s="98"/>
      <c r="D420" s="99"/>
      <c r="E420" s="87">
        <f t="shared" si="62"/>
        <v>-12</v>
      </c>
      <c r="G420" s="64"/>
      <c r="H420" s="63"/>
      <c r="I420" s="27"/>
      <c r="J420" s="28"/>
      <c r="K420" s="43"/>
      <c r="L420" s="29">
        <f t="shared" si="63"/>
        <v>-80</v>
      </c>
      <c r="M420" s="29">
        <f t="shared" si="64"/>
        <v>-80</v>
      </c>
      <c r="N420" s="29"/>
      <c r="O420" s="29"/>
    </row>
    <row r="421" spans="1:17" s="12" customFormat="1" hidden="1" outlineLevel="1">
      <c r="A421" s="95">
        <v>45517</v>
      </c>
      <c r="B421" s="25" t="s">
        <v>19</v>
      </c>
      <c r="C421" s="98"/>
      <c r="D421" s="99"/>
      <c r="E421" s="87">
        <f t="shared" si="62"/>
        <v>-12</v>
      </c>
      <c r="G421" s="64"/>
      <c r="H421" s="63"/>
      <c r="I421" s="27"/>
      <c r="J421" s="28"/>
      <c r="K421" s="43"/>
      <c r="L421" s="29">
        <f t="shared" si="63"/>
        <v>-80</v>
      </c>
      <c r="M421" s="29">
        <f t="shared" si="64"/>
        <v>-80</v>
      </c>
      <c r="N421" s="29"/>
      <c r="O421" s="29"/>
    </row>
    <row r="422" spans="1:17" s="12" customFormat="1" hidden="1" outlineLevel="1">
      <c r="A422" s="95">
        <v>45518</v>
      </c>
      <c r="B422" s="25" t="s">
        <v>20</v>
      </c>
      <c r="C422" s="98"/>
      <c r="D422" s="99"/>
      <c r="E422" s="87">
        <f t="shared" si="62"/>
        <v>-12</v>
      </c>
      <c r="G422" s="64"/>
      <c r="H422" s="63"/>
      <c r="I422" s="27"/>
      <c r="J422" s="28"/>
      <c r="K422" s="43"/>
      <c r="L422" s="29">
        <f t="shared" si="63"/>
        <v>-80</v>
      </c>
      <c r="M422" s="29">
        <f t="shared" si="64"/>
        <v>-80</v>
      </c>
      <c r="N422" s="29"/>
      <c r="O422" s="29"/>
    </row>
    <row r="423" spans="1:17" s="12" customFormat="1" hidden="1" outlineLevel="1">
      <c r="A423" s="95">
        <v>45519</v>
      </c>
      <c r="B423" s="25" t="s">
        <v>14</v>
      </c>
      <c r="C423" s="98"/>
      <c r="D423" s="99"/>
      <c r="E423" s="87">
        <f t="shared" si="62"/>
        <v>-12</v>
      </c>
      <c r="G423" s="64"/>
      <c r="H423" s="63"/>
      <c r="I423" s="27"/>
      <c r="J423" s="28"/>
      <c r="K423" s="43"/>
      <c r="L423" s="29">
        <f t="shared" si="63"/>
        <v>-80</v>
      </c>
      <c r="M423" s="29">
        <f t="shared" si="64"/>
        <v>-80</v>
      </c>
      <c r="N423" s="29"/>
      <c r="O423" s="29"/>
    </row>
    <row r="424" spans="1:17" s="12" customFormat="1" hidden="1" outlineLevel="1">
      <c r="A424" s="95">
        <v>45520</v>
      </c>
      <c r="B424" s="25" t="s">
        <v>15</v>
      </c>
      <c r="C424" s="98"/>
      <c r="D424" s="99"/>
      <c r="E424" s="87">
        <f t="shared" si="62"/>
        <v>-12</v>
      </c>
      <c r="G424" s="64"/>
      <c r="H424" s="63"/>
      <c r="I424" s="27"/>
      <c r="J424" s="28"/>
      <c r="K424" s="43"/>
      <c r="L424" s="29">
        <f t="shared" si="63"/>
        <v>-80</v>
      </c>
      <c r="M424" s="29">
        <f t="shared" si="64"/>
        <v>-80</v>
      </c>
      <c r="N424" s="29"/>
      <c r="O424" s="29"/>
    </row>
    <row r="425" spans="1:17" s="12" customFormat="1" hidden="1" outlineLevel="1">
      <c r="A425" s="95">
        <v>45521</v>
      </c>
      <c r="B425" s="25" t="s">
        <v>16</v>
      </c>
      <c r="C425" s="98"/>
      <c r="D425" s="99"/>
      <c r="E425" s="87">
        <f t="shared" si="62"/>
        <v>-12</v>
      </c>
      <c r="G425" s="64"/>
      <c r="H425" s="63"/>
      <c r="I425" s="27"/>
      <c r="J425" s="28"/>
      <c r="K425" s="43"/>
      <c r="L425" s="29">
        <f t="shared" si="63"/>
        <v>-80</v>
      </c>
      <c r="M425" s="29">
        <f t="shared" si="64"/>
        <v>-80</v>
      </c>
      <c r="N425" s="29"/>
      <c r="O425" s="29"/>
    </row>
    <row r="426" spans="1:17" s="12" customFormat="1" hidden="1" outlineLevel="1" collapsed="1">
      <c r="A426" s="95">
        <v>45522</v>
      </c>
      <c r="B426" s="25" t="s">
        <v>17</v>
      </c>
      <c r="C426" s="98"/>
      <c r="D426" s="99"/>
      <c r="E426" s="87">
        <f t="shared" si="62"/>
        <v>-12</v>
      </c>
      <c r="G426" s="64"/>
      <c r="H426" s="63"/>
      <c r="I426" s="27"/>
      <c r="J426" s="28"/>
      <c r="K426" s="43"/>
      <c r="L426" s="29">
        <f t="shared" si="63"/>
        <v>-80</v>
      </c>
      <c r="M426" s="29">
        <f t="shared" si="64"/>
        <v>-80</v>
      </c>
      <c r="N426" s="29"/>
      <c r="O426" s="29"/>
    </row>
    <row r="427" spans="1:17" hidden="1" outlineLevel="1">
      <c r="A427" s="96">
        <v>45523</v>
      </c>
      <c r="B427" s="17" t="s">
        <v>18</v>
      </c>
      <c r="C427" s="101">
        <v>72</v>
      </c>
      <c r="D427" s="100">
        <v>64</v>
      </c>
      <c r="E427" s="22">
        <f t="shared" si="62"/>
        <v>-20</v>
      </c>
      <c r="G427" s="78">
        <v>56</v>
      </c>
      <c r="H427" s="62">
        <f>C416+I427</f>
        <v>72</v>
      </c>
      <c r="I427" s="20"/>
      <c r="J427" s="21"/>
      <c r="K427" s="57">
        <v>72</v>
      </c>
      <c r="L427" s="23">
        <f t="shared" si="63"/>
        <v>-64</v>
      </c>
      <c r="M427" s="23">
        <f t="shared" si="64"/>
        <v>-64</v>
      </c>
      <c r="N427" s="23"/>
      <c r="O427" s="23">
        <v>6</v>
      </c>
    </row>
    <row r="428" spans="1:17" hidden="1" outlineLevel="1">
      <c r="A428" s="96">
        <v>45524</v>
      </c>
      <c r="B428" s="17" t="s">
        <v>19</v>
      </c>
      <c r="C428" s="101">
        <v>72</v>
      </c>
      <c r="D428" s="100">
        <v>64</v>
      </c>
      <c r="E428" s="22">
        <f t="shared" si="62"/>
        <v>-28</v>
      </c>
      <c r="G428" s="78">
        <v>48</v>
      </c>
      <c r="H428" s="62">
        <f>C417+I428</f>
        <v>64</v>
      </c>
      <c r="I428" s="20"/>
      <c r="J428" s="21"/>
      <c r="K428" s="57">
        <v>64</v>
      </c>
      <c r="L428" s="23">
        <f t="shared" si="63"/>
        <v>-48</v>
      </c>
      <c r="M428" s="23">
        <f t="shared" si="64"/>
        <v>-48</v>
      </c>
      <c r="N428" s="23"/>
      <c r="O428" s="23">
        <v>10</v>
      </c>
    </row>
    <row r="429" spans="1:17" hidden="1" outlineLevel="1">
      <c r="A429" s="96">
        <v>45525</v>
      </c>
      <c r="B429" s="17" t="s">
        <v>20</v>
      </c>
      <c r="C429" s="101">
        <v>72</v>
      </c>
      <c r="D429" s="100">
        <v>64</v>
      </c>
      <c r="E429" s="22">
        <f t="shared" si="62"/>
        <v>-36</v>
      </c>
      <c r="G429" s="78">
        <v>96</v>
      </c>
      <c r="H429" s="62">
        <f>C427+I429</f>
        <v>72</v>
      </c>
      <c r="I429" s="20"/>
      <c r="J429" s="21"/>
      <c r="K429" s="57">
        <v>72</v>
      </c>
      <c r="L429" s="23">
        <f t="shared" si="63"/>
        <v>-72</v>
      </c>
      <c r="M429" s="23">
        <f t="shared" si="64"/>
        <v>-72</v>
      </c>
      <c r="N429" s="23"/>
      <c r="O429" s="23">
        <v>5</v>
      </c>
    </row>
    <row r="430" spans="1:17" hidden="1" outlineLevel="1">
      <c r="A430" s="96">
        <v>45526</v>
      </c>
      <c r="B430" s="17" t="s">
        <v>14</v>
      </c>
      <c r="C430" s="101">
        <f>72-8</f>
        <v>64</v>
      </c>
      <c r="D430" s="100">
        <v>56</v>
      </c>
      <c r="E430" s="22">
        <f t="shared" si="62"/>
        <v>-44</v>
      </c>
      <c r="G430" s="78">
        <v>56</v>
      </c>
      <c r="H430" s="62">
        <f>C428+I430</f>
        <v>72</v>
      </c>
      <c r="I430" s="20"/>
      <c r="J430" s="21"/>
      <c r="K430" s="57">
        <v>72</v>
      </c>
      <c r="L430" s="23">
        <f t="shared" si="63"/>
        <v>-56</v>
      </c>
      <c r="M430" s="23">
        <f t="shared" si="64"/>
        <v>-56</v>
      </c>
      <c r="N430" s="23"/>
      <c r="O430" s="23">
        <v>10</v>
      </c>
    </row>
    <row r="431" spans="1:17" hidden="1" outlineLevel="1">
      <c r="A431" s="96">
        <v>45527</v>
      </c>
      <c r="B431" s="17" t="s">
        <v>15</v>
      </c>
      <c r="C431" s="101">
        <f>72-8</f>
        <v>64</v>
      </c>
      <c r="D431" s="100">
        <v>56</v>
      </c>
      <c r="E431" s="22">
        <f t="shared" si="62"/>
        <v>-52</v>
      </c>
      <c r="G431" s="78">
        <v>56</v>
      </c>
      <c r="H431" s="62">
        <f>C429+I431</f>
        <v>72</v>
      </c>
      <c r="I431" s="20"/>
      <c r="J431" s="21"/>
      <c r="K431" s="57">
        <v>72</v>
      </c>
      <c r="L431" s="23">
        <f t="shared" si="63"/>
        <v>-40</v>
      </c>
      <c r="M431" s="23">
        <f t="shared" si="64"/>
        <v>-40</v>
      </c>
      <c r="N431" s="23"/>
      <c r="O431" s="23">
        <v>7</v>
      </c>
      <c r="Q431" s="1">
        <f>AVERAGE(G427:G431)</f>
        <v>62.4</v>
      </c>
    </row>
    <row r="432" spans="1:17" s="12" customFormat="1" hidden="1" outlineLevel="1">
      <c r="A432" s="95">
        <v>45528</v>
      </c>
      <c r="B432" s="25" t="s">
        <v>16</v>
      </c>
      <c r="C432" s="98"/>
      <c r="D432" s="99"/>
      <c r="E432" s="87">
        <f t="shared" si="62"/>
        <v>-52</v>
      </c>
      <c r="G432" s="64"/>
      <c r="H432" s="63"/>
      <c r="I432" s="27"/>
      <c r="J432" s="28"/>
      <c r="K432" s="43"/>
      <c r="L432" s="29">
        <f t="shared" si="63"/>
        <v>-40</v>
      </c>
      <c r="M432" s="29">
        <f t="shared" si="64"/>
        <v>-40</v>
      </c>
      <c r="N432" s="29"/>
      <c r="O432" s="29"/>
    </row>
    <row r="433" spans="1:17" s="12" customFormat="1" hidden="1" outlineLevel="1">
      <c r="A433" s="95">
        <v>45529</v>
      </c>
      <c r="B433" s="25" t="s">
        <v>17</v>
      </c>
      <c r="C433" s="98"/>
      <c r="D433" s="99"/>
      <c r="E433" s="87">
        <f t="shared" si="62"/>
        <v>-52</v>
      </c>
      <c r="G433" s="64"/>
      <c r="H433" s="63"/>
      <c r="I433" s="27"/>
      <c r="J433" s="28"/>
      <c r="K433" s="43"/>
      <c r="L433" s="29">
        <f t="shared" si="63"/>
        <v>-40</v>
      </c>
      <c r="M433" s="29">
        <f t="shared" si="64"/>
        <v>-40</v>
      </c>
      <c r="N433" s="29"/>
      <c r="O433" s="29"/>
    </row>
    <row r="434" spans="1:17" hidden="1" outlineLevel="1" collapsed="1">
      <c r="A434" s="96">
        <v>45530</v>
      </c>
      <c r="B434" s="17" t="s">
        <v>18</v>
      </c>
      <c r="C434" s="101">
        <v>64</v>
      </c>
      <c r="D434" s="100">
        <v>56</v>
      </c>
      <c r="E434" s="22">
        <f t="shared" si="62"/>
        <v>-60</v>
      </c>
      <c r="G434" s="78">
        <f>32+72+24+8</f>
        <v>136</v>
      </c>
      <c r="H434" s="62">
        <f>C430+I434</f>
        <v>64</v>
      </c>
      <c r="I434" s="20"/>
      <c r="J434" s="21"/>
      <c r="K434" s="57">
        <v>64</v>
      </c>
      <c r="L434" s="23">
        <f t="shared" si="63"/>
        <v>-112</v>
      </c>
      <c r="M434" s="23">
        <f t="shared" si="64"/>
        <v>-112</v>
      </c>
      <c r="N434" s="23"/>
      <c r="O434" s="23">
        <v>1</v>
      </c>
    </row>
    <row r="435" spans="1:17" hidden="1" outlineLevel="1">
      <c r="A435" s="96">
        <v>45531</v>
      </c>
      <c r="B435" s="17" t="s">
        <v>19</v>
      </c>
      <c r="C435" s="101">
        <v>64</v>
      </c>
      <c r="D435" s="100">
        <v>56</v>
      </c>
      <c r="E435" s="22">
        <f t="shared" si="62"/>
        <v>-68</v>
      </c>
      <c r="G435" s="78">
        <v>40</v>
      </c>
      <c r="H435" s="62">
        <f>C431+I435</f>
        <v>64</v>
      </c>
      <c r="I435" s="20"/>
      <c r="J435" s="21"/>
      <c r="K435" s="57">
        <v>64</v>
      </c>
      <c r="L435" s="23">
        <f t="shared" si="63"/>
        <v>-88</v>
      </c>
      <c r="M435" s="23">
        <f t="shared" si="64"/>
        <v>-88</v>
      </c>
      <c r="N435" s="23"/>
      <c r="O435" s="23">
        <v>10</v>
      </c>
    </row>
    <row r="436" spans="1:17" hidden="1" outlineLevel="1">
      <c r="A436" s="96">
        <v>45532</v>
      </c>
      <c r="B436" s="17" t="s">
        <v>20</v>
      </c>
      <c r="C436" s="101">
        <v>64</v>
      </c>
      <c r="D436" s="100">
        <v>56</v>
      </c>
      <c r="E436" s="22">
        <f t="shared" si="62"/>
        <v>-76</v>
      </c>
      <c r="G436" s="78">
        <v>88</v>
      </c>
      <c r="H436" s="62">
        <f>C434+I436</f>
        <v>64</v>
      </c>
      <c r="I436" s="20"/>
      <c r="J436" s="21"/>
      <c r="K436" s="57">
        <v>64</v>
      </c>
      <c r="L436" s="23">
        <f t="shared" si="63"/>
        <v>-112</v>
      </c>
      <c r="M436" s="23">
        <f t="shared" si="64"/>
        <v>-112</v>
      </c>
      <c r="N436" s="23"/>
      <c r="O436" s="23">
        <v>6</v>
      </c>
    </row>
    <row r="437" spans="1:17" hidden="1" outlineLevel="1">
      <c r="A437" s="96">
        <v>45533</v>
      </c>
      <c r="B437" s="17" t="s">
        <v>14</v>
      </c>
      <c r="C437" s="101">
        <v>64</v>
      </c>
      <c r="D437" s="100">
        <v>64</v>
      </c>
      <c r="E437" s="22">
        <f t="shared" si="62"/>
        <v>-76</v>
      </c>
      <c r="G437" s="78">
        <v>72</v>
      </c>
      <c r="H437" s="62">
        <f>C435+I437</f>
        <v>64</v>
      </c>
      <c r="I437" s="20"/>
      <c r="J437" s="21"/>
      <c r="K437" s="57">
        <v>64</v>
      </c>
      <c r="L437" s="23">
        <f t="shared" si="63"/>
        <v>-120</v>
      </c>
      <c r="M437" s="23">
        <f t="shared" si="64"/>
        <v>-120</v>
      </c>
      <c r="N437" s="23"/>
      <c r="O437" s="23">
        <v>11</v>
      </c>
    </row>
    <row r="438" spans="1:17" hidden="1" outlineLevel="1">
      <c r="A438" s="96">
        <v>45534</v>
      </c>
      <c r="B438" s="17" t="s">
        <v>15</v>
      </c>
      <c r="C438" s="101">
        <v>64</v>
      </c>
      <c r="D438" s="100">
        <v>64</v>
      </c>
      <c r="E438" s="22">
        <f t="shared" si="62"/>
        <v>-76</v>
      </c>
      <c r="G438" s="78">
        <v>48</v>
      </c>
      <c r="H438" s="62">
        <f>C436+I438</f>
        <v>64</v>
      </c>
      <c r="I438" s="20"/>
      <c r="J438" s="21"/>
      <c r="K438" s="57">
        <v>64</v>
      </c>
      <c r="L438" s="23">
        <f t="shared" si="63"/>
        <v>-104</v>
      </c>
      <c r="M438" s="23">
        <f t="shared" si="64"/>
        <v>-104</v>
      </c>
      <c r="N438" s="23"/>
      <c r="O438" s="23">
        <v>3</v>
      </c>
      <c r="Q438" s="1">
        <f>AVERAGE(G434:G438)</f>
        <v>76.8</v>
      </c>
    </row>
    <row r="439" spans="1:17" s="12" customFormat="1" hidden="1" outlineLevel="1">
      <c r="A439" s="95">
        <v>45535</v>
      </c>
      <c r="B439" s="25" t="s">
        <v>16</v>
      </c>
      <c r="C439" s="98"/>
      <c r="D439" s="99"/>
      <c r="E439" s="87">
        <f t="shared" si="62"/>
        <v>-76</v>
      </c>
      <c r="G439" s="79"/>
      <c r="H439" s="63"/>
      <c r="I439" s="27"/>
      <c r="J439" s="28"/>
      <c r="K439" s="43"/>
      <c r="L439" s="29">
        <f t="shared" si="63"/>
        <v>-104</v>
      </c>
      <c r="M439" s="29">
        <f t="shared" si="64"/>
        <v>-104</v>
      </c>
      <c r="N439" s="29"/>
      <c r="O439" s="29"/>
    </row>
    <row r="440" spans="1:17" s="12" customFormat="1" hidden="1" outlineLevel="1">
      <c r="A440" s="95">
        <v>45536</v>
      </c>
      <c r="B440" s="25" t="s">
        <v>17</v>
      </c>
      <c r="C440" s="98"/>
      <c r="D440" s="99"/>
      <c r="E440" s="87">
        <f t="shared" si="62"/>
        <v>-76</v>
      </c>
      <c r="G440" s="79"/>
      <c r="H440" s="63"/>
      <c r="I440" s="27"/>
      <c r="J440" s="28"/>
      <c r="K440" s="43"/>
      <c r="L440" s="29">
        <f t="shared" si="63"/>
        <v>-104</v>
      </c>
      <c r="M440" s="29">
        <f t="shared" si="64"/>
        <v>-104</v>
      </c>
      <c r="N440" s="29"/>
      <c r="O440" s="29"/>
    </row>
    <row r="441" spans="1:17" hidden="1" outlineLevel="1" collapsed="1">
      <c r="A441" s="96">
        <v>45537</v>
      </c>
      <c r="B441" s="17" t="s">
        <v>18</v>
      </c>
      <c r="C441" s="101">
        <v>80</v>
      </c>
      <c r="D441" s="100">
        <v>56</v>
      </c>
      <c r="E441" s="22">
        <f t="shared" si="62"/>
        <v>-100</v>
      </c>
      <c r="G441" s="78">
        <v>72</v>
      </c>
      <c r="H441" s="62">
        <f>C437+I441</f>
        <v>64</v>
      </c>
      <c r="I441" s="20"/>
      <c r="J441" s="21"/>
      <c r="K441" s="57">
        <v>64</v>
      </c>
      <c r="L441" s="23">
        <f t="shared" ref="L441:L470" si="65">L440-G441+K441</f>
        <v>-112</v>
      </c>
      <c r="M441" s="23">
        <f t="shared" ref="M441:M470" si="66">M440-G441+H441</f>
        <v>-112</v>
      </c>
      <c r="N441" s="23"/>
      <c r="O441" s="23">
        <v>6</v>
      </c>
    </row>
    <row r="442" spans="1:17" hidden="1" outlineLevel="1">
      <c r="A442" s="96">
        <v>45538</v>
      </c>
      <c r="B442" s="17" t="s">
        <v>19</v>
      </c>
      <c r="C442" s="101">
        <v>80</v>
      </c>
      <c r="D442" s="100">
        <v>56</v>
      </c>
      <c r="E442" s="22">
        <f t="shared" si="62"/>
        <v>-124</v>
      </c>
      <c r="G442" s="78">
        <v>40</v>
      </c>
      <c r="H442" s="62">
        <f>C438+I442</f>
        <v>64</v>
      </c>
      <c r="I442" s="20"/>
      <c r="J442" s="21"/>
      <c r="K442" s="57">
        <v>64</v>
      </c>
      <c r="L442" s="23">
        <f t="shared" si="65"/>
        <v>-88</v>
      </c>
      <c r="M442" s="23">
        <f t="shared" si="66"/>
        <v>-88</v>
      </c>
      <c r="N442" s="23"/>
      <c r="O442" s="23">
        <v>10</v>
      </c>
    </row>
    <row r="443" spans="1:17" hidden="1" outlineLevel="1">
      <c r="A443" s="96">
        <v>45539</v>
      </c>
      <c r="B443" s="17" t="s">
        <v>20</v>
      </c>
      <c r="C443" s="101">
        <v>80</v>
      </c>
      <c r="D443" s="100">
        <v>56</v>
      </c>
      <c r="E443" s="22">
        <f t="shared" si="62"/>
        <v>-148</v>
      </c>
      <c r="G443" s="78">
        <v>88</v>
      </c>
      <c r="H443" s="62">
        <f>C441+I443</f>
        <v>80</v>
      </c>
      <c r="I443" s="20"/>
      <c r="J443" s="21"/>
      <c r="K443" s="57">
        <v>80</v>
      </c>
      <c r="L443" s="23">
        <f t="shared" si="65"/>
        <v>-96</v>
      </c>
      <c r="M443" s="23">
        <f t="shared" si="66"/>
        <v>-96</v>
      </c>
      <c r="N443" s="23"/>
      <c r="O443" s="23">
        <v>4</v>
      </c>
    </row>
    <row r="444" spans="1:17" hidden="1" outlineLevel="1">
      <c r="A444" s="96">
        <v>45540</v>
      </c>
      <c r="B444" s="17" t="s">
        <v>14</v>
      </c>
      <c r="C444" s="101">
        <v>80</v>
      </c>
      <c r="D444" s="100">
        <v>56</v>
      </c>
      <c r="E444" s="22">
        <f t="shared" si="62"/>
        <v>-172</v>
      </c>
      <c r="G444" s="78">
        <v>56</v>
      </c>
      <c r="H444" s="62">
        <f>C442+I444</f>
        <v>80</v>
      </c>
      <c r="I444" s="20"/>
      <c r="J444" s="21"/>
      <c r="K444" s="57">
        <v>80</v>
      </c>
      <c r="L444" s="23">
        <f t="shared" si="65"/>
        <v>-72</v>
      </c>
      <c r="M444" s="23">
        <f t="shared" si="66"/>
        <v>-72</v>
      </c>
      <c r="N444" s="23"/>
      <c r="O444" s="23">
        <v>5</v>
      </c>
    </row>
    <row r="445" spans="1:17" hidden="1" outlineLevel="1">
      <c r="A445" s="96">
        <v>45541</v>
      </c>
      <c r="B445" s="17" t="s">
        <v>15</v>
      </c>
      <c r="C445" s="101">
        <v>72</v>
      </c>
      <c r="D445" s="100">
        <v>64</v>
      </c>
      <c r="E445" s="22">
        <f t="shared" si="62"/>
        <v>-180</v>
      </c>
      <c r="G445" s="78">
        <f>80+56</f>
        <v>136</v>
      </c>
      <c r="H445" s="62">
        <f>C443+I445</f>
        <v>80</v>
      </c>
      <c r="I445" s="20"/>
      <c r="J445" s="21"/>
      <c r="K445" s="42">
        <v>80</v>
      </c>
      <c r="L445" s="23">
        <f t="shared" si="65"/>
        <v>-128</v>
      </c>
      <c r="M445" s="23">
        <f t="shared" si="66"/>
        <v>-128</v>
      </c>
      <c r="N445" s="23"/>
      <c r="O445" s="23">
        <v>8</v>
      </c>
      <c r="Q445" s="1">
        <f>AVERAGE(G441:G445)</f>
        <v>78.400000000000006</v>
      </c>
    </row>
    <row r="446" spans="1:17" s="12" customFormat="1" hidden="1" outlineLevel="1">
      <c r="A446" s="95">
        <v>45542</v>
      </c>
      <c r="B446" s="25" t="s">
        <v>16</v>
      </c>
      <c r="C446" s="98"/>
      <c r="D446" s="99"/>
      <c r="E446" s="87">
        <f t="shared" si="62"/>
        <v>-180</v>
      </c>
      <c r="G446" s="64"/>
      <c r="H446" s="63"/>
      <c r="I446" s="27"/>
      <c r="J446" s="28"/>
      <c r="K446" s="43"/>
      <c r="L446" s="29">
        <f t="shared" si="65"/>
        <v>-128</v>
      </c>
      <c r="M446" s="29">
        <f t="shared" si="66"/>
        <v>-128</v>
      </c>
      <c r="N446" s="29"/>
      <c r="O446" s="29"/>
    </row>
    <row r="447" spans="1:17" s="12" customFormat="1" hidden="1" outlineLevel="1" collapsed="1">
      <c r="A447" s="95">
        <v>45543</v>
      </c>
      <c r="B447" s="25" t="s">
        <v>17</v>
      </c>
      <c r="C447" s="98"/>
      <c r="D447" s="99"/>
      <c r="E447" s="87">
        <f t="shared" si="62"/>
        <v>-180</v>
      </c>
      <c r="G447" s="64"/>
      <c r="H447" s="63"/>
      <c r="I447" s="27"/>
      <c r="J447" s="28"/>
      <c r="K447" s="43"/>
      <c r="L447" s="29">
        <f t="shared" si="65"/>
        <v>-128</v>
      </c>
      <c r="M447" s="29">
        <f t="shared" si="66"/>
        <v>-128</v>
      </c>
      <c r="N447" s="29"/>
      <c r="O447" s="29"/>
    </row>
    <row r="448" spans="1:17" hidden="1" outlineLevel="1">
      <c r="A448" s="96">
        <v>45544</v>
      </c>
      <c r="B448" s="17" t="s">
        <v>18</v>
      </c>
      <c r="C448" s="101">
        <v>72</v>
      </c>
      <c r="D448" s="100">
        <v>80</v>
      </c>
      <c r="E448" s="22">
        <f t="shared" si="62"/>
        <v>-172</v>
      </c>
      <c r="G448" s="78">
        <v>72</v>
      </c>
      <c r="H448" s="62">
        <f>C444+I448</f>
        <v>80</v>
      </c>
      <c r="I448" s="20"/>
      <c r="J448" s="21"/>
      <c r="K448" s="57">
        <v>80</v>
      </c>
      <c r="L448" s="23">
        <f t="shared" si="65"/>
        <v>-120</v>
      </c>
      <c r="M448" s="23">
        <f t="shared" si="66"/>
        <v>-120</v>
      </c>
      <c r="N448" s="23"/>
      <c r="O448" s="23">
        <v>4</v>
      </c>
    </row>
    <row r="449" spans="1:17" hidden="1" outlineLevel="1">
      <c r="A449" s="96">
        <v>45545</v>
      </c>
      <c r="B449" s="17" t="s">
        <v>19</v>
      </c>
      <c r="C449" s="101">
        <v>72</v>
      </c>
      <c r="D449" s="100">
        <v>73</v>
      </c>
      <c r="E449" s="22">
        <f t="shared" si="62"/>
        <v>-171</v>
      </c>
      <c r="G449" s="78">
        <v>56</v>
      </c>
      <c r="H449" s="62">
        <f>C445+I449</f>
        <v>72</v>
      </c>
      <c r="I449" s="20"/>
      <c r="J449" s="21"/>
      <c r="K449" s="57">
        <v>72</v>
      </c>
      <c r="L449" s="23">
        <f t="shared" si="65"/>
        <v>-104</v>
      </c>
      <c r="M449" s="23">
        <f t="shared" si="66"/>
        <v>-104</v>
      </c>
      <c r="N449" s="23"/>
      <c r="O449" s="23">
        <v>10</v>
      </c>
    </row>
    <row r="450" spans="1:17" hidden="1" outlineLevel="1">
      <c r="A450" s="96">
        <v>45546</v>
      </c>
      <c r="B450" s="17" t="s">
        <v>20</v>
      </c>
      <c r="C450" s="101">
        <v>64</v>
      </c>
      <c r="D450" s="100">
        <v>79</v>
      </c>
      <c r="E450" s="22">
        <f t="shared" si="62"/>
        <v>-156</v>
      </c>
      <c r="G450" s="78">
        <v>40</v>
      </c>
      <c r="H450" s="62">
        <f>C448+I450</f>
        <v>72</v>
      </c>
      <c r="I450" s="20"/>
      <c r="J450" s="21"/>
      <c r="K450" s="57">
        <v>72</v>
      </c>
      <c r="L450" s="23">
        <f t="shared" si="65"/>
        <v>-72</v>
      </c>
      <c r="M450" s="23">
        <f t="shared" si="66"/>
        <v>-72</v>
      </c>
      <c r="N450" s="23"/>
      <c r="O450" s="23">
        <v>7</v>
      </c>
    </row>
    <row r="451" spans="1:17" hidden="1" outlineLevel="1">
      <c r="A451" s="96">
        <v>45547</v>
      </c>
      <c r="B451" s="17" t="s">
        <v>14</v>
      </c>
      <c r="C451" s="101">
        <v>64</v>
      </c>
      <c r="D451" s="100">
        <v>72</v>
      </c>
      <c r="E451" s="22">
        <f t="shared" si="62"/>
        <v>-148</v>
      </c>
      <c r="G451" s="78">
        <v>72</v>
      </c>
      <c r="H451" s="62">
        <f>C449+I451</f>
        <v>72</v>
      </c>
      <c r="I451" s="20"/>
      <c r="J451" s="21"/>
      <c r="K451" s="57">
        <v>72</v>
      </c>
      <c r="L451" s="23">
        <f t="shared" si="65"/>
        <v>-72</v>
      </c>
      <c r="M451" s="23">
        <f t="shared" si="66"/>
        <v>-72</v>
      </c>
      <c r="N451" s="23"/>
      <c r="O451" s="23">
        <v>6</v>
      </c>
    </row>
    <row r="452" spans="1:17" hidden="1" outlineLevel="1">
      <c r="A452" s="96">
        <v>45548</v>
      </c>
      <c r="B452" s="17" t="s">
        <v>15</v>
      </c>
      <c r="C452" s="101">
        <v>64</v>
      </c>
      <c r="D452" s="100">
        <v>56</v>
      </c>
      <c r="E452" s="22">
        <f t="shared" si="62"/>
        <v>-156</v>
      </c>
      <c r="G452" s="78">
        <v>40</v>
      </c>
      <c r="H452" s="62">
        <f>C450+I452</f>
        <v>64</v>
      </c>
      <c r="I452" s="20"/>
      <c r="J452" s="21"/>
      <c r="K452" s="57">
        <v>64</v>
      </c>
      <c r="L452" s="23">
        <f t="shared" si="65"/>
        <v>-48</v>
      </c>
      <c r="M452" s="23">
        <f t="shared" si="66"/>
        <v>-48</v>
      </c>
      <c r="N452" s="23"/>
      <c r="O452" s="23">
        <v>1</v>
      </c>
      <c r="Q452" s="1">
        <f>AVERAGE(G448:G452)</f>
        <v>56</v>
      </c>
    </row>
    <row r="453" spans="1:17" s="12" customFormat="1" hidden="1" outlineLevel="1">
      <c r="A453" s="95">
        <v>45549</v>
      </c>
      <c r="B453" s="25" t="s">
        <v>16</v>
      </c>
      <c r="C453" s="98"/>
      <c r="D453" s="99"/>
      <c r="E453" s="87">
        <f t="shared" si="62"/>
        <v>-156</v>
      </c>
      <c r="G453" s="64"/>
      <c r="H453" s="63"/>
      <c r="I453" s="27"/>
      <c r="J453" s="28"/>
      <c r="K453" s="43"/>
      <c r="L453" s="29">
        <f t="shared" si="65"/>
        <v>-48</v>
      </c>
      <c r="M453" s="29">
        <f t="shared" si="66"/>
        <v>-48</v>
      </c>
      <c r="N453" s="29"/>
      <c r="O453" s="29"/>
    </row>
    <row r="454" spans="1:17" s="12" customFormat="1" hidden="1" outlineLevel="1">
      <c r="A454" s="95">
        <v>45550</v>
      </c>
      <c r="B454" s="25" t="s">
        <v>17</v>
      </c>
      <c r="C454" s="98"/>
      <c r="D454" s="99"/>
      <c r="E454" s="87">
        <f t="shared" si="62"/>
        <v>-156</v>
      </c>
      <c r="G454" s="64"/>
      <c r="H454" s="63"/>
      <c r="I454" s="27"/>
      <c r="J454" s="28"/>
      <c r="K454" s="43"/>
      <c r="L454" s="29">
        <f t="shared" si="65"/>
        <v>-48</v>
      </c>
      <c r="M454" s="29">
        <f t="shared" si="66"/>
        <v>-48</v>
      </c>
      <c r="N454" s="29"/>
      <c r="O454" s="29"/>
    </row>
    <row r="455" spans="1:17" s="12" customFormat="1" hidden="1" outlineLevel="1" collapsed="1">
      <c r="A455" s="95">
        <v>45551</v>
      </c>
      <c r="B455" s="25" t="s">
        <v>18</v>
      </c>
      <c r="C455" s="98"/>
      <c r="D455" s="99"/>
      <c r="E455" s="87">
        <f t="shared" si="62"/>
        <v>-156</v>
      </c>
      <c r="G455" s="64"/>
      <c r="H455" s="63"/>
      <c r="I455" s="27"/>
      <c r="J455" s="28"/>
      <c r="K455" s="43"/>
      <c r="L455" s="29">
        <f t="shared" si="65"/>
        <v>-48</v>
      </c>
      <c r="M455" s="29">
        <f t="shared" si="66"/>
        <v>-48</v>
      </c>
      <c r="N455" s="29"/>
      <c r="O455" s="29"/>
    </row>
    <row r="456" spans="1:17" hidden="1" outlineLevel="1">
      <c r="A456" s="96">
        <v>45552</v>
      </c>
      <c r="B456" s="17" t="s">
        <v>19</v>
      </c>
      <c r="C456" s="101">
        <f>56-16</f>
        <v>40</v>
      </c>
      <c r="D456" s="100">
        <v>48</v>
      </c>
      <c r="E456" s="22">
        <f t="shared" si="62"/>
        <v>-148</v>
      </c>
      <c r="G456" s="78">
        <v>48</v>
      </c>
      <c r="H456" s="62">
        <f>C451+I456</f>
        <v>56</v>
      </c>
      <c r="I456" s="20">
        <v>-8</v>
      </c>
      <c r="J456" s="21"/>
      <c r="K456" s="194">
        <v>56</v>
      </c>
      <c r="L456" s="23">
        <f t="shared" si="65"/>
        <v>-40</v>
      </c>
      <c r="M456" s="23">
        <f t="shared" si="66"/>
        <v>-40</v>
      </c>
      <c r="N456" s="23"/>
      <c r="O456" s="23">
        <v>8</v>
      </c>
    </row>
    <row r="457" spans="1:17" hidden="1" outlineLevel="1">
      <c r="A457" s="96">
        <v>45553</v>
      </c>
      <c r="B457" s="17" t="s">
        <v>20</v>
      </c>
      <c r="C457" s="101">
        <f>56-16</f>
        <v>40</v>
      </c>
      <c r="D457" s="100"/>
      <c r="E457" s="22">
        <f t="shared" si="62"/>
        <v>-188</v>
      </c>
      <c r="G457" s="78">
        <v>64</v>
      </c>
      <c r="H457" s="62">
        <f>C452+I457</f>
        <v>64</v>
      </c>
      <c r="I457" s="20"/>
      <c r="J457" s="21"/>
      <c r="K457" s="57">
        <v>64</v>
      </c>
      <c r="L457" s="23">
        <f t="shared" si="65"/>
        <v>-40</v>
      </c>
      <c r="M457" s="23">
        <f t="shared" si="66"/>
        <v>-40</v>
      </c>
      <c r="N457" s="23"/>
      <c r="O457" s="23">
        <v>0</v>
      </c>
    </row>
    <row r="458" spans="1:17" hidden="1" outlineLevel="1">
      <c r="A458" s="96">
        <v>45554</v>
      </c>
      <c r="B458" s="17" t="s">
        <v>14</v>
      </c>
      <c r="C458" s="101">
        <f>56-16</f>
        <v>40</v>
      </c>
      <c r="D458" s="100"/>
      <c r="E458" s="22">
        <f t="shared" si="62"/>
        <v>-228</v>
      </c>
      <c r="G458" s="78">
        <v>16</v>
      </c>
      <c r="H458" s="62">
        <f>C456+I458</f>
        <v>40</v>
      </c>
      <c r="I458" s="20"/>
      <c r="J458" s="21"/>
      <c r="K458" s="57">
        <v>40</v>
      </c>
      <c r="L458" s="23">
        <f t="shared" si="65"/>
        <v>-16</v>
      </c>
      <c r="M458" s="23">
        <f t="shared" si="66"/>
        <v>-16</v>
      </c>
      <c r="N458" s="23"/>
      <c r="O458" s="23">
        <v>6</v>
      </c>
    </row>
    <row r="459" spans="1:17" hidden="1" outlineLevel="1">
      <c r="A459" s="96">
        <v>45555</v>
      </c>
      <c r="B459" s="17" t="s">
        <v>15</v>
      </c>
      <c r="C459" s="101">
        <f>56-16</f>
        <v>40</v>
      </c>
      <c r="D459" s="100"/>
      <c r="E459" s="22">
        <f t="shared" si="62"/>
        <v>-268</v>
      </c>
      <c r="G459" s="78">
        <v>32</v>
      </c>
      <c r="H459" s="62">
        <f>C457+I459</f>
        <v>48</v>
      </c>
      <c r="I459" s="20">
        <v>8</v>
      </c>
      <c r="J459" s="21"/>
      <c r="K459" s="57">
        <v>48</v>
      </c>
      <c r="L459" s="23">
        <f t="shared" si="65"/>
        <v>0</v>
      </c>
      <c r="M459" s="23">
        <f t="shared" si="66"/>
        <v>0</v>
      </c>
      <c r="N459" s="23"/>
      <c r="O459" s="23">
        <v>4</v>
      </c>
      <c r="Q459" s="1">
        <f>AVERAGE(G456:G459)</f>
        <v>40</v>
      </c>
    </row>
    <row r="460" spans="1:17" s="12" customFormat="1" hidden="1" outlineLevel="1">
      <c r="A460" s="95">
        <v>45556</v>
      </c>
      <c r="B460" s="25" t="s">
        <v>16</v>
      </c>
      <c r="C460" s="98"/>
      <c r="D460" s="99"/>
      <c r="E460" s="87">
        <f t="shared" si="62"/>
        <v>-268</v>
      </c>
      <c r="G460" s="64"/>
      <c r="H460" s="63"/>
      <c r="I460" s="27"/>
      <c r="J460" s="28"/>
      <c r="K460" s="43"/>
      <c r="L460" s="29">
        <f t="shared" si="65"/>
        <v>0</v>
      </c>
      <c r="M460" s="29">
        <f t="shared" si="66"/>
        <v>0</v>
      </c>
      <c r="N460" s="29"/>
      <c r="O460" s="29"/>
    </row>
    <row r="461" spans="1:17" s="12" customFormat="1" hidden="1" outlineLevel="1">
      <c r="A461" s="95">
        <v>45557</v>
      </c>
      <c r="B461" s="25" t="s">
        <v>17</v>
      </c>
      <c r="C461" s="98"/>
      <c r="D461" s="99"/>
      <c r="E461" s="87">
        <f t="shared" si="62"/>
        <v>-268</v>
      </c>
      <c r="G461" s="64"/>
      <c r="H461" s="63"/>
      <c r="I461" s="27"/>
      <c r="J461" s="28"/>
      <c r="K461" s="43"/>
      <c r="L461" s="29">
        <f t="shared" si="65"/>
        <v>0</v>
      </c>
      <c r="M461" s="29">
        <f t="shared" si="66"/>
        <v>0</v>
      </c>
      <c r="N461" s="29"/>
      <c r="O461" s="29"/>
    </row>
    <row r="462" spans="1:17" hidden="1" outlineLevel="1" collapsed="1">
      <c r="A462" s="96">
        <v>45558</v>
      </c>
      <c r="B462" s="17" t="s">
        <v>18</v>
      </c>
      <c r="C462" s="101">
        <v>64</v>
      </c>
      <c r="D462" s="100"/>
      <c r="E462" s="22">
        <f t="shared" ref="E462:E525" si="67">E461-C462+D462</f>
        <v>-332</v>
      </c>
      <c r="G462" s="78">
        <v>40</v>
      </c>
      <c r="H462" s="62">
        <f>C458+I462</f>
        <v>40</v>
      </c>
      <c r="I462" s="20"/>
      <c r="J462" s="21"/>
      <c r="K462" s="57">
        <v>40</v>
      </c>
      <c r="L462" s="23">
        <f t="shared" si="65"/>
        <v>0</v>
      </c>
      <c r="M462" s="23">
        <f t="shared" si="66"/>
        <v>0</v>
      </c>
      <c r="N462" s="23"/>
      <c r="O462" s="23">
        <v>5</v>
      </c>
    </row>
    <row r="463" spans="1:17" hidden="1" outlineLevel="1">
      <c r="A463" s="96">
        <v>45559</v>
      </c>
      <c r="B463" s="17" t="s">
        <v>19</v>
      </c>
      <c r="C463" s="101">
        <v>64</v>
      </c>
      <c r="D463" s="100"/>
      <c r="E463" s="22">
        <f t="shared" si="67"/>
        <v>-396</v>
      </c>
      <c r="G463" s="78">
        <f>8+72</f>
        <v>80</v>
      </c>
      <c r="H463" s="62">
        <f>C459+I463</f>
        <v>40</v>
      </c>
      <c r="I463" s="20"/>
      <c r="J463" s="21"/>
      <c r="K463" s="57">
        <v>40</v>
      </c>
      <c r="L463" s="23">
        <f t="shared" si="65"/>
        <v>-40</v>
      </c>
      <c r="M463" s="23">
        <f t="shared" si="66"/>
        <v>-40</v>
      </c>
      <c r="N463" s="23"/>
      <c r="O463" s="23">
        <v>6</v>
      </c>
    </row>
    <row r="464" spans="1:17" hidden="1" outlineLevel="1">
      <c r="A464" s="96">
        <v>45560</v>
      </c>
      <c r="B464" s="17" t="s">
        <v>20</v>
      </c>
      <c r="C464" s="101">
        <v>64</v>
      </c>
      <c r="D464" s="100"/>
      <c r="E464" s="22">
        <f t="shared" si="67"/>
        <v>-460</v>
      </c>
      <c r="G464" s="78">
        <v>64</v>
      </c>
      <c r="H464" s="62">
        <f>C462+I464</f>
        <v>64</v>
      </c>
      <c r="I464" s="20"/>
      <c r="J464" s="21"/>
      <c r="K464" s="57">
        <v>64</v>
      </c>
      <c r="L464" s="23">
        <f t="shared" si="65"/>
        <v>-40</v>
      </c>
      <c r="M464" s="23">
        <f t="shared" si="66"/>
        <v>-40</v>
      </c>
      <c r="N464" s="23"/>
      <c r="O464" s="23">
        <v>6</v>
      </c>
    </row>
    <row r="465" spans="1:17" hidden="1" outlineLevel="1">
      <c r="A465" s="96">
        <v>45561</v>
      </c>
      <c r="B465" s="17" t="s">
        <v>14</v>
      </c>
      <c r="C465" s="101">
        <v>64</v>
      </c>
      <c r="D465" s="100"/>
      <c r="E465" s="22">
        <f t="shared" si="67"/>
        <v>-524</v>
      </c>
      <c r="G465" s="78">
        <f>16+48</f>
        <v>64</v>
      </c>
      <c r="H465" s="62">
        <f>C463+I465</f>
        <v>64</v>
      </c>
      <c r="I465" s="20"/>
      <c r="J465" s="21"/>
      <c r="K465" s="57">
        <v>64</v>
      </c>
      <c r="L465" s="23">
        <f t="shared" si="65"/>
        <v>-40</v>
      </c>
      <c r="M465" s="23">
        <f t="shared" si="66"/>
        <v>-40</v>
      </c>
      <c r="N465" s="23"/>
      <c r="O465" s="23">
        <v>8</v>
      </c>
    </row>
    <row r="466" spans="1:17" hidden="1" outlineLevel="1">
      <c r="A466" s="96">
        <v>45562</v>
      </c>
      <c r="B466" s="17" t="s">
        <v>15</v>
      </c>
      <c r="C466" s="101">
        <v>64</v>
      </c>
      <c r="D466" s="100"/>
      <c r="E466" s="22">
        <f t="shared" si="67"/>
        <v>-588</v>
      </c>
      <c r="G466" s="78">
        <v>72</v>
      </c>
      <c r="H466" s="62">
        <f>C464+I466</f>
        <v>64</v>
      </c>
      <c r="I466" s="20"/>
      <c r="J466" s="21"/>
      <c r="K466" s="57">
        <v>64</v>
      </c>
      <c r="L466" s="23">
        <f t="shared" si="65"/>
        <v>-48</v>
      </c>
      <c r="M466" s="23">
        <f t="shared" si="66"/>
        <v>-48</v>
      </c>
      <c r="N466" s="23"/>
      <c r="O466" s="52">
        <v>8</v>
      </c>
      <c r="Q466" s="1">
        <f>AVERAGE(G462:G466)</f>
        <v>64</v>
      </c>
    </row>
    <row r="467" spans="1:17" s="12" customFormat="1" hidden="1" outlineLevel="1">
      <c r="A467" s="95">
        <v>45563</v>
      </c>
      <c r="B467" s="25" t="s">
        <v>16</v>
      </c>
      <c r="C467" s="98"/>
      <c r="D467" s="99"/>
      <c r="E467" s="87">
        <f t="shared" si="67"/>
        <v>-588</v>
      </c>
      <c r="G467" s="79"/>
      <c r="H467" s="63"/>
      <c r="I467" s="27"/>
      <c r="J467" s="28"/>
      <c r="K467" s="43"/>
      <c r="L467" s="29">
        <f t="shared" si="65"/>
        <v>-48</v>
      </c>
      <c r="M467" s="29">
        <f t="shared" si="66"/>
        <v>-48</v>
      </c>
      <c r="N467" s="29"/>
      <c r="O467" s="29"/>
    </row>
    <row r="468" spans="1:17" s="12" customFormat="1" hidden="1" outlineLevel="1" collapsed="1">
      <c r="A468" s="95">
        <v>45564</v>
      </c>
      <c r="B468" s="25" t="s">
        <v>17</v>
      </c>
      <c r="C468" s="98"/>
      <c r="D468" s="99"/>
      <c r="E468" s="87">
        <f t="shared" si="67"/>
        <v>-588</v>
      </c>
      <c r="G468" s="79"/>
      <c r="H468" s="63"/>
      <c r="I468" s="27"/>
      <c r="J468" s="28"/>
      <c r="K468" s="43"/>
      <c r="L468" s="29">
        <f t="shared" si="65"/>
        <v>-48</v>
      </c>
      <c r="M468" s="29">
        <f t="shared" si="66"/>
        <v>-48</v>
      </c>
      <c r="N468" s="29"/>
      <c r="O468" s="29"/>
    </row>
    <row r="469" spans="1:17" hidden="1" outlineLevel="1">
      <c r="A469" s="96">
        <v>45565</v>
      </c>
      <c r="B469" s="17" t="s">
        <v>18</v>
      </c>
      <c r="C469" s="101">
        <v>72</v>
      </c>
      <c r="D469" s="100"/>
      <c r="E469" s="22">
        <f t="shared" si="67"/>
        <v>-660</v>
      </c>
      <c r="G469" s="78">
        <v>64</v>
      </c>
      <c r="H469" s="62">
        <f>C465+I469</f>
        <v>64</v>
      </c>
      <c r="I469" s="20"/>
      <c r="J469" s="21"/>
      <c r="K469" s="57">
        <v>64</v>
      </c>
      <c r="L469" s="23">
        <f t="shared" si="65"/>
        <v>-48</v>
      </c>
      <c r="M469" s="23">
        <f t="shared" si="66"/>
        <v>-48</v>
      </c>
      <c r="N469" s="23"/>
      <c r="O469" s="23">
        <v>6</v>
      </c>
    </row>
    <row r="470" spans="1:17" hidden="1" outlineLevel="1">
      <c r="A470" s="96">
        <v>45566</v>
      </c>
      <c r="B470" s="17" t="s">
        <v>19</v>
      </c>
      <c r="C470" s="101">
        <v>80</v>
      </c>
      <c r="D470" s="100"/>
      <c r="E470" s="22">
        <f t="shared" si="67"/>
        <v>-740</v>
      </c>
      <c r="G470" s="78">
        <v>112</v>
      </c>
      <c r="H470" s="62">
        <f>C466+I470</f>
        <v>64</v>
      </c>
      <c r="I470" s="20"/>
      <c r="J470" s="21"/>
      <c r="K470" s="57">
        <v>64</v>
      </c>
      <c r="L470" s="23">
        <f t="shared" si="65"/>
        <v>-96</v>
      </c>
      <c r="M470" s="23">
        <f t="shared" si="66"/>
        <v>-96</v>
      </c>
      <c r="N470" s="23"/>
      <c r="O470" s="23">
        <v>7</v>
      </c>
    </row>
    <row r="471" spans="1:17" hidden="1" outlineLevel="1">
      <c r="A471" s="96">
        <v>45567</v>
      </c>
      <c r="B471" s="17" t="s">
        <v>20</v>
      </c>
      <c r="C471" s="101">
        <v>80</v>
      </c>
      <c r="D471" s="100"/>
      <c r="E471" s="22">
        <f t="shared" si="67"/>
        <v>-820</v>
      </c>
      <c r="G471" s="78">
        <v>112</v>
      </c>
      <c r="H471" s="62">
        <f>C469+I471</f>
        <v>72</v>
      </c>
      <c r="I471" s="20"/>
      <c r="J471" s="21"/>
      <c r="K471" s="57">
        <v>72</v>
      </c>
      <c r="L471" s="23">
        <f t="shared" ref="L471:L500" si="68">L470-G471+K471</f>
        <v>-136</v>
      </c>
      <c r="M471" s="23">
        <f t="shared" ref="M471:M500" si="69">M470-G471+H471</f>
        <v>-136</v>
      </c>
      <c r="N471" s="23"/>
      <c r="O471" s="23">
        <v>9</v>
      </c>
    </row>
    <row r="472" spans="1:17" hidden="1" outlineLevel="1">
      <c r="A472" s="96">
        <v>45568</v>
      </c>
      <c r="B472" s="17" t="s">
        <v>14</v>
      </c>
      <c r="C472" s="101">
        <v>80</v>
      </c>
      <c r="D472" s="100"/>
      <c r="E472" s="22">
        <f t="shared" si="67"/>
        <v>-900</v>
      </c>
      <c r="G472" s="78">
        <v>56</v>
      </c>
      <c r="H472" s="62">
        <f>C470+I472</f>
        <v>80</v>
      </c>
      <c r="I472" s="20"/>
      <c r="J472" s="21"/>
      <c r="K472" s="57">
        <v>80</v>
      </c>
      <c r="L472" s="23">
        <f t="shared" si="68"/>
        <v>-112</v>
      </c>
      <c r="M472" s="23">
        <f t="shared" si="69"/>
        <v>-112</v>
      </c>
      <c r="N472" s="23"/>
      <c r="O472" s="23">
        <v>5</v>
      </c>
    </row>
    <row r="473" spans="1:17" hidden="1" outlineLevel="1">
      <c r="A473" s="96">
        <v>45569</v>
      </c>
      <c r="B473" s="17" t="s">
        <v>15</v>
      </c>
      <c r="C473" s="101">
        <v>80</v>
      </c>
      <c r="D473" s="100"/>
      <c r="E473" s="22">
        <f t="shared" si="67"/>
        <v>-980</v>
      </c>
      <c r="G473" s="78">
        <v>0</v>
      </c>
      <c r="H473" s="62">
        <f>C471+I473</f>
        <v>80</v>
      </c>
      <c r="I473" s="20"/>
      <c r="J473" s="21"/>
      <c r="K473" s="57">
        <v>80</v>
      </c>
      <c r="L473" s="23">
        <f t="shared" si="68"/>
        <v>-32</v>
      </c>
      <c r="M473" s="23">
        <f t="shared" si="69"/>
        <v>-32</v>
      </c>
      <c r="N473" s="23"/>
      <c r="O473" s="23">
        <v>7</v>
      </c>
      <c r="Q473" s="1">
        <f>AVERAGE(G469:G473)</f>
        <v>68.8</v>
      </c>
    </row>
    <row r="474" spans="1:17" s="12" customFormat="1" hidden="1" outlineLevel="1">
      <c r="A474" s="95">
        <v>45570</v>
      </c>
      <c r="B474" s="25" t="s">
        <v>16</v>
      </c>
      <c r="C474" s="98"/>
      <c r="D474" s="99"/>
      <c r="E474" s="87">
        <f t="shared" si="67"/>
        <v>-980</v>
      </c>
      <c r="G474" s="79"/>
      <c r="H474" s="63"/>
      <c r="I474" s="27"/>
      <c r="J474" s="28"/>
      <c r="K474" s="43"/>
      <c r="L474" s="29">
        <f t="shared" si="68"/>
        <v>-32</v>
      </c>
      <c r="M474" s="29">
        <f t="shared" si="69"/>
        <v>-32</v>
      </c>
      <c r="N474" s="29"/>
      <c r="O474" s="29"/>
    </row>
    <row r="475" spans="1:17" s="12" customFormat="1" hidden="1" outlineLevel="1" collapsed="1">
      <c r="A475" s="95">
        <v>45571</v>
      </c>
      <c r="B475" s="25" t="s">
        <v>17</v>
      </c>
      <c r="C475" s="98"/>
      <c r="D475" s="99"/>
      <c r="E475" s="87">
        <f t="shared" si="67"/>
        <v>-980</v>
      </c>
      <c r="G475" s="79"/>
      <c r="H475" s="63"/>
      <c r="I475" s="27"/>
      <c r="J475" s="28"/>
      <c r="K475" s="43"/>
      <c r="L475" s="29">
        <f t="shared" si="68"/>
        <v>-32</v>
      </c>
      <c r="M475" s="29">
        <f t="shared" si="69"/>
        <v>-32</v>
      </c>
      <c r="N475" s="29"/>
      <c r="O475" s="29"/>
    </row>
    <row r="476" spans="1:17" hidden="1" outlineLevel="1">
      <c r="A476" s="96">
        <v>45572</v>
      </c>
      <c r="B476" s="17" t="s">
        <v>18</v>
      </c>
      <c r="C476" s="101">
        <f>64-8</f>
        <v>56</v>
      </c>
      <c r="D476" s="100"/>
      <c r="E476" s="22">
        <f t="shared" si="67"/>
        <v>-1036</v>
      </c>
      <c r="G476" s="78">
        <v>56</v>
      </c>
      <c r="H476" s="62">
        <f>C472+I476</f>
        <v>80</v>
      </c>
      <c r="I476" s="20"/>
      <c r="J476" s="21"/>
      <c r="K476" s="57">
        <v>80</v>
      </c>
      <c r="L476" s="23">
        <f t="shared" si="68"/>
        <v>-8</v>
      </c>
      <c r="M476" s="23">
        <f t="shared" si="69"/>
        <v>-8</v>
      </c>
      <c r="N476" s="23"/>
      <c r="O476" s="23">
        <v>3</v>
      </c>
    </row>
    <row r="477" spans="1:17" hidden="1" outlineLevel="1">
      <c r="A477" s="96">
        <v>45573</v>
      </c>
      <c r="B477" s="17" t="s">
        <v>19</v>
      </c>
      <c r="C477" s="101">
        <f>64+3-8</f>
        <v>59</v>
      </c>
      <c r="D477" s="100"/>
      <c r="E477" s="22">
        <f t="shared" si="67"/>
        <v>-1095</v>
      </c>
      <c r="G477" s="78">
        <v>64</v>
      </c>
      <c r="H477" s="62">
        <f>C473+I477</f>
        <v>80</v>
      </c>
      <c r="I477" s="20"/>
      <c r="J477" s="21"/>
      <c r="K477" s="57">
        <v>80</v>
      </c>
      <c r="L477" s="23">
        <f t="shared" si="68"/>
        <v>8</v>
      </c>
      <c r="M477" s="23">
        <f t="shared" si="69"/>
        <v>8</v>
      </c>
      <c r="N477" s="23"/>
      <c r="O477" s="23">
        <v>6</v>
      </c>
    </row>
    <row r="478" spans="1:17" hidden="1" outlineLevel="1">
      <c r="A478" s="96">
        <v>45574</v>
      </c>
      <c r="B478" s="17" t="s">
        <v>20</v>
      </c>
      <c r="C478" s="101">
        <f t="shared" ref="C478:C480" si="70">64-8</f>
        <v>56</v>
      </c>
      <c r="D478" s="100"/>
      <c r="E478" s="22">
        <f t="shared" si="67"/>
        <v>-1151</v>
      </c>
      <c r="G478" s="78">
        <v>80</v>
      </c>
      <c r="H478" s="62">
        <f>C476+I478</f>
        <v>56</v>
      </c>
      <c r="I478" s="20"/>
      <c r="J478" s="21"/>
      <c r="K478" s="57">
        <v>56</v>
      </c>
      <c r="L478" s="23">
        <f t="shared" si="68"/>
        <v>-16</v>
      </c>
      <c r="M478" s="23">
        <f t="shared" si="69"/>
        <v>-16</v>
      </c>
      <c r="N478" s="23"/>
      <c r="O478" s="23">
        <v>8</v>
      </c>
    </row>
    <row r="479" spans="1:17" hidden="1" outlineLevel="1">
      <c r="A479" s="96">
        <v>45575</v>
      </c>
      <c r="B479" s="17" t="s">
        <v>14</v>
      </c>
      <c r="C479" s="101">
        <f t="shared" si="70"/>
        <v>56</v>
      </c>
      <c r="D479" s="100"/>
      <c r="E479" s="22">
        <f t="shared" si="67"/>
        <v>-1207</v>
      </c>
      <c r="G479" s="78">
        <v>83</v>
      </c>
      <c r="H479" s="62">
        <f>C477+I479</f>
        <v>59</v>
      </c>
      <c r="I479" s="20"/>
      <c r="J479" s="21"/>
      <c r="K479" s="57">
        <v>59</v>
      </c>
      <c r="L479" s="23">
        <f t="shared" si="68"/>
        <v>-40</v>
      </c>
      <c r="M479" s="23">
        <f t="shared" si="69"/>
        <v>-40</v>
      </c>
      <c r="N479" s="23"/>
      <c r="O479" s="23">
        <v>7</v>
      </c>
    </row>
    <row r="480" spans="1:17" hidden="1" outlineLevel="1">
      <c r="A480" s="96">
        <v>45576</v>
      </c>
      <c r="B480" s="17" t="s">
        <v>15</v>
      </c>
      <c r="C480" s="101">
        <f t="shared" si="70"/>
        <v>56</v>
      </c>
      <c r="D480" s="100"/>
      <c r="E480" s="22">
        <f t="shared" si="67"/>
        <v>-1263</v>
      </c>
      <c r="G480" s="78">
        <v>88</v>
      </c>
      <c r="H480" s="62">
        <f>C478+I480</f>
        <v>56</v>
      </c>
      <c r="I480" s="20"/>
      <c r="J480" s="21"/>
      <c r="K480" s="57">
        <v>56</v>
      </c>
      <c r="L480" s="23">
        <f t="shared" si="68"/>
        <v>-72</v>
      </c>
      <c r="M480" s="23">
        <f t="shared" si="69"/>
        <v>-72</v>
      </c>
      <c r="N480" s="23"/>
      <c r="O480" s="23">
        <v>5</v>
      </c>
      <c r="Q480" s="1">
        <f>AVERAGE(G476:G480)</f>
        <v>74.2</v>
      </c>
    </row>
    <row r="481" spans="1:17" s="12" customFormat="1" hidden="1" outlineLevel="1">
      <c r="A481" s="95">
        <v>45577</v>
      </c>
      <c r="B481" s="25" t="s">
        <v>16</v>
      </c>
      <c r="C481" s="98"/>
      <c r="D481" s="99"/>
      <c r="E481" s="87">
        <f t="shared" si="67"/>
        <v>-1263</v>
      </c>
      <c r="G481" s="64"/>
      <c r="H481" s="63"/>
      <c r="I481" s="27"/>
      <c r="J481" s="28"/>
      <c r="K481" s="43"/>
      <c r="L481" s="29">
        <f t="shared" si="68"/>
        <v>-72</v>
      </c>
      <c r="M481" s="29">
        <f t="shared" si="69"/>
        <v>-72</v>
      </c>
      <c r="N481" s="29"/>
      <c r="O481" s="29"/>
    </row>
    <row r="482" spans="1:17" s="12" customFormat="1" hidden="1" outlineLevel="1">
      <c r="A482" s="95">
        <v>45578</v>
      </c>
      <c r="B482" s="25" t="s">
        <v>17</v>
      </c>
      <c r="C482" s="98"/>
      <c r="D482" s="99"/>
      <c r="E482" s="87">
        <f t="shared" si="67"/>
        <v>-1263</v>
      </c>
      <c r="G482" s="64"/>
      <c r="H482" s="63"/>
      <c r="I482" s="27"/>
      <c r="J482" s="28"/>
      <c r="K482" s="43"/>
      <c r="L482" s="29">
        <f t="shared" si="68"/>
        <v>-72</v>
      </c>
      <c r="M482" s="29">
        <f t="shared" si="69"/>
        <v>-72</v>
      </c>
      <c r="N482" s="29"/>
      <c r="O482" s="29"/>
    </row>
    <row r="483" spans="1:17" s="12" customFormat="1" hidden="1" outlineLevel="1" collapsed="1">
      <c r="A483" s="95">
        <v>45579</v>
      </c>
      <c r="B483" s="25" t="s">
        <v>18</v>
      </c>
      <c r="C483" s="98"/>
      <c r="D483" s="99"/>
      <c r="E483" s="87">
        <f t="shared" si="67"/>
        <v>-1263</v>
      </c>
      <c r="G483" s="64"/>
      <c r="H483" s="63"/>
      <c r="I483" s="27"/>
      <c r="J483" s="28"/>
      <c r="K483" s="43"/>
      <c r="L483" s="29">
        <f t="shared" si="68"/>
        <v>-72</v>
      </c>
      <c r="M483" s="29">
        <f t="shared" si="69"/>
        <v>-72</v>
      </c>
      <c r="N483" s="29"/>
      <c r="O483" s="29"/>
    </row>
    <row r="484" spans="1:17" hidden="1" outlineLevel="1">
      <c r="A484" s="96">
        <v>45580</v>
      </c>
      <c r="B484" s="17" t="s">
        <v>19</v>
      </c>
      <c r="C484" s="101">
        <v>56</v>
      </c>
      <c r="D484" s="100"/>
      <c r="E484" s="22">
        <f t="shared" si="67"/>
        <v>-1319</v>
      </c>
      <c r="G484" s="78">
        <v>64</v>
      </c>
      <c r="H484" s="62">
        <f>C479+I484</f>
        <v>56</v>
      </c>
      <c r="I484" s="20"/>
      <c r="J484" s="21"/>
      <c r="K484" s="57">
        <v>56</v>
      </c>
      <c r="L484" s="23">
        <f t="shared" si="68"/>
        <v>-80</v>
      </c>
      <c r="M484" s="23">
        <f t="shared" si="69"/>
        <v>-80</v>
      </c>
      <c r="N484" s="23"/>
      <c r="O484" s="23">
        <v>0</v>
      </c>
    </row>
    <row r="485" spans="1:17" hidden="1" outlineLevel="1">
      <c r="A485" s="96">
        <v>45581</v>
      </c>
      <c r="B485" s="17" t="s">
        <v>20</v>
      </c>
      <c r="C485" s="101">
        <v>56</v>
      </c>
      <c r="D485" s="100"/>
      <c r="E485" s="22">
        <f t="shared" si="67"/>
        <v>-1375</v>
      </c>
      <c r="G485" s="78">
        <v>32</v>
      </c>
      <c r="H485" s="62">
        <f>C480+I485</f>
        <v>56</v>
      </c>
      <c r="I485" s="20"/>
      <c r="J485" s="21"/>
      <c r="K485" s="57">
        <v>56</v>
      </c>
      <c r="L485" s="23">
        <f t="shared" si="68"/>
        <v>-56</v>
      </c>
      <c r="M485" s="23">
        <f t="shared" si="69"/>
        <v>-56</v>
      </c>
      <c r="N485" s="23"/>
      <c r="O485" s="23">
        <v>9</v>
      </c>
    </row>
    <row r="486" spans="1:17" hidden="1" outlineLevel="1">
      <c r="A486" s="96">
        <v>45582</v>
      </c>
      <c r="B486" s="17" t="s">
        <v>14</v>
      </c>
      <c r="C486" s="101">
        <v>56</v>
      </c>
      <c r="D486" s="100"/>
      <c r="E486" s="22">
        <f t="shared" si="67"/>
        <v>-1431</v>
      </c>
      <c r="G486" s="78">
        <v>48</v>
      </c>
      <c r="H486" s="62">
        <f>C484+I486</f>
        <v>56</v>
      </c>
      <c r="I486" s="20"/>
      <c r="J486" s="21"/>
      <c r="K486" s="57">
        <v>56</v>
      </c>
      <c r="L486" s="23">
        <f t="shared" si="68"/>
        <v>-48</v>
      </c>
      <c r="M486" s="23">
        <f t="shared" si="69"/>
        <v>-48</v>
      </c>
      <c r="N486" s="23"/>
      <c r="O486" s="23">
        <v>8</v>
      </c>
    </row>
    <row r="487" spans="1:17" hidden="1" outlineLevel="1">
      <c r="A487" s="96">
        <v>45583</v>
      </c>
      <c r="B487" s="17" t="s">
        <v>15</v>
      </c>
      <c r="C487" s="101">
        <v>56</v>
      </c>
      <c r="D487" s="100"/>
      <c r="E487" s="22">
        <f t="shared" si="67"/>
        <v>-1487</v>
      </c>
      <c r="G487" s="78">
        <v>56</v>
      </c>
      <c r="H487" s="62">
        <f>C485+I487</f>
        <v>56</v>
      </c>
      <c r="I487" s="20"/>
      <c r="J487" s="21"/>
      <c r="K487" s="57">
        <v>56</v>
      </c>
      <c r="L487" s="23">
        <f t="shared" si="68"/>
        <v>-48</v>
      </c>
      <c r="M487" s="23">
        <f t="shared" si="69"/>
        <v>-48</v>
      </c>
      <c r="N487" s="23"/>
      <c r="O487" s="23">
        <v>6</v>
      </c>
      <c r="Q487" s="1">
        <f>AVERAGE(G484:G487)</f>
        <v>50</v>
      </c>
    </row>
    <row r="488" spans="1:17" s="12" customFormat="1" hidden="1" outlineLevel="1">
      <c r="A488" s="95">
        <v>45584</v>
      </c>
      <c r="B488" s="25" t="s">
        <v>16</v>
      </c>
      <c r="C488" s="98"/>
      <c r="D488" s="99"/>
      <c r="E488" s="87">
        <f t="shared" si="67"/>
        <v>-1487</v>
      </c>
      <c r="G488" s="79"/>
      <c r="H488" s="63"/>
      <c r="I488" s="27"/>
      <c r="J488" s="28"/>
      <c r="K488" s="43"/>
      <c r="L488" s="29">
        <f t="shared" si="68"/>
        <v>-48</v>
      </c>
      <c r="M488" s="29">
        <f t="shared" si="69"/>
        <v>-48</v>
      </c>
      <c r="N488" s="29"/>
      <c r="O488" s="29"/>
    </row>
    <row r="489" spans="1:17" s="12" customFormat="1" hidden="1" outlineLevel="1" collapsed="1">
      <c r="A489" s="95">
        <v>45585</v>
      </c>
      <c r="B489" s="25" t="s">
        <v>17</v>
      </c>
      <c r="C489" s="98"/>
      <c r="D489" s="99"/>
      <c r="E489" s="87">
        <f t="shared" si="67"/>
        <v>-1487</v>
      </c>
      <c r="G489" s="79"/>
      <c r="H489" s="63"/>
      <c r="I489" s="27"/>
      <c r="J489" s="28"/>
      <c r="K489" s="43"/>
      <c r="L489" s="29">
        <f t="shared" si="68"/>
        <v>-48</v>
      </c>
      <c r="M489" s="29">
        <f t="shared" si="69"/>
        <v>-48</v>
      </c>
      <c r="N489" s="29"/>
      <c r="O489" s="29"/>
    </row>
    <row r="490" spans="1:17" hidden="1" outlineLevel="1">
      <c r="A490" s="96">
        <v>45586</v>
      </c>
      <c r="B490" s="17" t="s">
        <v>18</v>
      </c>
      <c r="C490" s="101">
        <v>64</v>
      </c>
      <c r="D490" s="100"/>
      <c r="E490" s="22">
        <f t="shared" si="67"/>
        <v>-1551</v>
      </c>
      <c r="G490" s="78">
        <v>80</v>
      </c>
      <c r="H490" s="62">
        <f>C486+I490</f>
        <v>56</v>
      </c>
      <c r="I490" s="20"/>
      <c r="J490" s="21"/>
      <c r="K490" s="57">
        <v>56</v>
      </c>
      <c r="L490" s="23">
        <f t="shared" si="68"/>
        <v>-72</v>
      </c>
      <c r="M490" s="23">
        <f t="shared" si="69"/>
        <v>-72</v>
      </c>
      <c r="N490" s="23"/>
      <c r="O490" s="23">
        <v>8</v>
      </c>
    </row>
    <row r="491" spans="1:17" hidden="1" outlineLevel="1">
      <c r="A491" s="96">
        <v>45587</v>
      </c>
      <c r="B491" s="17" t="s">
        <v>19</v>
      </c>
      <c r="C491" s="101">
        <v>64</v>
      </c>
      <c r="D491" s="100"/>
      <c r="E491" s="22">
        <f t="shared" si="67"/>
        <v>-1615</v>
      </c>
      <c r="G491" s="78">
        <v>64</v>
      </c>
      <c r="H491" s="62">
        <f>C487+I491</f>
        <v>56</v>
      </c>
      <c r="I491" s="20"/>
      <c r="J491" s="21"/>
      <c r="K491" s="57">
        <v>56</v>
      </c>
      <c r="L491" s="23">
        <f t="shared" si="68"/>
        <v>-80</v>
      </c>
      <c r="M491" s="23">
        <f t="shared" si="69"/>
        <v>-80</v>
      </c>
      <c r="N491" s="23"/>
      <c r="O491" s="23">
        <v>8</v>
      </c>
    </row>
    <row r="492" spans="1:17" hidden="1" outlineLevel="1">
      <c r="A492" s="96">
        <v>45588</v>
      </c>
      <c r="B492" s="17" t="s">
        <v>20</v>
      </c>
      <c r="C492" s="101">
        <v>72</v>
      </c>
      <c r="D492" s="100"/>
      <c r="E492" s="22">
        <f t="shared" si="67"/>
        <v>-1687</v>
      </c>
      <c r="G492" s="78">
        <v>56</v>
      </c>
      <c r="H492" s="62">
        <f>C490+I492</f>
        <v>64</v>
      </c>
      <c r="I492" s="20"/>
      <c r="J492" s="21"/>
      <c r="K492" s="57">
        <v>64</v>
      </c>
      <c r="L492" s="23">
        <f t="shared" si="68"/>
        <v>-72</v>
      </c>
      <c r="M492" s="23">
        <f t="shared" si="69"/>
        <v>-72</v>
      </c>
      <c r="N492" s="23"/>
      <c r="O492" s="23">
        <v>6</v>
      </c>
    </row>
    <row r="493" spans="1:17" hidden="1" outlineLevel="1">
      <c r="A493" s="96">
        <v>45589</v>
      </c>
      <c r="B493" s="17" t="s">
        <v>14</v>
      </c>
      <c r="C493" s="101">
        <v>72</v>
      </c>
      <c r="D493" s="100"/>
      <c r="E493" s="22">
        <f t="shared" si="67"/>
        <v>-1759</v>
      </c>
      <c r="G493" s="78">
        <v>80</v>
      </c>
      <c r="H493" s="62">
        <f>C491+I493</f>
        <v>64</v>
      </c>
      <c r="I493" s="20"/>
      <c r="J493" s="21"/>
      <c r="K493" s="57">
        <v>64</v>
      </c>
      <c r="L493" s="23">
        <f t="shared" si="68"/>
        <v>-88</v>
      </c>
      <c r="M493" s="23">
        <f t="shared" si="69"/>
        <v>-88</v>
      </c>
      <c r="N493" s="23"/>
      <c r="O493" s="23">
        <v>8</v>
      </c>
    </row>
    <row r="494" spans="1:17" hidden="1" outlineLevel="1">
      <c r="A494" s="96">
        <v>45590</v>
      </c>
      <c r="B494" s="17" t="s">
        <v>15</v>
      </c>
      <c r="C494" s="101">
        <v>72</v>
      </c>
      <c r="D494" s="100"/>
      <c r="E494" s="22">
        <f t="shared" si="67"/>
        <v>-1831</v>
      </c>
      <c r="G494" s="78">
        <v>56</v>
      </c>
      <c r="H494" s="62">
        <f>C492+I494</f>
        <v>72</v>
      </c>
      <c r="I494" s="20"/>
      <c r="J494" s="21"/>
      <c r="K494" s="57">
        <v>72</v>
      </c>
      <c r="L494" s="23">
        <f t="shared" si="68"/>
        <v>-72</v>
      </c>
      <c r="M494" s="23">
        <f t="shared" si="69"/>
        <v>-72</v>
      </c>
      <c r="N494" s="23"/>
      <c r="O494" s="23">
        <v>8</v>
      </c>
      <c r="Q494" s="1">
        <f>AVERAGE(G490:G494)</f>
        <v>67.2</v>
      </c>
    </row>
    <row r="495" spans="1:17" s="12" customFormat="1" hidden="1" outlineLevel="1">
      <c r="A495" s="95">
        <v>45591</v>
      </c>
      <c r="B495" s="25" t="s">
        <v>16</v>
      </c>
      <c r="C495" s="98"/>
      <c r="D495" s="99"/>
      <c r="E495" s="87">
        <f t="shared" si="67"/>
        <v>-1831</v>
      </c>
      <c r="G495" s="79"/>
      <c r="H495" s="63"/>
      <c r="I495" s="27"/>
      <c r="J495" s="28"/>
      <c r="K495" s="43"/>
      <c r="L495" s="29">
        <f t="shared" si="68"/>
        <v>-72</v>
      </c>
      <c r="M495" s="29">
        <f t="shared" si="69"/>
        <v>-72</v>
      </c>
      <c r="N495" s="29"/>
      <c r="O495" s="29"/>
    </row>
    <row r="496" spans="1:17" s="12" customFormat="1" hidden="1" outlineLevel="1" collapsed="1">
      <c r="A496" s="95">
        <v>45592</v>
      </c>
      <c r="B496" s="25" t="s">
        <v>17</v>
      </c>
      <c r="C496" s="98"/>
      <c r="D496" s="99"/>
      <c r="E496" s="87">
        <f t="shared" si="67"/>
        <v>-1831</v>
      </c>
      <c r="G496" s="79"/>
      <c r="H496" s="63"/>
      <c r="I496" s="27"/>
      <c r="J496" s="28"/>
      <c r="K496" s="43"/>
      <c r="L496" s="29">
        <f t="shared" si="68"/>
        <v>-72</v>
      </c>
      <c r="M496" s="29">
        <f t="shared" si="69"/>
        <v>-72</v>
      </c>
      <c r="N496" s="29"/>
      <c r="O496" s="29"/>
    </row>
    <row r="497" spans="1:17" hidden="1" outlineLevel="1">
      <c r="A497" s="96">
        <v>45593</v>
      </c>
      <c r="B497" s="17" t="s">
        <v>18</v>
      </c>
      <c r="C497" s="101">
        <v>72</v>
      </c>
      <c r="D497" s="100"/>
      <c r="E497" s="22">
        <f t="shared" si="67"/>
        <v>-1903</v>
      </c>
      <c r="G497" s="78">
        <v>80</v>
      </c>
      <c r="H497" s="62">
        <f>C493+I497</f>
        <v>72</v>
      </c>
      <c r="I497" s="20"/>
      <c r="J497" s="21"/>
      <c r="K497" s="57">
        <v>72</v>
      </c>
      <c r="L497" s="23">
        <f t="shared" si="68"/>
        <v>-80</v>
      </c>
      <c r="M497" s="23">
        <f t="shared" si="69"/>
        <v>-80</v>
      </c>
      <c r="N497" s="23"/>
      <c r="O497" s="23">
        <v>6</v>
      </c>
    </row>
    <row r="498" spans="1:17" hidden="1" outlineLevel="1">
      <c r="A498" s="96">
        <v>45594</v>
      </c>
      <c r="B498" s="17" t="s">
        <v>19</v>
      </c>
      <c r="C498" s="101">
        <v>72</v>
      </c>
      <c r="D498" s="100"/>
      <c r="E498" s="22">
        <f t="shared" si="67"/>
        <v>-1975</v>
      </c>
      <c r="G498" s="78">
        <v>64</v>
      </c>
      <c r="H498" s="62">
        <f>C494+I498</f>
        <v>72</v>
      </c>
      <c r="I498" s="20"/>
      <c r="J498" s="21"/>
      <c r="K498" s="57">
        <v>72</v>
      </c>
      <c r="L498" s="23">
        <f t="shared" si="68"/>
        <v>-72</v>
      </c>
      <c r="M498" s="23">
        <f t="shared" si="69"/>
        <v>-72</v>
      </c>
      <c r="N498" s="23"/>
      <c r="O498" s="23">
        <v>9</v>
      </c>
    </row>
    <row r="499" spans="1:17" hidden="1" outlineLevel="1">
      <c r="A499" s="96">
        <v>45595</v>
      </c>
      <c r="B499" s="17" t="s">
        <v>20</v>
      </c>
      <c r="C499" s="101">
        <v>72</v>
      </c>
      <c r="D499" s="100"/>
      <c r="E499" s="22">
        <f t="shared" si="67"/>
        <v>-2047</v>
      </c>
      <c r="G499" s="78">
        <v>64</v>
      </c>
      <c r="H499" s="62">
        <f>C497+I499</f>
        <v>72</v>
      </c>
      <c r="I499" s="20"/>
      <c r="J499" s="21"/>
      <c r="K499" s="57">
        <v>72</v>
      </c>
      <c r="L499" s="23">
        <f t="shared" si="68"/>
        <v>-64</v>
      </c>
      <c r="M499" s="23">
        <f t="shared" si="69"/>
        <v>-64</v>
      </c>
      <c r="N499" s="23"/>
      <c r="O499" s="23">
        <v>10</v>
      </c>
    </row>
    <row r="500" spans="1:17" hidden="1" outlineLevel="1">
      <c r="A500" s="96">
        <v>45596</v>
      </c>
      <c r="B500" s="17" t="s">
        <v>14</v>
      </c>
      <c r="C500" s="101">
        <v>72</v>
      </c>
      <c r="D500" s="100"/>
      <c r="E500" s="22">
        <f t="shared" si="67"/>
        <v>-2119</v>
      </c>
      <c r="G500" s="78">
        <v>72</v>
      </c>
      <c r="H500" s="62">
        <f>C498+I500</f>
        <v>72</v>
      </c>
      <c r="I500" s="20"/>
      <c r="J500" s="21"/>
      <c r="K500" s="57">
        <v>72</v>
      </c>
      <c r="L500" s="23">
        <f t="shared" si="68"/>
        <v>-64</v>
      </c>
      <c r="M500" s="23">
        <f t="shared" si="69"/>
        <v>-64</v>
      </c>
      <c r="N500" s="23"/>
      <c r="O500" s="23">
        <v>6</v>
      </c>
    </row>
    <row r="501" spans="1:17" hidden="1" outlineLevel="1">
      <c r="A501" s="96">
        <v>45597</v>
      </c>
      <c r="B501" s="17" t="s">
        <v>15</v>
      </c>
      <c r="C501" s="101">
        <v>72</v>
      </c>
      <c r="D501" s="100"/>
      <c r="E501" s="22">
        <f t="shared" si="67"/>
        <v>-2191</v>
      </c>
      <c r="G501" s="78">
        <v>32</v>
      </c>
      <c r="H501" s="62">
        <f>C499+I501</f>
        <v>72</v>
      </c>
      <c r="I501" s="20"/>
      <c r="J501" s="21"/>
      <c r="K501" s="57">
        <v>72</v>
      </c>
      <c r="L501" s="23">
        <f t="shared" ref="L501:L530" si="71">L500-G501+K501</f>
        <v>-24</v>
      </c>
      <c r="M501" s="23">
        <f t="shared" ref="M501:M530" si="72">M500-G501+H501</f>
        <v>-24</v>
      </c>
      <c r="N501" s="23"/>
      <c r="O501" s="23">
        <v>6</v>
      </c>
      <c r="Q501" s="1">
        <f>AVERAGE(G497:G501)</f>
        <v>62.4</v>
      </c>
    </row>
    <row r="502" spans="1:17" s="12" customFormat="1" hidden="1" outlineLevel="1">
      <c r="A502" s="95">
        <v>45598</v>
      </c>
      <c r="B502" s="25" t="s">
        <v>16</v>
      </c>
      <c r="C502" s="98"/>
      <c r="D502" s="99"/>
      <c r="E502" s="87">
        <f t="shared" si="67"/>
        <v>-2191</v>
      </c>
      <c r="G502" s="79"/>
      <c r="H502" s="63"/>
      <c r="I502" s="27"/>
      <c r="J502" s="28"/>
      <c r="K502" s="43"/>
      <c r="L502" s="29">
        <f t="shared" si="71"/>
        <v>-24</v>
      </c>
      <c r="M502" s="29">
        <f t="shared" si="72"/>
        <v>-24</v>
      </c>
      <c r="N502" s="29"/>
      <c r="O502" s="29"/>
    </row>
    <row r="503" spans="1:17" s="12" customFormat="1" hidden="1" outlineLevel="1">
      <c r="A503" s="95">
        <v>45599</v>
      </c>
      <c r="B503" s="25" t="s">
        <v>17</v>
      </c>
      <c r="C503" s="98"/>
      <c r="D503" s="99"/>
      <c r="E503" s="87">
        <f t="shared" si="67"/>
        <v>-2191</v>
      </c>
      <c r="G503" s="79"/>
      <c r="H503" s="63"/>
      <c r="I503" s="27"/>
      <c r="J503" s="28"/>
      <c r="K503" s="43"/>
      <c r="L503" s="29">
        <f t="shared" si="71"/>
        <v>-24</v>
      </c>
      <c r="M503" s="29">
        <f t="shared" si="72"/>
        <v>-24</v>
      </c>
      <c r="N503" s="29"/>
      <c r="O503" s="29"/>
    </row>
    <row r="504" spans="1:17" s="12" customFormat="1" hidden="1" outlineLevel="1" collapsed="1">
      <c r="A504" s="95">
        <v>45600</v>
      </c>
      <c r="B504" s="25" t="s">
        <v>18</v>
      </c>
      <c r="C504" s="98"/>
      <c r="D504" s="99"/>
      <c r="E504" s="87">
        <f t="shared" si="67"/>
        <v>-2191</v>
      </c>
      <c r="G504" s="79"/>
      <c r="H504" s="63"/>
      <c r="I504" s="27"/>
      <c r="J504" s="28"/>
      <c r="K504" s="43"/>
      <c r="L504" s="29">
        <f t="shared" si="71"/>
        <v>-24</v>
      </c>
      <c r="M504" s="29">
        <f t="shared" si="72"/>
        <v>-24</v>
      </c>
      <c r="N504" s="29"/>
      <c r="O504" s="29"/>
    </row>
    <row r="505" spans="1:17" hidden="1" outlineLevel="1">
      <c r="A505" s="96">
        <v>45601</v>
      </c>
      <c r="B505" s="17" t="s">
        <v>19</v>
      </c>
      <c r="C505" s="101">
        <v>72</v>
      </c>
      <c r="D505" s="100"/>
      <c r="E505" s="22">
        <f t="shared" si="67"/>
        <v>-2263</v>
      </c>
      <c r="G505" s="78">
        <v>129</v>
      </c>
      <c r="H505" s="62">
        <f>C500+I505</f>
        <v>73</v>
      </c>
      <c r="I505" s="20">
        <v>1</v>
      </c>
      <c r="J505" s="21"/>
      <c r="K505" s="57">
        <v>73</v>
      </c>
      <c r="L505" s="23">
        <f t="shared" si="71"/>
        <v>-80</v>
      </c>
      <c r="M505" s="23">
        <f t="shared" si="72"/>
        <v>-80</v>
      </c>
      <c r="N505" s="23"/>
      <c r="O505" s="23">
        <v>7</v>
      </c>
    </row>
    <row r="506" spans="1:17" hidden="1" outlineLevel="1">
      <c r="A506" s="96">
        <v>45602</v>
      </c>
      <c r="B506" s="17" t="s">
        <v>20</v>
      </c>
      <c r="C506" s="101">
        <v>72</v>
      </c>
      <c r="D506" s="100"/>
      <c r="E506" s="22">
        <f t="shared" si="67"/>
        <v>-2335</v>
      </c>
      <c r="G506" s="78">
        <v>64</v>
      </c>
      <c r="H506" s="62">
        <f>C501+I506</f>
        <v>72</v>
      </c>
      <c r="I506" s="20"/>
      <c r="J506" s="21"/>
      <c r="K506" s="57">
        <v>72</v>
      </c>
      <c r="L506" s="23">
        <f t="shared" si="71"/>
        <v>-72</v>
      </c>
      <c r="M506" s="23">
        <f t="shared" si="72"/>
        <v>-72</v>
      </c>
      <c r="N506" s="23"/>
      <c r="O506" s="23">
        <v>7</v>
      </c>
    </row>
    <row r="507" spans="1:17" hidden="1" outlineLevel="1">
      <c r="A507" s="96">
        <v>45603</v>
      </c>
      <c r="B507" s="17" t="s">
        <v>14</v>
      </c>
      <c r="C507" s="101">
        <v>64</v>
      </c>
      <c r="D507" s="100"/>
      <c r="E507" s="22">
        <f t="shared" si="67"/>
        <v>-2399</v>
      </c>
      <c r="G507" s="78">
        <v>72</v>
      </c>
      <c r="H507" s="62">
        <f>C505+I507</f>
        <v>72</v>
      </c>
      <c r="I507" s="20"/>
      <c r="J507" s="21"/>
      <c r="K507" s="57">
        <v>72</v>
      </c>
      <c r="L507" s="23">
        <f t="shared" si="71"/>
        <v>-72</v>
      </c>
      <c r="M507" s="23">
        <f t="shared" si="72"/>
        <v>-72</v>
      </c>
      <c r="N507" s="23"/>
      <c r="O507" s="23">
        <v>0</v>
      </c>
    </row>
    <row r="508" spans="1:17" hidden="1" outlineLevel="1">
      <c r="A508" s="96">
        <v>45604</v>
      </c>
      <c r="B508" s="17" t="s">
        <v>15</v>
      </c>
      <c r="C508" s="101">
        <v>64</v>
      </c>
      <c r="D508" s="100"/>
      <c r="E508" s="22">
        <f t="shared" si="67"/>
        <v>-2463</v>
      </c>
      <c r="G508" s="78">
        <v>0</v>
      </c>
      <c r="H508" s="62">
        <f>C506+I508</f>
        <v>72</v>
      </c>
      <c r="I508" s="20"/>
      <c r="J508" s="21"/>
      <c r="K508" s="57">
        <v>72</v>
      </c>
      <c r="L508" s="23">
        <f t="shared" si="71"/>
        <v>0</v>
      </c>
      <c r="M508" s="23">
        <f t="shared" si="72"/>
        <v>0</v>
      </c>
      <c r="N508" s="23"/>
      <c r="O508" s="23">
        <v>3</v>
      </c>
      <c r="Q508" s="1">
        <f>AVERAGE(G505:G508)</f>
        <v>66.25</v>
      </c>
    </row>
    <row r="509" spans="1:17" s="12" customFormat="1" hidden="1" outlineLevel="1">
      <c r="A509" s="95">
        <v>45605</v>
      </c>
      <c r="B509" s="25" t="s">
        <v>16</v>
      </c>
      <c r="C509" s="98"/>
      <c r="D509" s="99"/>
      <c r="E509" s="87">
        <f t="shared" si="67"/>
        <v>-2463</v>
      </c>
      <c r="G509" s="79"/>
      <c r="H509" s="63"/>
      <c r="I509" s="27"/>
      <c r="J509" s="28"/>
      <c r="K509" s="43"/>
      <c r="L509" s="29">
        <f t="shared" si="71"/>
        <v>0</v>
      </c>
      <c r="M509" s="29">
        <f t="shared" si="72"/>
        <v>0</v>
      </c>
      <c r="N509" s="29"/>
      <c r="O509" s="29"/>
    </row>
    <row r="510" spans="1:17" s="12" customFormat="1" hidden="1" outlineLevel="1" collapsed="1">
      <c r="A510" s="95">
        <v>45606</v>
      </c>
      <c r="B510" s="25" t="s">
        <v>17</v>
      </c>
      <c r="C510" s="98"/>
      <c r="D510" s="99"/>
      <c r="E510" s="87">
        <f t="shared" si="67"/>
        <v>-2463</v>
      </c>
      <c r="G510" s="79"/>
      <c r="H510" s="63"/>
      <c r="I510" s="27"/>
      <c r="J510" s="28"/>
      <c r="K510" s="43"/>
      <c r="L510" s="29">
        <f t="shared" si="71"/>
        <v>0</v>
      </c>
      <c r="M510" s="29">
        <f t="shared" si="72"/>
        <v>0</v>
      </c>
      <c r="N510" s="29"/>
      <c r="O510" s="29"/>
    </row>
    <row r="511" spans="1:17" hidden="1" outlineLevel="1">
      <c r="A511" s="96">
        <v>45607</v>
      </c>
      <c r="B511" s="17" t="s">
        <v>18</v>
      </c>
      <c r="C511" s="101">
        <v>64</v>
      </c>
      <c r="D511" s="100"/>
      <c r="E511" s="22">
        <f t="shared" si="67"/>
        <v>-2527</v>
      </c>
      <c r="G511" s="78">
        <f>64+9</f>
        <v>73</v>
      </c>
      <c r="H511" s="62">
        <f>C507+I511</f>
        <v>65</v>
      </c>
      <c r="I511" s="20">
        <v>1</v>
      </c>
      <c r="J511" s="21"/>
      <c r="K511" s="57">
        <v>65</v>
      </c>
      <c r="L511" s="23">
        <f t="shared" si="71"/>
        <v>-8</v>
      </c>
      <c r="M511" s="23">
        <f t="shared" si="72"/>
        <v>-8</v>
      </c>
      <c r="N511" s="23"/>
      <c r="O511" s="23">
        <v>10</v>
      </c>
    </row>
    <row r="512" spans="1:17" hidden="1" outlineLevel="1">
      <c r="A512" s="96">
        <v>45608</v>
      </c>
      <c r="B512" s="17" t="s">
        <v>19</v>
      </c>
      <c r="C512" s="101">
        <v>64</v>
      </c>
      <c r="D512" s="100"/>
      <c r="E512" s="22">
        <f t="shared" si="67"/>
        <v>-2591</v>
      </c>
      <c r="G512" s="78">
        <v>128</v>
      </c>
      <c r="H512" s="62">
        <f>C508+I512</f>
        <v>64</v>
      </c>
      <c r="I512" s="20"/>
      <c r="J512" s="21"/>
      <c r="K512" s="57">
        <v>64</v>
      </c>
      <c r="L512" s="23">
        <f t="shared" si="71"/>
        <v>-72</v>
      </c>
      <c r="M512" s="23">
        <f t="shared" si="72"/>
        <v>-72</v>
      </c>
      <c r="N512" s="23"/>
      <c r="O512" s="23">
        <v>8</v>
      </c>
    </row>
    <row r="513" spans="1:17" hidden="1" outlineLevel="1">
      <c r="A513" s="96">
        <v>45609</v>
      </c>
      <c r="B513" s="17" t="s">
        <v>20</v>
      </c>
      <c r="C513" s="101">
        <v>64</v>
      </c>
      <c r="D513" s="100"/>
      <c r="E513" s="22">
        <f t="shared" si="67"/>
        <v>-2655</v>
      </c>
      <c r="G513" s="78">
        <v>64</v>
      </c>
      <c r="H513" s="62">
        <f>C511+I513</f>
        <v>64</v>
      </c>
      <c r="I513" s="20"/>
      <c r="J513" s="21"/>
      <c r="K513" s="57">
        <v>64</v>
      </c>
      <c r="L513" s="23">
        <f t="shared" si="71"/>
        <v>-72</v>
      </c>
      <c r="M513" s="23">
        <f t="shared" si="72"/>
        <v>-72</v>
      </c>
      <c r="N513" s="23"/>
      <c r="O513" s="23">
        <v>1</v>
      </c>
    </row>
    <row r="514" spans="1:17" hidden="1" outlineLevel="1">
      <c r="A514" s="96">
        <v>45610</v>
      </c>
      <c r="B514" s="17" t="s">
        <v>14</v>
      </c>
      <c r="C514" s="101">
        <v>64</v>
      </c>
      <c r="D514" s="100"/>
      <c r="E514" s="22">
        <f t="shared" si="67"/>
        <v>-2719</v>
      </c>
      <c r="G514" s="78">
        <v>0</v>
      </c>
      <c r="H514" s="62">
        <f>C512+I514</f>
        <v>64</v>
      </c>
      <c r="I514" s="20"/>
      <c r="J514" s="21"/>
      <c r="K514" s="57">
        <v>64</v>
      </c>
      <c r="L514" s="23">
        <f t="shared" si="71"/>
        <v>-8</v>
      </c>
      <c r="M514" s="23">
        <f t="shared" si="72"/>
        <v>-8</v>
      </c>
      <c r="N514" s="23"/>
      <c r="O514" s="23">
        <v>6</v>
      </c>
    </row>
    <row r="515" spans="1:17" hidden="1" outlineLevel="1">
      <c r="A515" s="96">
        <v>45611</v>
      </c>
      <c r="B515" s="17" t="s">
        <v>15</v>
      </c>
      <c r="C515" s="101">
        <v>64</v>
      </c>
      <c r="D515" s="100"/>
      <c r="E515" s="22">
        <f t="shared" si="67"/>
        <v>-2783</v>
      </c>
      <c r="G515" s="78">
        <v>56</v>
      </c>
      <c r="H515" s="62">
        <f>C513+I515</f>
        <v>64</v>
      </c>
      <c r="I515" s="20"/>
      <c r="J515" s="21"/>
      <c r="K515" s="57">
        <v>64</v>
      </c>
      <c r="L515" s="23">
        <f t="shared" si="71"/>
        <v>0</v>
      </c>
      <c r="M515" s="23">
        <f t="shared" si="72"/>
        <v>0</v>
      </c>
      <c r="N515" s="23"/>
      <c r="O515" s="23">
        <v>8</v>
      </c>
      <c r="Q515" s="1">
        <f>AVERAGE(G511:G515)</f>
        <v>64.2</v>
      </c>
    </row>
    <row r="516" spans="1:17" s="12" customFormat="1" hidden="1" outlineLevel="1">
      <c r="A516" s="95">
        <v>45612</v>
      </c>
      <c r="B516" s="25" t="s">
        <v>16</v>
      </c>
      <c r="C516" s="98"/>
      <c r="D516" s="99"/>
      <c r="E516" s="87">
        <f t="shared" si="67"/>
        <v>-2783</v>
      </c>
      <c r="G516" s="79"/>
      <c r="H516" s="63"/>
      <c r="I516" s="27"/>
      <c r="J516" s="28"/>
      <c r="K516" s="43"/>
      <c r="L516" s="29">
        <f t="shared" si="71"/>
        <v>0</v>
      </c>
      <c r="M516" s="29">
        <f t="shared" si="72"/>
        <v>0</v>
      </c>
      <c r="N516" s="29"/>
      <c r="O516" s="29"/>
    </row>
    <row r="517" spans="1:17" s="12" customFormat="1" hidden="1" outlineLevel="1" collapsed="1">
      <c r="A517" s="95">
        <v>45613</v>
      </c>
      <c r="B517" s="25" t="s">
        <v>17</v>
      </c>
      <c r="C517" s="98"/>
      <c r="D517" s="99"/>
      <c r="E517" s="87">
        <f t="shared" si="67"/>
        <v>-2783</v>
      </c>
      <c r="G517" s="79"/>
      <c r="H517" s="63"/>
      <c r="I517" s="27"/>
      <c r="J517" s="28"/>
      <c r="K517" s="43"/>
      <c r="L517" s="29">
        <f t="shared" si="71"/>
        <v>0</v>
      </c>
      <c r="M517" s="29">
        <f t="shared" si="72"/>
        <v>0</v>
      </c>
      <c r="N517" s="29"/>
      <c r="O517" s="29"/>
    </row>
    <row r="518" spans="1:17" hidden="1" outlineLevel="1">
      <c r="A518" s="96">
        <v>45614</v>
      </c>
      <c r="B518" s="17" t="s">
        <v>18</v>
      </c>
      <c r="C518" s="101">
        <v>56</v>
      </c>
      <c r="D518" s="100"/>
      <c r="E518" s="22">
        <f t="shared" si="67"/>
        <v>-2839</v>
      </c>
      <c r="G518" s="78">
        <v>64</v>
      </c>
      <c r="H518" s="62">
        <f>C514+I518</f>
        <v>64</v>
      </c>
      <c r="I518" s="20"/>
      <c r="J518" s="21"/>
      <c r="K518" s="57">
        <v>64</v>
      </c>
      <c r="L518" s="23">
        <f t="shared" si="71"/>
        <v>0</v>
      </c>
      <c r="M518" s="23">
        <f t="shared" si="72"/>
        <v>0</v>
      </c>
      <c r="N518" s="23"/>
      <c r="O518" s="23">
        <v>0</v>
      </c>
    </row>
    <row r="519" spans="1:17" hidden="1" outlineLevel="1">
      <c r="A519" s="96">
        <v>45615</v>
      </c>
      <c r="B519" s="17" t="s">
        <v>19</v>
      </c>
      <c r="C519" s="101">
        <v>56</v>
      </c>
      <c r="D519" s="100"/>
      <c r="E519" s="22">
        <f t="shared" si="67"/>
        <v>-2895</v>
      </c>
      <c r="G519" s="78">
        <v>64</v>
      </c>
      <c r="H519" s="62">
        <f>C515+I519</f>
        <v>64</v>
      </c>
      <c r="I519" s="20"/>
      <c r="J519" s="21"/>
      <c r="K519" s="57">
        <v>64</v>
      </c>
      <c r="L519" s="23">
        <f t="shared" si="71"/>
        <v>0</v>
      </c>
      <c r="M519" s="23">
        <f t="shared" si="72"/>
        <v>0</v>
      </c>
      <c r="N519" s="23"/>
      <c r="O519" s="23">
        <v>10</v>
      </c>
    </row>
    <row r="520" spans="1:17" hidden="1" outlineLevel="1">
      <c r="A520" s="96">
        <v>45616</v>
      </c>
      <c r="B520" s="17" t="s">
        <v>20</v>
      </c>
      <c r="C520" s="101">
        <v>56</v>
      </c>
      <c r="D520" s="100"/>
      <c r="E520" s="22">
        <f t="shared" si="67"/>
        <v>-2951</v>
      </c>
      <c r="G520" s="78">
        <v>48</v>
      </c>
      <c r="H520" s="62">
        <f>C518+I520</f>
        <v>56</v>
      </c>
      <c r="I520" s="20"/>
      <c r="J520" s="21"/>
      <c r="K520" s="57">
        <v>56</v>
      </c>
      <c r="L520" s="23">
        <f t="shared" si="71"/>
        <v>8</v>
      </c>
      <c r="M520" s="23">
        <f t="shared" si="72"/>
        <v>8</v>
      </c>
      <c r="N520" s="23"/>
      <c r="O520" s="23">
        <v>8</v>
      </c>
    </row>
    <row r="521" spans="1:17" hidden="1" outlineLevel="1">
      <c r="A521" s="96">
        <v>45617</v>
      </c>
      <c r="B521" s="17" t="s">
        <v>14</v>
      </c>
      <c r="C521" s="101">
        <v>64</v>
      </c>
      <c r="D521" s="100"/>
      <c r="E521" s="22">
        <f t="shared" si="67"/>
        <v>-3015</v>
      </c>
      <c r="G521" s="78">
        <v>88</v>
      </c>
      <c r="H521" s="62">
        <f>C519+I521</f>
        <v>56</v>
      </c>
      <c r="I521" s="20"/>
      <c r="J521" s="21"/>
      <c r="K521" s="57">
        <v>56</v>
      </c>
      <c r="L521" s="23">
        <f t="shared" si="71"/>
        <v>-24</v>
      </c>
      <c r="M521" s="23">
        <f t="shared" si="72"/>
        <v>-24</v>
      </c>
      <c r="N521" s="23"/>
      <c r="O521" s="23">
        <v>4</v>
      </c>
    </row>
    <row r="522" spans="1:17" hidden="1" outlineLevel="1">
      <c r="A522" s="96">
        <v>45618</v>
      </c>
      <c r="B522" s="17" t="s">
        <v>15</v>
      </c>
      <c r="C522" s="101">
        <v>64</v>
      </c>
      <c r="D522" s="100"/>
      <c r="E522" s="22">
        <f t="shared" si="67"/>
        <v>-3079</v>
      </c>
      <c r="G522" s="78">
        <v>80</v>
      </c>
      <c r="H522" s="62">
        <f>C520+I522</f>
        <v>56</v>
      </c>
      <c r="I522" s="20"/>
      <c r="J522" s="21"/>
      <c r="K522" s="57">
        <v>56</v>
      </c>
      <c r="L522" s="23">
        <f t="shared" si="71"/>
        <v>-48</v>
      </c>
      <c r="M522" s="23">
        <f t="shared" si="72"/>
        <v>-48</v>
      </c>
      <c r="N522" s="23"/>
      <c r="O522" s="23">
        <v>8</v>
      </c>
      <c r="Q522" s="1">
        <f>AVERAGE(G518:G522)</f>
        <v>68.8</v>
      </c>
    </row>
    <row r="523" spans="1:17" s="12" customFormat="1" hidden="1" outlineLevel="1">
      <c r="A523" s="95">
        <v>45619</v>
      </c>
      <c r="B523" s="25" t="s">
        <v>16</v>
      </c>
      <c r="C523" s="98"/>
      <c r="D523" s="99"/>
      <c r="E523" s="87">
        <f t="shared" si="67"/>
        <v>-3079</v>
      </c>
      <c r="G523" s="79"/>
      <c r="H523" s="63"/>
      <c r="I523" s="27"/>
      <c r="J523" s="28"/>
      <c r="K523" s="43"/>
      <c r="L523" s="29">
        <f t="shared" si="71"/>
        <v>-48</v>
      </c>
      <c r="M523" s="29">
        <f t="shared" si="72"/>
        <v>-48</v>
      </c>
      <c r="N523" s="29"/>
      <c r="O523" s="29"/>
    </row>
    <row r="524" spans="1:17" s="12" customFormat="1" hidden="1" outlineLevel="1" collapsed="1">
      <c r="A524" s="95">
        <v>45620</v>
      </c>
      <c r="B524" s="25" t="s">
        <v>17</v>
      </c>
      <c r="C524" s="98"/>
      <c r="D524" s="99"/>
      <c r="E524" s="87">
        <f t="shared" si="67"/>
        <v>-3079</v>
      </c>
      <c r="G524" s="79"/>
      <c r="H524" s="63"/>
      <c r="I524" s="27"/>
      <c r="J524" s="28"/>
      <c r="K524" s="43"/>
      <c r="L524" s="29">
        <f t="shared" si="71"/>
        <v>-48</v>
      </c>
      <c r="M524" s="29">
        <f t="shared" si="72"/>
        <v>-48</v>
      </c>
      <c r="N524" s="29"/>
      <c r="O524" s="29"/>
    </row>
    <row r="525" spans="1:17" hidden="1" outlineLevel="1">
      <c r="A525" s="96">
        <v>45621</v>
      </c>
      <c r="B525" s="17" t="s">
        <v>18</v>
      </c>
      <c r="C525" s="101">
        <v>72</v>
      </c>
      <c r="D525" s="100"/>
      <c r="E525" s="22">
        <f t="shared" si="67"/>
        <v>-3151</v>
      </c>
      <c r="G525" s="78">
        <v>64</v>
      </c>
      <c r="H525" s="62">
        <f>C521+I525</f>
        <v>64</v>
      </c>
      <c r="I525" s="20"/>
      <c r="J525" s="21"/>
      <c r="K525" s="57">
        <v>64</v>
      </c>
      <c r="L525" s="23">
        <f t="shared" si="71"/>
        <v>-48</v>
      </c>
      <c r="M525" s="23">
        <f t="shared" si="72"/>
        <v>-48</v>
      </c>
      <c r="N525" s="23"/>
      <c r="O525" s="23">
        <v>12</v>
      </c>
    </row>
    <row r="526" spans="1:17" hidden="1" outlineLevel="1">
      <c r="A526" s="232">
        <v>45622</v>
      </c>
      <c r="B526" s="233" t="s">
        <v>19</v>
      </c>
      <c r="C526" s="234"/>
      <c r="D526" s="235"/>
      <c r="E526" s="236">
        <f t="shared" ref="E526:E589" si="73">E525-C526+D526</f>
        <v>-3151</v>
      </c>
      <c r="G526" s="78">
        <v>88</v>
      </c>
      <c r="H526" s="62">
        <f>C522+I526</f>
        <v>64</v>
      </c>
      <c r="I526" s="20"/>
      <c r="J526" s="21"/>
      <c r="K526" s="57">
        <v>64</v>
      </c>
      <c r="L526" s="23">
        <f t="shared" si="71"/>
        <v>-72</v>
      </c>
      <c r="M526" s="23">
        <f t="shared" si="72"/>
        <v>-72</v>
      </c>
      <c r="N526" s="23"/>
      <c r="O526" s="23">
        <v>16</v>
      </c>
    </row>
    <row r="527" spans="1:17" hidden="1" outlineLevel="1">
      <c r="A527" s="232">
        <v>45623</v>
      </c>
      <c r="B527" s="233" t="s">
        <v>20</v>
      </c>
      <c r="C527" s="234"/>
      <c r="D527" s="235"/>
      <c r="E527" s="236">
        <f t="shared" si="73"/>
        <v>-3151</v>
      </c>
      <c r="G527" s="78">
        <v>64</v>
      </c>
      <c r="H527" s="62">
        <f>C525+I527</f>
        <v>72</v>
      </c>
      <c r="I527" s="20"/>
      <c r="J527" s="21"/>
      <c r="K527" s="57">
        <v>72</v>
      </c>
      <c r="L527" s="23">
        <f t="shared" si="71"/>
        <v>-64</v>
      </c>
      <c r="M527" s="23">
        <f t="shared" si="72"/>
        <v>-64</v>
      </c>
      <c r="N527" s="23"/>
      <c r="O527" s="23">
        <v>9</v>
      </c>
    </row>
    <row r="528" spans="1:17" hidden="1" outlineLevel="1">
      <c r="A528" s="96">
        <v>45624</v>
      </c>
      <c r="B528" s="17" t="s">
        <v>14</v>
      </c>
      <c r="C528" s="101">
        <v>72</v>
      </c>
      <c r="D528" s="100"/>
      <c r="E528" s="22">
        <f t="shared" si="73"/>
        <v>-3223</v>
      </c>
      <c r="G528" s="274"/>
      <c r="H528" s="246">
        <f>C526+I528</f>
        <v>0</v>
      </c>
      <c r="I528" s="247"/>
      <c r="J528" s="243"/>
      <c r="K528" s="248"/>
      <c r="L528" s="240">
        <f t="shared" si="71"/>
        <v>-64</v>
      </c>
      <c r="M528" s="240">
        <f t="shared" si="72"/>
        <v>-64</v>
      </c>
      <c r="N528" s="240"/>
      <c r="O528" s="240"/>
    </row>
    <row r="529" spans="1:17" hidden="1" outlineLevel="1">
      <c r="A529" s="96">
        <v>45625</v>
      </c>
      <c r="B529" s="17" t="s">
        <v>15</v>
      </c>
      <c r="C529" s="101">
        <v>72</v>
      </c>
      <c r="D529" s="100"/>
      <c r="E529" s="22">
        <f t="shared" si="73"/>
        <v>-3295</v>
      </c>
      <c r="G529" s="274"/>
      <c r="H529" s="246">
        <f>C527+I529</f>
        <v>0</v>
      </c>
      <c r="I529" s="247"/>
      <c r="J529" s="243"/>
      <c r="K529" s="248"/>
      <c r="L529" s="240">
        <f t="shared" si="71"/>
        <v>-64</v>
      </c>
      <c r="M529" s="240">
        <f t="shared" si="72"/>
        <v>-64</v>
      </c>
      <c r="N529" s="240"/>
      <c r="O529" s="240"/>
      <c r="Q529" s="1">
        <f>AVERAGE(G525:G529)</f>
        <v>72</v>
      </c>
    </row>
    <row r="530" spans="1:17" s="12" customFormat="1" hidden="1" outlineLevel="1">
      <c r="A530" s="95">
        <v>45626</v>
      </c>
      <c r="B530" s="25" t="s">
        <v>16</v>
      </c>
      <c r="C530" s="98"/>
      <c r="D530" s="99"/>
      <c r="E530" s="87">
        <f t="shared" si="73"/>
        <v>-3295</v>
      </c>
      <c r="G530" s="79"/>
      <c r="H530" s="63"/>
      <c r="I530" s="27"/>
      <c r="J530" s="28"/>
      <c r="K530" s="43"/>
      <c r="L530" s="29">
        <f t="shared" si="71"/>
        <v>-64</v>
      </c>
      <c r="M530" s="29">
        <f t="shared" si="72"/>
        <v>-64</v>
      </c>
      <c r="N530" s="29"/>
      <c r="O530" s="29"/>
    </row>
    <row r="531" spans="1:17" s="12" customFormat="1" hidden="1" outlineLevel="1" collapsed="1">
      <c r="A531" s="95">
        <v>45627</v>
      </c>
      <c r="B531" s="25" t="s">
        <v>17</v>
      </c>
      <c r="C531" s="98"/>
      <c r="D531" s="99"/>
      <c r="E531" s="87">
        <f t="shared" si="73"/>
        <v>-3295</v>
      </c>
      <c r="G531" s="79"/>
      <c r="H531" s="63"/>
      <c r="I531" s="27"/>
      <c r="J531" s="28"/>
      <c r="K531" s="43"/>
      <c r="L531" s="29">
        <f t="shared" ref="L531:L561" si="74">L530-G531+K531</f>
        <v>-64</v>
      </c>
      <c r="M531" s="29">
        <f t="shared" ref="M531:M561" si="75">M530-G531+H531</f>
        <v>-64</v>
      </c>
      <c r="N531" s="29"/>
      <c r="O531" s="29"/>
    </row>
    <row r="532" spans="1:17" hidden="1" outlineLevel="1">
      <c r="A532" s="96">
        <v>45628</v>
      </c>
      <c r="B532" s="17" t="s">
        <v>18</v>
      </c>
      <c r="C532" s="101">
        <v>72</v>
      </c>
      <c r="D532" s="100"/>
      <c r="E532" s="22">
        <f t="shared" si="73"/>
        <v>-3367</v>
      </c>
      <c r="G532" s="78">
        <v>72</v>
      </c>
      <c r="H532" s="62">
        <f>C528+I532</f>
        <v>72</v>
      </c>
      <c r="I532" s="20"/>
      <c r="J532" s="21"/>
      <c r="K532" s="57">
        <v>72</v>
      </c>
      <c r="L532" s="23">
        <f t="shared" si="74"/>
        <v>-64</v>
      </c>
      <c r="M532" s="23">
        <f t="shared" si="75"/>
        <v>-64</v>
      </c>
      <c r="N532" s="23"/>
      <c r="O532" s="23">
        <v>6</v>
      </c>
    </row>
    <row r="533" spans="1:17" hidden="1" outlineLevel="1">
      <c r="A533" s="96">
        <v>45629</v>
      </c>
      <c r="B533" s="17" t="s">
        <v>19</v>
      </c>
      <c r="C533" s="101">
        <v>72</v>
      </c>
      <c r="D533" s="100"/>
      <c r="E533" s="22">
        <f t="shared" si="73"/>
        <v>-3439</v>
      </c>
      <c r="G533" s="78">
        <v>56</v>
      </c>
      <c r="H533" s="62">
        <f>C529+I533</f>
        <v>72</v>
      </c>
      <c r="I533" s="20"/>
      <c r="J533" s="21"/>
      <c r="K533" s="57">
        <v>72</v>
      </c>
      <c r="L533" s="23">
        <f t="shared" si="74"/>
        <v>-48</v>
      </c>
      <c r="M533" s="23">
        <f t="shared" si="75"/>
        <v>-48</v>
      </c>
      <c r="N533" s="23"/>
      <c r="O533" s="23">
        <v>7</v>
      </c>
    </row>
    <row r="534" spans="1:17" hidden="1" outlineLevel="1">
      <c r="A534" s="96">
        <v>45630</v>
      </c>
      <c r="B534" s="17" t="s">
        <v>20</v>
      </c>
      <c r="C534" s="101">
        <v>72</v>
      </c>
      <c r="D534" s="100"/>
      <c r="E534" s="22">
        <f t="shared" si="73"/>
        <v>-3511</v>
      </c>
      <c r="G534" s="78">
        <v>64</v>
      </c>
      <c r="H534" s="62">
        <f>C532+I534</f>
        <v>72</v>
      </c>
      <c r="I534" s="20"/>
      <c r="J534" s="21"/>
      <c r="K534" s="57">
        <v>72</v>
      </c>
      <c r="L534" s="23">
        <f t="shared" si="74"/>
        <v>-40</v>
      </c>
      <c r="M534" s="23">
        <f t="shared" si="75"/>
        <v>-40</v>
      </c>
      <c r="N534" s="23"/>
      <c r="O534" s="23">
        <v>9</v>
      </c>
    </row>
    <row r="535" spans="1:17" hidden="1" outlineLevel="1">
      <c r="A535" s="96">
        <v>45631</v>
      </c>
      <c r="B535" s="17" t="s">
        <v>14</v>
      </c>
      <c r="C535" s="101">
        <v>72</v>
      </c>
      <c r="D535" s="100"/>
      <c r="E535" s="22">
        <f t="shared" si="73"/>
        <v>-3583</v>
      </c>
      <c r="G535" s="78">
        <v>64</v>
      </c>
      <c r="H535" s="62">
        <f>C533+I535</f>
        <v>72</v>
      </c>
      <c r="I535" s="20"/>
      <c r="J535" s="21"/>
      <c r="K535" s="57">
        <v>72</v>
      </c>
      <c r="L535" s="23">
        <f t="shared" si="74"/>
        <v>-32</v>
      </c>
      <c r="M535" s="23">
        <f t="shared" si="75"/>
        <v>-32</v>
      </c>
      <c r="N535" s="23"/>
      <c r="O535" s="23">
        <v>6</v>
      </c>
    </row>
    <row r="536" spans="1:17" hidden="1" outlineLevel="1">
      <c r="A536" s="96">
        <v>45632</v>
      </c>
      <c r="B536" s="17" t="s">
        <v>15</v>
      </c>
      <c r="C536" s="101">
        <v>72</v>
      </c>
      <c r="D536" s="100"/>
      <c r="E536" s="22">
        <f t="shared" si="73"/>
        <v>-3655</v>
      </c>
      <c r="G536" s="78">
        <v>72</v>
      </c>
      <c r="H536" s="62">
        <f>C534+I536</f>
        <v>72</v>
      </c>
      <c r="I536" s="20"/>
      <c r="J536" s="21"/>
      <c r="K536" s="57">
        <v>72</v>
      </c>
      <c r="L536" s="23">
        <f t="shared" si="74"/>
        <v>-32</v>
      </c>
      <c r="M536" s="23">
        <f t="shared" si="75"/>
        <v>-32</v>
      </c>
      <c r="N536" s="23"/>
      <c r="O536" s="23">
        <v>10</v>
      </c>
      <c r="Q536" s="1">
        <f>AVERAGE(G532:G536)</f>
        <v>65.599999999999994</v>
      </c>
    </row>
    <row r="537" spans="1:17" s="12" customFormat="1" hidden="1" outlineLevel="1">
      <c r="A537" s="95">
        <v>45633</v>
      </c>
      <c r="B537" s="25" t="s">
        <v>16</v>
      </c>
      <c r="C537" s="98"/>
      <c r="D537" s="99"/>
      <c r="E537" s="87">
        <f t="shared" si="73"/>
        <v>-3655</v>
      </c>
      <c r="G537" s="79"/>
      <c r="H537" s="63"/>
      <c r="I537" s="27"/>
      <c r="J537" s="28"/>
      <c r="K537" s="43"/>
      <c r="L537" s="29">
        <f t="shared" si="74"/>
        <v>-32</v>
      </c>
      <c r="M537" s="29">
        <f t="shared" si="75"/>
        <v>-32</v>
      </c>
      <c r="N537" s="29"/>
      <c r="O537" s="29"/>
    </row>
    <row r="538" spans="1:17" s="12" customFormat="1" hidden="1" outlineLevel="1">
      <c r="A538" s="95">
        <v>45634</v>
      </c>
      <c r="B538" s="25" t="s">
        <v>17</v>
      </c>
      <c r="C538" s="98"/>
      <c r="D538" s="99"/>
      <c r="E538" s="87">
        <f t="shared" si="73"/>
        <v>-3655</v>
      </c>
      <c r="G538" s="79"/>
      <c r="H538" s="63"/>
      <c r="I538" s="27"/>
      <c r="J538" s="28"/>
      <c r="K538" s="43"/>
      <c r="L538" s="29">
        <f t="shared" si="74"/>
        <v>-32</v>
      </c>
      <c r="M538" s="29">
        <f t="shared" si="75"/>
        <v>-32</v>
      </c>
      <c r="N538" s="29"/>
      <c r="O538" s="29"/>
    </row>
    <row r="539" spans="1:17" hidden="1" outlineLevel="1">
      <c r="A539" s="96">
        <v>45635</v>
      </c>
      <c r="B539" s="17" t="s">
        <v>18</v>
      </c>
      <c r="C539" s="101">
        <v>72</v>
      </c>
      <c r="D539" s="100"/>
      <c r="E539" s="22">
        <f t="shared" si="73"/>
        <v>-3727</v>
      </c>
      <c r="G539" s="78">
        <v>64</v>
      </c>
      <c r="H539" s="62">
        <f>C535+I539</f>
        <v>72</v>
      </c>
      <c r="I539" s="20"/>
      <c r="J539" s="21"/>
      <c r="K539" s="57">
        <v>72</v>
      </c>
      <c r="L539" s="23">
        <f t="shared" si="74"/>
        <v>-24</v>
      </c>
      <c r="M539" s="23">
        <f t="shared" si="75"/>
        <v>-24</v>
      </c>
      <c r="N539" s="23"/>
      <c r="O539" s="23">
        <v>8</v>
      </c>
    </row>
    <row r="540" spans="1:17" hidden="1" outlineLevel="1">
      <c r="A540" s="96">
        <v>45636</v>
      </c>
      <c r="B540" s="17" t="s">
        <v>19</v>
      </c>
      <c r="C540" s="101">
        <v>72</v>
      </c>
      <c r="D540" s="100"/>
      <c r="E540" s="22">
        <f t="shared" si="73"/>
        <v>-3799</v>
      </c>
      <c r="G540" s="78">
        <v>72</v>
      </c>
      <c r="H540" s="62">
        <f>C536+I540</f>
        <v>72</v>
      </c>
      <c r="I540" s="20"/>
      <c r="J540" s="21"/>
      <c r="K540" s="57">
        <v>72</v>
      </c>
      <c r="L540" s="23">
        <f t="shared" si="74"/>
        <v>-24</v>
      </c>
      <c r="M540" s="23">
        <f t="shared" si="75"/>
        <v>-24</v>
      </c>
      <c r="N540" s="23"/>
      <c r="O540" s="23">
        <v>8</v>
      </c>
    </row>
    <row r="541" spans="1:17" hidden="1" outlineLevel="1">
      <c r="A541" s="96">
        <v>45637</v>
      </c>
      <c r="B541" s="17" t="s">
        <v>20</v>
      </c>
      <c r="C541" s="101">
        <v>72</v>
      </c>
      <c r="D541" s="100"/>
      <c r="E541" s="22">
        <f t="shared" si="73"/>
        <v>-3871</v>
      </c>
      <c r="G541" s="78">
        <v>64</v>
      </c>
      <c r="H541" s="62">
        <f>C539+I541</f>
        <v>72</v>
      </c>
      <c r="I541" s="20"/>
      <c r="J541" s="21"/>
      <c r="K541" s="57">
        <v>72</v>
      </c>
      <c r="L541" s="23">
        <f t="shared" si="74"/>
        <v>-16</v>
      </c>
      <c r="M541" s="23">
        <f t="shared" si="75"/>
        <v>-16</v>
      </c>
      <c r="N541" s="23"/>
      <c r="O541" s="23">
        <v>6</v>
      </c>
    </row>
    <row r="542" spans="1:17" hidden="1" outlineLevel="1">
      <c r="A542" s="96">
        <v>45638</v>
      </c>
      <c r="B542" s="17" t="s">
        <v>14</v>
      </c>
      <c r="C542" s="101">
        <v>72</v>
      </c>
      <c r="D542" s="100"/>
      <c r="E542" s="22">
        <f t="shared" si="73"/>
        <v>-3943</v>
      </c>
      <c r="G542" s="78">
        <v>64</v>
      </c>
      <c r="H542" s="62">
        <f>C540+I542</f>
        <v>72</v>
      </c>
      <c r="I542" s="20"/>
      <c r="J542" s="21"/>
      <c r="K542" s="57">
        <v>72</v>
      </c>
      <c r="L542" s="23">
        <f t="shared" si="74"/>
        <v>-8</v>
      </c>
      <c r="M542" s="23">
        <f t="shared" si="75"/>
        <v>-8</v>
      </c>
      <c r="N542" s="23"/>
      <c r="O542" s="23">
        <v>8</v>
      </c>
    </row>
    <row r="543" spans="1:17" hidden="1" outlineLevel="1">
      <c r="A543" s="96">
        <v>45639</v>
      </c>
      <c r="B543" s="17" t="s">
        <v>15</v>
      </c>
      <c r="C543" s="101">
        <v>72</v>
      </c>
      <c r="D543" s="100"/>
      <c r="E543" s="22">
        <f t="shared" si="73"/>
        <v>-4015</v>
      </c>
      <c r="G543" s="78">
        <v>64</v>
      </c>
      <c r="H543" s="62">
        <f>C541+I543</f>
        <v>80</v>
      </c>
      <c r="I543" s="20">
        <v>8</v>
      </c>
      <c r="J543" s="21"/>
      <c r="K543" s="57">
        <v>80</v>
      </c>
      <c r="L543" s="23">
        <f t="shared" si="74"/>
        <v>8</v>
      </c>
      <c r="M543" s="23">
        <f t="shared" si="75"/>
        <v>8</v>
      </c>
      <c r="N543" s="23"/>
      <c r="O543" s="23">
        <v>9</v>
      </c>
      <c r="Q543" s="1">
        <f>AVERAGE(G539:G543)</f>
        <v>65.599999999999994</v>
      </c>
    </row>
    <row r="544" spans="1:17" s="12" customFormat="1" hidden="1" outlineLevel="1">
      <c r="A544" s="95">
        <v>45640</v>
      </c>
      <c r="B544" s="25" t="s">
        <v>16</v>
      </c>
      <c r="C544" s="98"/>
      <c r="D544" s="99"/>
      <c r="E544" s="87">
        <f t="shared" si="73"/>
        <v>-4015</v>
      </c>
      <c r="G544" s="79"/>
      <c r="H544" s="63"/>
      <c r="I544" s="27"/>
      <c r="J544" s="28"/>
      <c r="K544" s="43"/>
      <c r="L544" s="29">
        <f t="shared" si="74"/>
        <v>8</v>
      </c>
      <c r="M544" s="29">
        <f t="shared" si="75"/>
        <v>8</v>
      </c>
      <c r="N544" s="29"/>
      <c r="O544" s="29"/>
    </row>
    <row r="545" spans="1:17" s="12" customFormat="1" hidden="1" outlineLevel="1" collapsed="1">
      <c r="A545" s="95">
        <v>45641</v>
      </c>
      <c r="B545" s="25" t="s">
        <v>17</v>
      </c>
      <c r="C545" s="98"/>
      <c r="D545" s="99"/>
      <c r="E545" s="87">
        <f t="shared" si="73"/>
        <v>-4015</v>
      </c>
      <c r="G545" s="79"/>
      <c r="H545" s="63"/>
      <c r="I545" s="27"/>
      <c r="J545" s="28"/>
      <c r="K545" s="43"/>
      <c r="L545" s="29">
        <f t="shared" si="74"/>
        <v>8</v>
      </c>
      <c r="M545" s="29">
        <f t="shared" si="75"/>
        <v>8</v>
      </c>
      <c r="N545" s="29"/>
      <c r="O545" s="29"/>
    </row>
    <row r="546" spans="1:17" hidden="1" outlineLevel="1">
      <c r="A546" s="96">
        <v>45642</v>
      </c>
      <c r="B546" s="17" t="s">
        <v>18</v>
      </c>
      <c r="C546" s="101">
        <v>72</v>
      </c>
      <c r="D546" s="100"/>
      <c r="E546" s="22">
        <f t="shared" si="73"/>
        <v>-4087</v>
      </c>
      <c r="G546" s="78">
        <v>64</v>
      </c>
      <c r="H546" s="62">
        <f>C542+I546</f>
        <v>72</v>
      </c>
      <c r="I546" s="20"/>
      <c r="J546" s="21"/>
      <c r="K546" s="57">
        <v>72</v>
      </c>
      <c r="L546" s="23">
        <f t="shared" si="74"/>
        <v>16</v>
      </c>
      <c r="M546" s="23">
        <f t="shared" si="75"/>
        <v>16</v>
      </c>
      <c r="N546" s="23"/>
      <c r="O546" s="23">
        <v>5</v>
      </c>
    </row>
    <row r="547" spans="1:17" hidden="1" outlineLevel="1">
      <c r="A547" s="96">
        <v>45643</v>
      </c>
      <c r="B547" s="17" t="s">
        <v>19</v>
      </c>
      <c r="C547" s="101">
        <v>72</v>
      </c>
      <c r="D547" s="100"/>
      <c r="E547" s="22">
        <f t="shared" si="73"/>
        <v>-4159</v>
      </c>
      <c r="G547" s="78">
        <v>72</v>
      </c>
      <c r="H547" s="62">
        <f>C543+I547</f>
        <v>72</v>
      </c>
      <c r="I547" s="20"/>
      <c r="J547" s="21"/>
      <c r="K547" s="57">
        <v>72</v>
      </c>
      <c r="L547" s="23">
        <f t="shared" si="74"/>
        <v>16</v>
      </c>
      <c r="M547" s="23">
        <f t="shared" si="75"/>
        <v>16</v>
      </c>
      <c r="N547" s="23"/>
      <c r="O547" s="23">
        <v>8</v>
      </c>
    </row>
    <row r="548" spans="1:17" hidden="1" outlineLevel="1">
      <c r="A548" s="96">
        <v>45644</v>
      </c>
      <c r="B548" s="17" t="s">
        <v>20</v>
      </c>
      <c r="C548" s="101">
        <f>72+4</f>
        <v>76</v>
      </c>
      <c r="D548" s="100"/>
      <c r="E548" s="22">
        <f t="shared" si="73"/>
        <v>-4235</v>
      </c>
      <c r="G548" s="78">
        <v>64</v>
      </c>
      <c r="H548" s="62">
        <f>C546+I548</f>
        <v>72</v>
      </c>
      <c r="I548" s="20"/>
      <c r="J548" s="21"/>
      <c r="K548" s="57">
        <v>72</v>
      </c>
      <c r="L548" s="23">
        <f t="shared" si="74"/>
        <v>24</v>
      </c>
      <c r="M548" s="23">
        <f t="shared" si="75"/>
        <v>24</v>
      </c>
      <c r="N548" s="23"/>
      <c r="O548" s="23">
        <v>5</v>
      </c>
    </row>
    <row r="549" spans="1:17" hidden="1" outlineLevel="1">
      <c r="A549" s="96">
        <v>45645</v>
      </c>
      <c r="B549" s="17" t="s">
        <v>14</v>
      </c>
      <c r="C549" s="101">
        <v>80</v>
      </c>
      <c r="D549" s="100"/>
      <c r="E549" s="22">
        <f t="shared" si="73"/>
        <v>-4315</v>
      </c>
      <c r="G549" s="78">
        <v>64</v>
      </c>
      <c r="H549" s="62">
        <f>C547+I549</f>
        <v>104</v>
      </c>
      <c r="I549" s="20">
        <v>32</v>
      </c>
      <c r="J549" s="21"/>
      <c r="K549" s="57">
        <v>104</v>
      </c>
      <c r="L549" s="23">
        <f t="shared" si="74"/>
        <v>64</v>
      </c>
      <c r="M549" s="23">
        <f t="shared" si="75"/>
        <v>64</v>
      </c>
      <c r="N549" s="23"/>
      <c r="O549" s="23">
        <v>11</v>
      </c>
    </row>
    <row r="550" spans="1:17" hidden="1" outlineLevel="1">
      <c r="A550" s="96">
        <v>45646</v>
      </c>
      <c r="B550" s="17" t="s">
        <v>15</v>
      </c>
      <c r="C550" s="101">
        <v>80</v>
      </c>
      <c r="D550" s="100"/>
      <c r="E550" s="22">
        <f t="shared" si="73"/>
        <v>-4395</v>
      </c>
      <c r="G550" s="78">
        <f>64+20</f>
        <v>84</v>
      </c>
      <c r="H550" s="62">
        <f>C548+I550</f>
        <v>44</v>
      </c>
      <c r="I550" s="20">
        <v>-32</v>
      </c>
      <c r="J550" s="21"/>
      <c r="K550" s="57">
        <v>44</v>
      </c>
      <c r="L550" s="23">
        <f t="shared" si="74"/>
        <v>24</v>
      </c>
      <c r="M550" s="23">
        <f t="shared" si="75"/>
        <v>24</v>
      </c>
      <c r="N550" s="23"/>
      <c r="O550" s="23">
        <v>7</v>
      </c>
      <c r="Q550" s="1">
        <f>AVERAGE(G546:G550)</f>
        <v>69.599999999999994</v>
      </c>
    </row>
    <row r="551" spans="1:17" s="12" customFormat="1" hidden="1" outlineLevel="1">
      <c r="A551" s="95">
        <v>45647</v>
      </c>
      <c r="B551" s="25" t="s">
        <v>16</v>
      </c>
      <c r="C551" s="98"/>
      <c r="D551" s="99"/>
      <c r="E551" s="87">
        <f t="shared" si="73"/>
        <v>-4395</v>
      </c>
      <c r="G551" s="64"/>
      <c r="H551" s="63"/>
      <c r="I551" s="27"/>
      <c r="J551" s="28"/>
      <c r="K551" s="43"/>
      <c r="L551" s="29">
        <f t="shared" si="74"/>
        <v>24</v>
      </c>
      <c r="M551" s="29">
        <f t="shared" si="75"/>
        <v>24</v>
      </c>
      <c r="N551" s="29"/>
      <c r="O551" s="29"/>
    </row>
    <row r="552" spans="1:17" s="12" customFormat="1" hidden="1" outlineLevel="1">
      <c r="A552" s="95">
        <v>45648</v>
      </c>
      <c r="B552" s="25" t="s">
        <v>17</v>
      </c>
      <c r="C552" s="98"/>
      <c r="D552" s="99"/>
      <c r="E552" s="87">
        <f t="shared" si="73"/>
        <v>-4395</v>
      </c>
      <c r="G552" s="64"/>
      <c r="H552" s="63"/>
      <c r="I552" s="27"/>
      <c r="J552" s="28"/>
      <c r="K552" s="43"/>
      <c r="L552" s="29">
        <f t="shared" si="74"/>
        <v>24</v>
      </c>
      <c r="M552" s="29">
        <f t="shared" si="75"/>
        <v>24</v>
      </c>
      <c r="N552" s="29"/>
      <c r="O552" s="29"/>
    </row>
    <row r="553" spans="1:17" hidden="1" outlineLevel="1">
      <c r="A553" s="96">
        <v>45649</v>
      </c>
      <c r="B553" s="17" t="s">
        <v>18</v>
      </c>
      <c r="C553" s="101">
        <v>80</v>
      </c>
      <c r="D553" s="100"/>
      <c r="E553" s="22">
        <f t="shared" si="73"/>
        <v>-4475</v>
      </c>
      <c r="G553" s="78">
        <v>120</v>
      </c>
      <c r="H553" s="62">
        <f>C549+I553</f>
        <v>80</v>
      </c>
      <c r="I553" s="20"/>
      <c r="J553" s="21"/>
      <c r="K553" s="57">
        <v>80</v>
      </c>
      <c r="L553" s="23">
        <f t="shared" si="74"/>
        <v>-16</v>
      </c>
      <c r="M553" s="23">
        <f t="shared" si="75"/>
        <v>-16</v>
      </c>
      <c r="N553" s="23"/>
      <c r="O553" s="23">
        <v>4</v>
      </c>
    </row>
    <row r="554" spans="1:17" hidden="1" outlineLevel="1">
      <c r="A554" s="96">
        <v>45650</v>
      </c>
      <c r="B554" s="17" t="s">
        <v>19</v>
      </c>
      <c r="C554" s="101">
        <v>88</v>
      </c>
      <c r="D554" s="100"/>
      <c r="E554" s="22">
        <f t="shared" si="73"/>
        <v>-4563</v>
      </c>
      <c r="G554" s="78">
        <v>112</v>
      </c>
      <c r="H554" s="62">
        <f>C550+I554</f>
        <v>80</v>
      </c>
      <c r="I554" s="20"/>
      <c r="J554" s="21"/>
      <c r="K554" s="57">
        <v>80</v>
      </c>
      <c r="L554" s="23">
        <f t="shared" si="74"/>
        <v>-48</v>
      </c>
      <c r="M554" s="23">
        <f t="shared" si="75"/>
        <v>-48</v>
      </c>
      <c r="N554" s="23"/>
      <c r="O554" s="23">
        <v>2</v>
      </c>
    </row>
    <row r="555" spans="1:17" hidden="1" outlineLevel="1">
      <c r="A555" s="96">
        <v>45651</v>
      </c>
      <c r="B555" s="17" t="s">
        <v>20</v>
      </c>
      <c r="C555" s="101">
        <v>88</v>
      </c>
      <c r="D555" s="100"/>
      <c r="E555" s="22">
        <f t="shared" si="73"/>
        <v>-4651</v>
      </c>
      <c r="G555" s="78">
        <v>88</v>
      </c>
      <c r="H555" s="62">
        <f>C553+I555</f>
        <v>80</v>
      </c>
      <c r="I555" s="20"/>
      <c r="J555" s="21"/>
      <c r="K555" s="57">
        <v>80</v>
      </c>
      <c r="L555" s="23">
        <f t="shared" si="74"/>
        <v>-56</v>
      </c>
      <c r="M555" s="23">
        <f t="shared" si="75"/>
        <v>-56</v>
      </c>
      <c r="N555" s="23"/>
      <c r="O555" s="23">
        <v>10</v>
      </c>
    </row>
    <row r="556" spans="1:17" hidden="1" outlineLevel="1">
      <c r="A556" s="96">
        <v>45652</v>
      </c>
      <c r="B556" s="17" t="s">
        <v>14</v>
      </c>
      <c r="C556" s="101">
        <v>88</v>
      </c>
      <c r="D556" s="100"/>
      <c r="E556" s="22">
        <f t="shared" si="73"/>
        <v>-4739</v>
      </c>
      <c r="G556" s="78">
        <v>88</v>
      </c>
      <c r="H556" s="62">
        <f>C554+I556</f>
        <v>88</v>
      </c>
      <c r="I556" s="20"/>
      <c r="J556" s="21"/>
      <c r="K556" s="57">
        <v>88</v>
      </c>
      <c r="L556" s="23">
        <f t="shared" si="74"/>
        <v>-56</v>
      </c>
      <c r="M556" s="23">
        <f t="shared" si="75"/>
        <v>-56</v>
      </c>
      <c r="N556" s="23"/>
      <c r="O556" s="23">
        <v>4</v>
      </c>
    </row>
    <row r="557" spans="1:17" hidden="1" outlineLevel="1">
      <c r="A557" s="96">
        <v>45653</v>
      </c>
      <c r="B557" s="17" t="s">
        <v>15</v>
      </c>
      <c r="C557" s="101">
        <v>80</v>
      </c>
      <c r="D557" s="100"/>
      <c r="E557" s="22">
        <f t="shared" si="73"/>
        <v>-4819</v>
      </c>
      <c r="G557" s="78">
        <v>80</v>
      </c>
      <c r="H557" s="62">
        <f>C555+I557</f>
        <v>176</v>
      </c>
      <c r="I557" s="20">
        <v>88</v>
      </c>
      <c r="J557" s="21"/>
      <c r="K557" s="57">
        <v>176</v>
      </c>
      <c r="L557" s="23">
        <f t="shared" si="74"/>
        <v>40</v>
      </c>
      <c r="M557" s="23">
        <f t="shared" si="75"/>
        <v>40</v>
      </c>
      <c r="N557" s="23"/>
      <c r="O557" s="23">
        <v>4</v>
      </c>
      <c r="Q557" s="1">
        <f>AVERAGE(G553:G557)</f>
        <v>97.6</v>
      </c>
    </row>
    <row r="558" spans="1:17" s="12" customFormat="1" hidden="1" outlineLevel="1" collapsed="1">
      <c r="A558" s="95">
        <v>45654</v>
      </c>
      <c r="B558" s="25" t="s">
        <v>16</v>
      </c>
      <c r="C558" s="98"/>
      <c r="D558" s="99"/>
      <c r="E558" s="87">
        <f t="shared" si="73"/>
        <v>-4819</v>
      </c>
      <c r="G558" s="79"/>
      <c r="H558" s="63"/>
      <c r="I558" s="27"/>
      <c r="J558" s="28"/>
      <c r="K558" s="43"/>
      <c r="L558" s="29">
        <f t="shared" si="74"/>
        <v>40</v>
      </c>
      <c r="M558" s="29">
        <f t="shared" si="75"/>
        <v>40</v>
      </c>
      <c r="N558" s="29"/>
      <c r="O558" s="29"/>
    </row>
    <row r="559" spans="1:17" s="12" customFormat="1" hidden="1" outlineLevel="1">
      <c r="A559" s="95">
        <v>45655</v>
      </c>
      <c r="B559" s="25" t="s">
        <v>17</v>
      </c>
      <c r="C559" s="98"/>
      <c r="D559" s="99"/>
      <c r="E559" s="87">
        <f t="shared" si="73"/>
        <v>-4819</v>
      </c>
      <c r="G559" s="79"/>
      <c r="H559" s="63"/>
      <c r="I559" s="27"/>
      <c r="J559" s="28"/>
      <c r="K559" s="43"/>
      <c r="L559" s="29">
        <f t="shared" si="74"/>
        <v>40</v>
      </c>
      <c r="M559" s="29">
        <f t="shared" si="75"/>
        <v>40</v>
      </c>
      <c r="N559" s="29"/>
      <c r="O559" s="29"/>
    </row>
    <row r="560" spans="1:17" s="12" customFormat="1" hidden="1" outlineLevel="1">
      <c r="A560" s="95">
        <v>45656</v>
      </c>
      <c r="B560" s="25" t="s">
        <v>18</v>
      </c>
      <c r="C560" s="98"/>
      <c r="D560" s="99"/>
      <c r="E560" s="87">
        <f t="shared" si="73"/>
        <v>-4819</v>
      </c>
      <c r="G560" s="79"/>
      <c r="H560" s="63"/>
      <c r="I560" s="27"/>
      <c r="J560" s="28"/>
      <c r="K560" s="43"/>
      <c r="L560" s="29">
        <f t="shared" si="74"/>
        <v>40</v>
      </c>
      <c r="M560" s="29">
        <f t="shared" si="75"/>
        <v>40</v>
      </c>
      <c r="N560" s="29"/>
      <c r="O560" s="29"/>
    </row>
    <row r="561" spans="1:17" s="12" customFormat="1" hidden="1" outlineLevel="1">
      <c r="A561" s="95">
        <v>45657</v>
      </c>
      <c r="B561" s="25" t="s">
        <v>19</v>
      </c>
      <c r="C561" s="98"/>
      <c r="D561" s="99"/>
      <c r="E561" s="87">
        <f t="shared" si="73"/>
        <v>-4819</v>
      </c>
      <c r="G561" s="79"/>
      <c r="H561" s="63"/>
      <c r="I561" s="27"/>
      <c r="J561" s="28"/>
      <c r="K561" s="43"/>
      <c r="L561" s="29">
        <f t="shared" si="74"/>
        <v>40</v>
      </c>
      <c r="M561" s="29">
        <f t="shared" si="75"/>
        <v>40</v>
      </c>
      <c r="N561" s="29"/>
      <c r="O561" s="29"/>
    </row>
    <row r="562" spans="1:17" s="12" customFormat="1" hidden="1" outlineLevel="1">
      <c r="A562" s="95">
        <v>45658</v>
      </c>
      <c r="B562" s="25" t="s">
        <v>20</v>
      </c>
      <c r="C562" s="98"/>
      <c r="D562" s="99"/>
      <c r="E562" s="87">
        <f t="shared" si="73"/>
        <v>-4819</v>
      </c>
      <c r="G562" s="79"/>
      <c r="H562" s="63"/>
      <c r="I562" s="27"/>
      <c r="J562" s="28"/>
      <c r="K562" s="43"/>
      <c r="L562" s="29">
        <f t="shared" ref="L562:L592" si="76">L561-G562+K562</f>
        <v>40</v>
      </c>
      <c r="M562" s="29">
        <f t="shared" ref="M562:M592" si="77">M561-G562+H562</f>
        <v>40</v>
      </c>
      <c r="N562" s="29"/>
      <c r="O562" s="29"/>
    </row>
    <row r="563" spans="1:17" s="12" customFormat="1" hidden="1" outlineLevel="1">
      <c r="A563" s="95">
        <v>45659</v>
      </c>
      <c r="B563" s="25" t="s">
        <v>14</v>
      </c>
      <c r="C563" s="98"/>
      <c r="D563" s="99"/>
      <c r="E563" s="87">
        <f t="shared" si="73"/>
        <v>-4819</v>
      </c>
      <c r="G563" s="79"/>
      <c r="H563" s="63"/>
      <c r="I563" s="27"/>
      <c r="J563" s="28"/>
      <c r="K563" s="43"/>
      <c r="L563" s="29">
        <f t="shared" si="76"/>
        <v>40</v>
      </c>
      <c r="M563" s="29">
        <f t="shared" si="77"/>
        <v>40</v>
      </c>
      <c r="N563" s="29"/>
      <c r="O563" s="29"/>
    </row>
    <row r="564" spans="1:17" s="12" customFormat="1" hidden="1" outlineLevel="1">
      <c r="A564" s="95">
        <v>45660</v>
      </c>
      <c r="B564" s="25" t="s">
        <v>15</v>
      </c>
      <c r="C564" s="98"/>
      <c r="D564" s="99"/>
      <c r="E564" s="87">
        <f t="shared" si="73"/>
        <v>-4819</v>
      </c>
      <c r="G564" s="79"/>
      <c r="H564" s="63"/>
      <c r="I564" s="27"/>
      <c r="J564" s="28"/>
      <c r="K564" s="43"/>
      <c r="L564" s="29">
        <f t="shared" si="76"/>
        <v>40</v>
      </c>
      <c r="M564" s="29">
        <f t="shared" si="77"/>
        <v>40</v>
      </c>
      <c r="N564" s="29"/>
      <c r="O564" s="29"/>
    </row>
    <row r="565" spans="1:17" s="12" customFormat="1" hidden="1" outlineLevel="1">
      <c r="A565" s="95">
        <v>45661</v>
      </c>
      <c r="B565" s="25" t="s">
        <v>16</v>
      </c>
      <c r="C565" s="98"/>
      <c r="D565" s="99"/>
      <c r="E565" s="87">
        <f t="shared" si="73"/>
        <v>-4819</v>
      </c>
      <c r="G565" s="79"/>
      <c r="H565" s="63"/>
      <c r="I565" s="27"/>
      <c r="J565" s="28"/>
      <c r="K565" s="43"/>
      <c r="L565" s="29">
        <f t="shared" si="76"/>
        <v>40</v>
      </c>
      <c r="M565" s="29">
        <f t="shared" si="77"/>
        <v>40</v>
      </c>
      <c r="N565" s="29"/>
      <c r="O565" s="29"/>
    </row>
    <row r="566" spans="1:17" s="12" customFormat="1" hidden="1" outlineLevel="1" collapsed="1">
      <c r="A566" s="95">
        <v>45662</v>
      </c>
      <c r="B566" s="25" t="s">
        <v>17</v>
      </c>
      <c r="C566" s="98"/>
      <c r="D566" s="99"/>
      <c r="E566" s="87">
        <f t="shared" si="73"/>
        <v>-4819</v>
      </c>
      <c r="G566" s="79"/>
      <c r="H566" s="63"/>
      <c r="I566" s="27"/>
      <c r="J566" s="28"/>
      <c r="K566" s="43"/>
      <c r="L566" s="29">
        <f t="shared" si="76"/>
        <v>40</v>
      </c>
      <c r="M566" s="29">
        <f t="shared" si="77"/>
        <v>40</v>
      </c>
      <c r="N566" s="29"/>
      <c r="O566" s="29"/>
    </row>
    <row r="567" spans="1:17" hidden="1" outlineLevel="1">
      <c r="A567" s="96">
        <v>45663</v>
      </c>
      <c r="B567" s="17" t="s">
        <v>18</v>
      </c>
      <c r="C567" s="101">
        <v>80</v>
      </c>
      <c r="D567" s="100"/>
      <c r="E567" s="22">
        <f t="shared" si="73"/>
        <v>-4899</v>
      </c>
      <c r="G567" s="78">
        <v>112</v>
      </c>
      <c r="H567" s="62">
        <f>C556+I567</f>
        <v>0</v>
      </c>
      <c r="I567" s="20">
        <v>-88</v>
      </c>
      <c r="J567" s="21"/>
      <c r="K567" s="57">
        <v>0</v>
      </c>
      <c r="L567" s="23">
        <f t="shared" si="76"/>
        <v>-72</v>
      </c>
      <c r="M567" s="23">
        <f t="shared" si="77"/>
        <v>-72</v>
      </c>
      <c r="N567" s="23"/>
      <c r="O567" s="23">
        <v>3</v>
      </c>
    </row>
    <row r="568" spans="1:17" hidden="1" outlineLevel="1">
      <c r="A568" s="96">
        <v>45664</v>
      </c>
      <c r="B568" s="17" t="s">
        <v>19</v>
      </c>
      <c r="C568" s="101">
        <v>88</v>
      </c>
      <c r="D568" s="100"/>
      <c r="E568" s="22">
        <f t="shared" si="73"/>
        <v>-4987</v>
      </c>
      <c r="G568" s="78">
        <v>80</v>
      </c>
      <c r="H568" s="62">
        <f>C557+I568</f>
        <v>88</v>
      </c>
      <c r="I568" s="20">
        <v>8</v>
      </c>
      <c r="J568" s="21"/>
      <c r="K568" s="57">
        <v>88</v>
      </c>
      <c r="L568" s="23">
        <f t="shared" si="76"/>
        <v>-64</v>
      </c>
      <c r="M568" s="23">
        <f t="shared" si="77"/>
        <v>-64</v>
      </c>
      <c r="N568" s="23"/>
      <c r="O568" s="23">
        <v>6</v>
      </c>
    </row>
    <row r="569" spans="1:17" hidden="1" outlineLevel="1">
      <c r="A569" s="96">
        <v>45665</v>
      </c>
      <c r="B569" s="17" t="s">
        <v>20</v>
      </c>
      <c r="C569" s="101">
        <v>88</v>
      </c>
      <c r="D569" s="100"/>
      <c r="E569" s="22">
        <f t="shared" si="73"/>
        <v>-5075</v>
      </c>
      <c r="G569" s="78">
        <v>80</v>
      </c>
      <c r="H569" s="62">
        <f>C567+I569</f>
        <v>80</v>
      </c>
      <c r="I569" s="20"/>
      <c r="J569" s="21"/>
      <c r="K569" s="57">
        <v>80</v>
      </c>
      <c r="L569" s="23">
        <f t="shared" si="76"/>
        <v>-64</v>
      </c>
      <c r="M569" s="23">
        <f t="shared" si="77"/>
        <v>-64</v>
      </c>
      <c r="N569" s="23"/>
      <c r="O569" s="23">
        <v>12</v>
      </c>
    </row>
    <row r="570" spans="1:17" hidden="1" outlineLevel="1">
      <c r="A570" s="96">
        <v>45666</v>
      </c>
      <c r="B570" s="17" t="s">
        <v>14</v>
      </c>
      <c r="C570" s="101">
        <v>88</v>
      </c>
      <c r="D570" s="100"/>
      <c r="E570" s="22">
        <f t="shared" si="73"/>
        <v>-5163</v>
      </c>
      <c r="G570" s="78">
        <v>80</v>
      </c>
      <c r="H570" s="62">
        <f>C568+I570</f>
        <v>88</v>
      </c>
      <c r="I570" s="20"/>
      <c r="J570" s="21"/>
      <c r="K570" s="57">
        <v>88</v>
      </c>
      <c r="L570" s="23">
        <f t="shared" si="76"/>
        <v>-56</v>
      </c>
      <c r="M570" s="23">
        <f t="shared" si="77"/>
        <v>-56</v>
      </c>
      <c r="N570" s="23"/>
      <c r="O570" s="23">
        <v>8</v>
      </c>
    </row>
    <row r="571" spans="1:17" hidden="1" outlineLevel="1">
      <c r="A571" s="96">
        <v>45667</v>
      </c>
      <c r="B571" s="17" t="s">
        <v>15</v>
      </c>
      <c r="C571" s="101">
        <v>88</v>
      </c>
      <c r="D571" s="100"/>
      <c r="E571" s="22">
        <f t="shared" si="73"/>
        <v>-5251</v>
      </c>
      <c r="G571" s="78">
        <v>80</v>
      </c>
      <c r="H571" s="62">
        <f>C569+I571</f>
        <v>88</v>
      </c>
      <c r="I571" s="20"/>
      <c r="J571" s="21"/>
      <c r="K571" s="57">
        <v>88</v>
      </c>
      <c r="L571" s="23">
        <f t="shared" si="76"/>
        <v>-48</v>
      </c>
      <c r="M571" s="23">
        <f t="shared" si="77"/>
        <v>-48</v>
      </c>
      <c r="N571" s="23"/>
      <c r="O571" s="23"/>
      <c r="Q571" s="1">
        <f>AVERAGE(G567:G571)</f>
        <v>86.4</v>
      </c>
    </row>
    <row r="572" spans="1:17" s="12" customFormat="1" hidden="1" outlineLevel="1">
      <c r="A572" s="95">
        <v>45668</v>
      </c>
      <c r="B572" s="25" t="s">
        <v>16</v>
      </c>
      <c r="C572" s="98"/>
      <c r="D572" s="99"/>
      <c r="E572" s="87">
        <f t="shared" si="73"/>
        <v>-5251</v>
      </c>
      <c r="G572" s="79"/>
      <c r="H572" s="63"/>
      <c r="I572" s="27"/>
      <c r="J572" s="28"/>
      <c r="K572" s="43"/>
      <c r="L572" s="29">
        <f t="shared" si="76"/>
        <v>-48</v>
      </c>
      <c r="M572" s="29">
        <f t="shared" si="77"/>
        <v>-48</v>
      </c>
      <c r="N572" s="29"/>
      <c r="O572" s="29"/>
    </row>
    <row r="573" spans="1:17" s="12" customFormat="1" hidden="1" outlineLevel="1">
      <c r="A573" s="95">
        <v>45669</v>
      </c>
      <c r="B573" s="25" t="s">
        <v>17</v>
      </c>
      <c r="C573" s="98"/>
      <c r="D573" s="99"/>
      <c r="E573" s="87">
        <f t="shared" si="73"/>
        <v>-5251</v>
      </c>
      <c r="G573" s="79"/>
      <c r="H573" s="63"/>
      <c r="I573" s="27"/>
      <c r="J573" s="28"/>
      <c r="K573" s="43"/>
      <c r="L573" s="29">
        <f t="shared" si="76"/>
        <v>-48</v>
      </c>
      <c r="M573" s="29">
        <f t="shared" si="77"/>
        <v>-48</v>
      </c>
      <c r="N573" s="29"/>
      <c r="O573" s="29"/>
    </row>
    <row r="574" spans="1:17" s="12" customFormat="1" hidden="1" outlineLevel="1" collapsed="1">
      <c r="A574" s="95">
        <v>45670</v>
      </c>
      <c r="B574" s="25" t="s">
        <v>18</v>
      </c>
      <c r="C574" s="98"/>
      <c r="D574" s="99"/>
      <c r="E574" s="87">
        <f t="shared" si="73"/>
        <v>-5251</v>
      </c>
      <c r="G574" s="79"/>
      <c r="H574" s="63"/>
      <c r="I574" s="27"/>
      <c r="J574" s="28"/>
      <c r="K574" s="43"/>
      <c r="L574" s="29">
        <f t="shared" si="76"/>
        <v>-48</v>
      </c>
      <c r="M574" s="29">
        <f t="shared" si="77"/>
        <v>-48</v>
      </c>
      <c r="N574" s="29"/>
      <c r="O574" s="29"/>
    </row>
    <row r="575" spans="1:17" hidden="1" outlineLevel="1">
      <c r="A575" s="96">
        <v>45671</v>
      </c>
      <c r="B575" s="17" t="s">
        <v>19</v>
      </c>
      <c r="C575" s="101">
        <v>80</v>
      </c>
      <c r="D575" s="100"/>
      <c r="E575" s="22">
        <f t="shared" si="73"/>
        <v>-5331</v>
      </c>
      <c r="G575" s="78">
        <v>96</v>
      </c>
      <c r="H575" s="62">
        <f>C570+I575</f>
        <v>88</v>
      </c>
      <c r="I575" s="20"/>
      <c r="J575" s="21"/>
      <c r="K575" s="57">
        <v>88</v>
      </c>
      <c r="L575" s="23">
        <f t="shared" si="76"/>
        <v>-56</v>
      </c>
      <c r="M575" s="23">
        <f t="shared" si="77"/>
        <v>-56</v>
      </c>
      <c r="N575" s="23"/>
      <c r="O575" s="23">
        <f>4+12</f>
        <v>16</v>
      </c>
    </row>
    <row r="576" spans="1:17" hidden="1" outlineLevel="1">
      <c r="A576" s="96">
        <v>45672</v>
      </c>
      <c r="B576" s="17" t="s">
        <v>20</v>
      </c>
      <c r="C576" s="101">
        <v>80</v>
      </c>
      <c r="D576" s="100"/>
      <c r="E576" s="22">
        <f t="shared" si="73"/>
        <v>-5411</v>
      </c>
      <c r="G576" s="78">
        <v>80</v>
      </c>
      <c r="H576" s="62">
        <f>C571+I576</f>
        <v>88</v>
      </c>
      <c r="I576" s="20"/>
      <c r="J576" s="21"/>
      <c r="K576" s="57">
        <v>88</v>
      </c>
      <c r="L576" s="23">
        <f t="shared" si="76"/>
        <v>-48</v>
      </c>
      <c r="M576" s="23">
        <f t="shared" si="77"/>
        <v>-48</v>
      </c>
      <c r="N576" s="23"/>
      <c r="O576" s="23">
        <v>6</v>
      </c>
    </row>
    <row r="577" spans="1:17" hidden="1" outlineLevel="1">
      <c r="A577" s="96">
        <v>45673</v>
      </c>
      <c r="B577" s="17" t="s">
        <v>14</v>
      </c>
      <c r="C577" s="101">
        <v>80</v>
      </c>
      <c r="D577" s="100"/>
      <c r="E577" s="22">
        <f t="shared" si="73"/>
        <v>-5491</v>
      </c>
      <c r="G577" s="78">
        <v>104</v>
      </c>
      <c r="H577" s="62">
        <f>C575+I577</f>
        <v>80</v>
      </c>
      <c r="I577" s="20"/>
      <c r="J577" s="21"/>
      <c r="K577" s="57">
        <v>80</v>
      </c>
      <c r="L577" s="23">
        <f t="shared" si="76"/>
        <v>-72</v>
      </c>
      <c r="M577" s="23">
        <f t="shared" si="77"/>
        <v>-72</v>
      </c>
      <c r="N577" s="23"/>
      <c r="O577" s="23">
        <v>6</v>
      </c>
    </row>
    <row r="578" spans="1:17" hidden="1" outlineLevel="1">
      <c r="A578" s="96">
        <v>45674</v>
      </c>
      <c r="B578" s="17" t="s">
        <v>15</v>
      </c>
      <c r="C578" s="101">
        <v>80</v>
      </c>
      <c r="D578" s="100"/>
      <c r="E578" s="22">
        <f t="shared" si="73"/>
        <v>-5571</v>
      </c>
      <c r="G578" s="78">
        <v>88</v>
      </c>
      <c r="H578" s="62">
        <f>C576+I578</f>
        <v>80</v>
      </c>
      <c r="I578" s="20"/>
      <c r="J578" s="21"/>
      <c r="K578" s="57">
        <v>80</v>
      </c>
      <c r="L578" s="23">
        <f t="shared" si="76"/>
        <v>-80</v>
      </c>
      <c r="M578" s="23">
        <f t="shared" si="77"/>
        <v>-80</v>
      </c>
      <c r="N578" s="23"/>
      <c r="O578" s="23">
        <v>4</v>
      </c>
      <c r="Q578" s="1">
        <f>AVERAGE(G575:G578)</f>
        <v>92</v>
      </c>
    </row>
    <row r="579" spans="1:17" s="12" customFormat="1" hidden="1" outlineLevel="1">
      <c r="A579" s="95">
        <v>45675</v>
      </c>
      <c r="B579" s="25" t="s">
        <v>16</v>
      </c>
      <c r="C579" s="98"/>
      <c r="D579" s="99"/>
      <c r="E579" s="87">
        <f t="shared" si="73"/>
        <v>-5571</v>
      </c>
      <c r="G579" s="79"/>
      <c r="H579" s="63"/>
      <c r="I579" s="27"/>
      <c r="J579" s="28"/>
      <c r="K579" s="43"/>
      <c r="L579" s="29">
        <f t="shared" si="76"/>
        <v>-80</v>
      </c>
      <c r="M579" s="29">
        <f t="shared" si="77"/>
        <v>-80</v>
      </c>
      <c r="N579" s="29"/>
      <c r="O579" s="29"/>
    </row>
    <row r="580" spans="1:17" s="12" customFormat="1" hidden="1" outlineLevel="1" collapsed="1">
      <c r="A580" s="95">
        <v>45676</v>
      </c>
      <c r="B580" s="25" t="s">
        <v>17</v>
      </c>
      <c r="C580" s="98"/>
      <c r="D580" s="99"/>
      <c r="E580" s="87">
        <f t="shared" si="73"/>
        <v>-5571</v>
      </c>
      <c r="G580" s="79"/>
      <c r="H580" s="63"/>
      <c r="I580" s="27"/>
      <c r="J580" s="28"/>
      <c r="K580" s="43"/>
      <c r="L580" s="29">
        <f t="shared" si="76"/>
        <v>-80</v>
      </c>
      <c r="M580" s="29">
        <f t="shared" si="77"/>
        <v>-80</v>
      </c>
      <c r="N580" s="29"/>
      <c r="O580" s="29"/>
    </row>
    <row r="581" spans="1:17" hidden="1" outlineLevel="1">
      <c r="A581" s="96">
        <v>45677</v>
      </c>
      <c r="B581" s="17" t="s">
        <v>18</v>
      </c>
      <c r="C581" s="101">
        <v>72</v>
      </c>
      <c r="D581" s="100"/>
      <c r="E581" s="22">
        <f t="shared" si="73"/>
        <v>-5643</v>
      </c>
      <c r="G581" s="78">
        <v>64</v>
      </c>
      <c r="H581" s="62">
        <f>C577+I581</f>
        <v>80</v>
      </c>
      <c r="I581" s="20"/>
      <c r="J581" s="21"/>
      <c r="K581" s="57">
        <v>80</v>
      </c>
      <c r="L581" s="23">
        <f t="shared" si="76"/>
        <v>-64</v>
      </c>
      <c r="M581" s="23">
        <f t="shared" si="77"/>
        <v>-64</v>
      </c>
      <c r="N581" s="23"/>
      <c r="O581" s="23">
        <v>16</v>
      </c>
    </row>
    <row r="582" spans="1:17" hidden="1" outlineLevel="1">
      <c r="A582" s="96">
        <v>45678</v>
      </c>
      <c r="B582" s="17" t="s">
        <v>19</v>
      </c>
      <c r="C582" s="101">
        <v>72</v>
      </c>
      <c r="D582" s="100"/>
      <c r="E582" s="22">
        <f t="shared" si="73"/>
        <v>-5715</v>
      </c>
      <c r="G582" s="78">
        <v>88</v>
      </c>
      <c r="H582" s="62">
        <f>C578+I582</f>
        <v>80</v>
      </c>
      <c r="I582" s="20"/>
      <c r="J582" s="21"/>
      <c r="K582" s="57">
        <v>80</v>
      </c>
      <c r="L582" s="23">
        <f t="shared" si="76"/>
        <v>-72</v>
      </c>
      <c r="M582" s="23">
        <f t="shared" si="77"/>
        <v>-72</v>
      </c>
      <c r="N582" s="23"/>
      <c r="O582" s="23">
        <v>12</v>
      </c>
    </row>
    <row r="583" spans="1:17" hidden="1" outlineLevel="1">
      <c r="A583" s="96">
        <v>45679</v>
      </c>
      <c r="B583" s="17" t="s">
        <v>20</v>
      </c>
      <c r="C583" s="101">
        <v>72</v>
      </c>
      <c r="D583" s="100"/>
      <c r="E583" s="22">
        <f t="shared" si="73"/>
        <v>-5787</v>
      </c>
      <c r="G583" s="78">
        <v>72</v>
      </c>
      <c r="H583" s="62">
        <f>C581+I583</f>
        <v>72</v>
      </c>
      <c r="I583" s="20"/>
      <c r="J583" s="21"/>
      <c r="K583" s="57">
        <v>72</v>
      </c>
      <c r="L583" s="23">
        <f t="shared" si="76"/>
        <v>-72</v>
      </c>
      <c r="M583" s="23">
        <f t="shared" si="77"/>
        <v>-72</v>
      </c>
      <c r="N583" s="23"/>
      <c r="O583" s="23">
        <v>2</v>
      </c>
    </row>
    <row r="584" spans="1:17" hidden="1" outlineLevel="1">
      <c r="A584" s="96">
        <v>45680</v>
      </c>
      <c r="B584" s="17" t="s">
        <v>14</v>
      </c>
      <c r="C584" s="101">
        <v>72</v>
      </c>
      <c r="D584" s="100"/>
      <c r="E584" s="22">
        <f t="shared" si="73"/>
        <v>-5859</v>
      </c>
      <c r="G584" s="78">
        <v>72</v>
      </c>
      <c r="H584" s="62">
        <f>C582+I584</f>
        <v>72</v>
      </c>
      <c r="I584" s="20"/>
      <c r="J584" s="21"/>
      <c r="K584" s="57">
        <v>72</v>
      </c>
      <c r="L584" s="23">
        <f t="shared" si="76"/>
        <v>-72</v>
      </c>
      <c r="M584" s="23">
        <f t="shared" si="77"/>
        <v>-72</v>
      </c>
      <c r="N584" s="23"/>
      <c r="O584" s="23">
        <v>10</v>
      </c>
    </row>
    <row r="585" spans="1:17" hidden="1" outlineLevel="1">
      <c r="A585" s="96">
        <v>45681</v>
      </c>
      <c r="B585" s="17" t="s">
        <v>15</v>
      </c>
      <c r="C585" s="101">
        <v>72</v>
      </c>
      <c r="D585" s="100"/>
      <c r="E585" s="22">
        <f t="shared" si="73"/>
        <v>-5931</v>
      </c>
      <c r="G585" s="78">
        <v>72</v>
      </c>
      <c r="H585" s="62">
        <f>C583+I585</f>
        <v>72</v>
      </c>
      <c r="I585" s="20"/>
      <c r="J585" s="21"/>
      <c r="K585" s="57">
        <v>72</v>
      </c>
      <c r="L585" s="23">
        <f t="shared" si="76"/>
        <v>-72</v>
      </c>
      <c r="M585" s="23">
        <f t="shared" si="77"/>
        <v>-72</v>
      </c>
      <c r="N585" s="23"/>
      <c r="O585" s="23">
        <v>11</v>
      </c>
      <c r="Q585" s="1">
        <f>AVERAGE(G581:G585)</f>
        <v>73.599999999999994</v>
      </c>
    </row>
    <row r="586" spans="1:17" s="12" customFormat="1" hidden="1" outlineLevel="1">
      <c r="A586" s="95">
        <v>45682</v>
      </c>
      <c r="B586" s="25" t="s">
        <v>16</v>
      </c>
      <c r="C586" s="98"/>
      <c r="D586" s="99"/>
      <c r="E586" s="87">
        <f t="shared" si="73"/>
        <v>-5931</v>
      </c>
      <c r="G586" s="79"/>
      <c r="H586" s="63"/>
      <c r="I586" s="27"/>
      <c r="J586" s="28"/>
      <c r="K586" s="43"/>
      <c r="L586" s="29">
        <f t="shared" si="76"/>
        <v>-72</v>
      </c>
      <c r="M586" s="29">
        <f t="shared" si="77"/>
        <v>-72</v>
      </c>
      <c r="N586" s="29"/>
      <c r="O586" s="29"/>
    </row>
    <row r="587" spans="1:17" s="12" customFormat="1" hidden="1" outlineLevel="1" collapsed="1">
      <c r="A587" s="95">
        <v>45683</v>
      </c>
      <c r="B587" s="25" t="s">
        <v>17</v>
      </c>
      <c r="C587" s="98"/>
      <c r="D587" s="99"/>
      <c r="E587" s="87">
        <f t="shared" si="73"/>
        <v>-5931</v>
      </c>
      <c r="G587" s="79"/>
      <c r="H587" s="63"/>
      <c r="I587" s="27"/>
      <c r="J587" s="28"/>
      <c r="K587" s="43"/>
      <c r="L587" s="29">
        <f t="shared" si="76"/>
        <v>-72</v>
      </c>
      <c r="M587" s="29">
        <f t="shared" si="77"/>
        <v>-72</v>
      </c>
      <c r="N587" s="29"/>
      <c r="O587" s="29"/>
    </row>
    <row r="588" spans="1:17" hidden="1" outlineLevel="1">
      <c r="A588" s="96">
        <v>45684</v>
      </c>
      <c r="B588" s="17" t="s">
        <v>18</v>
      </c>
      <c r="C588" s="101">
        <v>80</v>
      </c>
      <c r="D588" s="100"/>
      <c r="E588" s="22">
        <f t="shared" si="73"/>
        <v>-6011</v>
      </c>
      <c r="G588" s="78">
        <v>56</v>
      </c>
      <c r="H588" s="62">
        <f>C584+I588</f>
        <v>72</v>
      </c>
      <c r="I588" s="20"/>
      <c r="J588" s="21"/>
      <c r="K588" s="57">
        <v>72</v>
      </c>
      <c r="L588" s="23">
        <f t="shared" si="76"/>
        <v>-56</v>
      </c>
      <c r="M588" s="23">
        <f t="shared" si="77"/>
        <v>-56</v>
      </c>
      <c r="N588" s="23"/>
      <c r="O588" s="23">
        <v>7</v>
      </c>
    </row>
    <row r="589" spans="1:17" hidden="1" outlineLevel="1">
      <c r="A589" s="96">
        <v>45685</v>
      </c>
      <c r="B589" s="17" t="s">
        <v>19</v>
      </c>
      <c r="C589" s="101">
        <v>80</v>
      </c>
      <c r="D589" s="100"/>
      <c r="E589" s="22">
        <f t="shared" si="73"/>
        <v>-6091</v>
      </c>
      <c r="G589" s="78">
        <v>72</v>
      </c>
      <c r="H589" s="62">
        <f>C585+I589</f>
        <v>72</v>
      </c>
      <c r="I589" s="20"/>
      <c r="J589" s="21"/>
      <c r="K589" s="57">
        <v>72</v>
      </c>
      <c r="L589" s="23">
        <f t="shared" si="76"/>
        <v>-56</v>
      </c>
      <c r="M589" s="23">
        <f t="shared" si="77"/>
        <v>-56</v>
      </c>
      <c r="N589" s="23"/>
      <c r="O589" s="23">
        <v>8</v>
      </c>
    </row>
    <row r="590" spans="1:17" hidden="1" outlineLevel="1">
      <c r="A590" s="96">
        <v>45686</v>
      </c>
      <c r="B590" s="17" t="s">
        <v>20</v>
      </c>
      <c r="C590" s="101">
        <v>80</v>
      </c>
      <c r="D590" s="100"/>
      <c r="E590" s="22">
        <f t="shared" ref="E590:E621" si="78">E589-C590+D590</f>
        <v>-6171</v>
      </c>
      <c r="G590" s="78">
        <v>56</v>
      </c>
      <c r="H590" s="62">
        <f>C588+I590</f>
        <v>80</v>
      </c>
      <c r="I590" s="20"/>
      <c r="J590" s="21"/>
      <c r="K590" s="57">
        <v>80</v>
      </c>
      <c r="L590" s="23">
        <f t="shared" si="76"/>
        <v>-32</v>
      </c>
      <c r="M590" s="23">
        <f t="shared" si="77"/>
        <v>-32</v>
      </c>
      <c r="N590" s="23"/>
      <c r="O590" s="23">
        <v>9</v>
      </c>
    </row>
    <row r="591" spans="1:17" hidden="1" outlineLevel="1">
      <c r="A591" s="96">
        <v>45687</v>
      </c>
      <c r="B591" s="17" t="s">
        <v>14</v>
      </c>
      <c r="C591" s="101">
        <v>80</v>
      </c>
      <c r="D591" s="100"/>
      <c r="E591" s="22">
        <f t="shared" si="78"/>
        <v>-6251</v>
      </c>
      <c r="G591" s="78">
        <v>96</v>
      </c>
      <c r="H591" s="62">
        <f>C589+I591</f>
        <v>80</v>
      </c>
      <c r="I591" s="20"/>
      <c r="J591" s="21"/>
      <c r="K591" s="57">
        <v>80</v>
      </c>
      <c r="L591" s="23">
        <f t="shared" si="76"/>
        <v>-48</v>
      </c>
      <c r="M591" s="23">
        <f t="shared" si="77"/>
        <v>-48</v>
      </c>
      <c r="N591" s="23"/>
      <c r="O591" s="23">
        <v>8</v>
      </c>
    </row>
    <row r="592" spans="1:17" hidden="1" outlineLevel="1">
      <c r="A592" s="96">
        <v>45688</v>
      </c>
      <c r="B592" s="17" t="s">
        <v>15</v>
      </c>
      <c r="C592" s="101">
        <v>80</v>
      </c>
      <c r="D592" s="100"/>
      <c r="E592" s="22">
        <f t="shared" si="78"/>
        <v>-6331</v>
      </c>
      <c r="G592" s="78">
        <v>72</v>
      </c>
      <c r="H592" s="62">
        <f>C590+I592</f>
        <v>80</v>
      </c>
      <c r="I592" s="20"/>
      <c r="J592" s="21"/>
      <c r="K592" s="57">
        <v>80</v>
      </c>
      <c r="L592" s="23">
        <f t="shared" si="76"/>
        <v>-40</v>
      </c>
      <c r="M592" s="23">
        <f t="shared" si="77"/>
        <v>-40</v>
      </c>
      <c r="N592" s="23"/>
      <c r="O592" s="23">
        <v>8</v>
      </c>
      <c r="Q592" s="1">
        <f>AVERAGE(G588:G592)</f>
        <v>70.400000000000006</v>
      </c>
    </row>
    <row r="593" spans="1:17" s="12" customFormat="1" hidden="1" outlineLevel="1">
      <c r="A593" s="95">
        <v>45689</v>
      </c>
      <c r="B593" s="25" t="s">
        <v>16</v>
      </c>
      <c r="C593" s="98"/>
      <c r="D593" s="99"/>
      <c r="E593" s="87">
        <f t="shared" si="78"/>
        <v>-6331</v>
      </c>
      <c r="G593" s="79"/>
      <c r="H593" s="63"/>
      <c r="I593" s="27"/>
      <c r="J593" s="28"/>
      <c r="K593" s="43"/>
      <c r="L593" s="29">
        <f t="shared" ref="L593:L621" si="79">L592-G593+K593</f>
        <v>-40</v>
      </c>
      <c r="M593" s="29">
        <f t="shared" ref="M593:M621" si="80">M592-G593+H593</f>
        <v>-40</v>
      </c>
      <c r="N593" s="29"/>
      <c r="O593" s="29"/>
    </row>
    <row r="594" spans="1:17" s="12" customFormat="1" hidden="1" outlineLevel="1" collapsed="1">
      <c r="A594" s="95">
        <v>45690</v>
      </c>
      <c r="B594" s="25" t="s">
        <v>17</v>
      </c>
      <c r="C594" s="98"/>
      <c r="D594" s="99"/>
      <c r="E594" s="87">
        <f t="shared" si="78"/>
        <v>-6331</v>
      </c>
      <c r="G594" s="79"/>
      <c r="H594" s="63"/>
      <c r="I594" s="27"/>
      <c r="J594" s="28"/>
      <c r="K594" s="43"/>
      <c r="L594" s="29">
        <f t="shared" si="79"/>
        <v>-40</v>
      </c>
      <c r="M594" s="29">
        <f t="shared" si="80"/>
        <v>-40</v>
      </c>
      <c r="N594" s="29"/>
      <c r="O594" s="29"/>
    </row>
    <row r="595" spans="1:17" hidden="1" outlineLevel="1">
      <c r="A595" s="96">
        <v>45691</v>
      </c>
      <c r="B595" s="17" t="s">
        <v>18</v>
      </c>
      <c r="C595" s="101">
        <v>64</v>
      </c>
      <c r="D595" s="100"/>
      <c r="E595" s="22">
        <f t="shared" si="78"/>
        <v>-6395</v>
      </c>
      <c r="G595" s="78">
        <v>72</v>
      </c>
      <c r="H595" s="62">
        <f>C591+I595</f>
        <v>80</v>
      </c>
      <c r="I595" s="20"/>
      <c r="J595" s="21"/>
      <c r="K595" s="57">
        <v>80</v>
      </c>
      <c r="L595" s="23">
        <f t="shared" si="79"/>
        <v>-32</v>
      </c>
      <c r="M595" s="23">
        <f t="shared" si="80"/>
        <v>-32</v>
      </c>
      <c r="N595" s="23"/>
      <c r="O595" s="23">
        <v>8</v>
      </c>
    </row>
    <row r="596" spans="1:17" hidden="1" outlineLevel="1">
      <c r="A596" s="96">
        <v>45692</v>
      </c>
      <c r="B596" s="17" t="s">
        <v>19</v>
      </c>
      <c r="C596" s="101">
        <v>64</v>
      </c>
      <c r="D596" s="100"/>
      <c r="E596" s="22">
        <f t="shared" si="78"/>
        <v>-6459</v>
      </c>
      <c r="G596" s="78">
        <v>64</v>
      </c>
      <c r="H596" s="62">
        <f>C592+I596</f>
        <v>80</v>
      </c>
      <c r="I596" s="20"/>
      <c r="J596" s="21"/>
      <c r="K596" s="57">
        <v>80</v>
      </c>
      <c r="L596" s="23">
        <f t="shared" si="79"/>
        <v>-16</v>
      </c>
      <c r="M596" s="23">
        <f t="shared" si="80"/>
        <v>-16</v>
      </c>
      <c r="N596" s="23"/>
      <c r="O596" s="23">
        <v>8</v>
      </c>
    </row>
    <row r="597" spans="1:17" hidden="1" outlineLevel="1">
      <c r="A597" s="96">
        <v>45693</v>
      </c>
      <c r="B597" s="17" t="s">
        <v>20</v>
      </c>
      <c r="C597" s="101">
        <v>56</v>
      </c>
      <c r="D597" s="100"/>
      <c r="E597" s="22">
        <f t="shared" si="78"/>
        <v>-6515</v>
      </c>
      <c r="G597" s="78">
        <v>56</v>
      </c>
      <c r="H597" s="62">
        <f>C595+I597</f>
        <v>64</v>
      </c>
      <c r="I597" s="20"/>
      <c r="J597" s="21"/>
      <c r="K597" s="57">
        <v>64</v>
      </c>
      <c r="L597" s="23">
        <f t="shared" si="79"/>
        <v>-8</v>
      </c>
      <c r="M597" s="23">
        <f t="shared" si="80"/>
        <v>-8</v>
      </c>
      <c r="N597" s="23"/>
      <c r="O597" s="23"/>
    </row>
    <row r="598" spans="1:17" hidden="1" outlineLevel="1">
      <c r="A598" s="96">
        <v>45694</v>
      </c>
      <c r="B598" s="17" t="s">
        <v>14</v>
      </c>
      <c r="C598" s="101">
        <v>56</v>
      </c>
      <c r="D598" s="100"/>
      <c r="E598" s="22">
        <f t="shared" si="78"/>
        <v>-6571</v>
      </c>
      <c r="G598" s="78">
        <v>64</v>
      </c>
      <c r="H598" s="62">
        <f>C596+I598</f>
        <v>64</v>
      </c>
      <c r="I598" s="20"/>
      <c r="J598" s="21"/>
      <c r="K598" s="57">
        <v>64</v>
      </c>
      <c r="L598" s="23">
        <f t="shared" si="79"/>
        <v>-8</v>
      </c>
      <c r="M598" s="23">
        <f t="shared" si="80"/>
        <v>-8</v>
      </c>
      <c r="N598" s="23"/>
      <c r="O598" s="23">
        <v>4</v>
      </c>
    </row>
    <row r="599" spans="1:17" hidden="1" outlineLevel="1">
      <c r="A599" s="96">
        <v>45695</v>
      </c>
      <c r="B599" s="17" t="s">
        <v>15</v>
      </c>
      <c r="C599" s="101">
        <v>56</v>
      </c>
      <c r="D599" s="100"/>
      <c r="E599" s="22">
        <f t="shared" si="78"/>
        <v>-6627</v>
      </c>
      <c r="G599" s="78">
        <v>56</v>
      </c>
      <c r="H599" s="62">
        <f>C597+I599</f>
        <v>56</v>
      </c>
      <c r="I599" s="20"/>
      <c r="J599" s="21"/>
      <c r="K599" s="57">
        <v>56</v>
      </c>
      <c r="L599" s="23">
        <f t="shared" si="79"/>
        <v>-8</v>
      </c>
      <c r="M599" s="23">
        <f t="shared" si="80"/>
        <v>-8</v>
      </c>
      <c r="N599" s="23"/>
      <c r="O599" s="23">
        <v>8</v>
      </c>
      <c r="Q599" s="1">
        <f>AVERAGE(G595:G599)</f>
        <v>62.4</v>
      </c>
    </row>
    <row r="600" spans="1:17" s="12" customFormat="1" hidden="1" outlineLevel="1">
      <c r="A600" s="95">
        <v>45696</v>
      </c>
      <c r="B600" s="25" t="s">
        <v>16</v>
      </c>
      <c r="C600" s="98"/>
      <c r="D600" s="99"/>
      <c r="E600" s="87">
        <f t="shared" si="78"/>
        <v>-6627</v>
      </c>
      <c r="G600" s="79"/>
      <c r="H600" s="63"/>
      <c r="I600" s="27"/>
      <c r="J600" s="28"/>
      <c r="K600" s="43"/>
      <c r="L600" s="29">
        <f t="shared" si="79"/>
        <v>-8</v>
      </c>
      <c r="M600" s="29">
        <f t="shared" si="80"/>
        <v>-8</v>
      </c>
      <c r="N600" s="29"/>
      <c r="O600" s="29"/>
    </row>
    <row r="601" spans="1:17" s="12" customFormat="1" hidden="1" outlineLevel="1" collapsed="1">
      <c r="A601" s="95">
        <v>45697</v>
      </c>
      <c r="B601" s="25" t="s">
        <v>17</v>
      </c>
      <c r="C601" s="98"/>
      <c r="D601" s="99"/>
      <c r="E601" s="87">
        <f t="shared" si="78"/>
        <v>-6627</v>
      </c>
      <c r="G601" s="79"/>
      <c r="H601" s="63"/>
      <c r="I601" s="27"/>
      <c r="J601" s="28"/>
      <c r="K601" s="43"/>
      <c r="L601" s="29">
        <f t="shared" si="79"/>
        <v>-8</v>
      </c>
      <c r="M601" s="29">
        <f t="shared" si="80"/>
        <v>-8</v>
      </c>
      <c r="N601" s="29"/>
      <c r="O601" s="29"/>
    </row>
    <row r="602" spans="1:17" hidden="1" outlineLevel="1">
      <c r="A602" s="96">
        <v>45698</v>
      </c>
      <c r="B602" s="17" t="s">
        <v>18</v>
      </c>
      <c r="C602" s="101">
        <v>64</v>
      </c>
      <c r="D602" s="100"/>
      <c r="E602" s="22">
        <f t="shared" si="78"/>
        <v>-6691</v>
      </c>
      <c r="G602" s="78">
        <v>64</v>
      </c>
      <c r="H602" s="62">
        <f>C598+I602</f>
        <v>56</v>
      </c>
      <c r="I602" s="20"/>
      <c r="J602" s="21"/>
      <c r="K602" s="57">
        <v>56</v>
      </c>
      <c r="L602" s="23">
        <f t="shared" si="79"/>
        <v>-16</v>
      </c>
      <c r="M602" s="23">
        <f t="shared" si="80"/>
        <v>-16</v>
      </c>
      <c r="N602" s="23"/>
      <c r="O602" s="23">
        <v>7</v>
      </c>
    </row>
    <row r="603" spans="1:17" hidden="1" outlineLevel="1">
      <c r="A603" s="96">
        <v>45699</v>
      </c>
      <c r="B603" s="17" t="s">
        <v>19</v>
      </c>
      <c r="C603" s="101">
        <v>64</v>
      </c>
      <c r="D603" s="100"/>
      <c r="E603" s="22">
        <f t="shared" si="78"/>
        <v>-6755</v>
      </c>
      <c r="G603" s="78">
        <v>72</v>
      </c>
      <c r="H603" s="62">
        <f>C599+I603</f>
        <v>56</v>
      </c>
      <c r="I603" s="20"/>
      <c r="J603" s="21"/>
      <c r="K603" s="57">
        <v>56</v>
      </c>
      <c r="L603" s="23">
        <f t="shared" si="79"/>
        <v>-32</v>
      </c>
      <c r="M603" s="23">
        <f t="shared" si="80"/>
        <v>-32</v>
      </c>
      <c r="N603" s="23"/>
      <c r="O603" s="23">
        <v>8</v>
      </c>
    </row>
    <row r="604" spans="1:17" hidden="1" outlineLevel="1">
      <c r="A604" s="96">
        <v>45700</v>
      </c>
      <c r="B604" s="17" t="s">
        <v>20</v>
      </c>
      <c r="C604" s="101">
        <v>64</v>
      </c>
      <c r="D604" s="100"/>
      <c r="E604" s="22">
        <f t="shared" si="78"/>
        <v>-6819</v>
      </c>
      <c r="G604" s="78">
        <v>56</v>
      </c>
      <c r="H604" s="62">
        <f>C602+I604</f>
        <v>64</v>
      </c>
      <c r="I604" s="20"/>
      <c r="J604" s="21"/>
      <c r="K604" s="57">
        <v>64</v>
      </c>
      <c r="L604" s="23">
        <f t="shared" si="79"/>
        <v>-24</v>
      </c>
      <c r="M604" s="23">
        <f t="shared" si="80"/>
        <v>-24</v>
      </c>
      <c r="N604" s="23"/>
      <c r="O604" s="23">
        <v>5</v>
      </c>
    </row>
    <row r="605" spans="1:17" hidden="1" outlineLevel="1">
      <c r="A605" s="96">
        <v>45701</v>
      </c>
      <c r="B605" s="17" t="s">
        <v>14</v>
      </c>
      <c r="C605" s="101">
        <v>64</v>
      </c>
      <c r="D605" s="100"/>
      <c r="E605" s="22">
        <f t="shared" si="78"/>
        <v>-6883</v>
      </c>
      <c r="G605" s="78">
        <v>64</v>
      </c>
      <c r="H605" s="62">
        <f>C603+I605</f>
        <v>64</v>
      </c>
      <c r="I605" s="20"/>
      <c r="J605" s="21"/>
      <c r="K605" s="57">
        <v>64</v>
      </c>
      <c r="L605" s="23">
        <f t="shared" si="79"/>
        <v>-24</v>
      </c>
      <c r="M605" s="23">
        <f t="shared" si="80"/>
        <v>-24</v>
      </c>
      <c r="N605" s="23"/>
      <c r="O605" s="23">
        <v>9</v>
      </c>
    </row>
    <row r="606" spans="1:17" hidden="1" outlineLevel="1">
      <c r="A606" s="96">
        <v>45702</v>
      </c>
      <c r="B606" s="17" t="s">
        <v>15</v>
      </c>
      <c r="C606" s="101">
        <v>64</v>
      </c>
      <c r="D606" s="100"/>
      <c r="E606" s="22">
        <f t="shared" si="78"/>
        <v>-6947</v>
      </c>
      <c r="G606" s="78">
        <v>56</v>
      </c>
      <c r="H606" s="62">
        <f>C604+I606</f>
        <v>64</v>
      </c>
      <c r="I606" s="20"/>
      <c r="J606" s="21"/>
      <c r="K606" s="57">
        <v>64</v>
      </c>
      <c r="L606" s="23">
        <f t="shared" si="79"/>
        <v>-16</v>
      </c>
      <c r="M606" s="23">
        <f t="shared" si="80"/>
        <v>-16</v>
      </c>
      <c r="N606" s="23"/>
      <c r="O606" s="23">
        <v>8</v>
      </c>
      <c r="Q606" s="1">
        <f>AVERAGE(G602:G606)</f>
        <v>62.4</v>
      </c>
    </row>
    <row r="607" spans="1:17" s="12" customFormat="1" hidden="1" outlineLevel="1">
      <c r="A607" s="95">
        <v>45703</v>
      </c>
      <c r="B607" s="25" t="s">
        <v>16</v>
      </c>
      <c r="C607" s="98"/>
      <c r="D607" s="99"/>
      <c r="E607" s="87">
        <f t="shared" si="78"/>
        <v>-6947</v>
      </c>
      <c r="G607" s="79"/>
      <c r="H607" s="63"/>
      <c r="I607" s="27"/>
      <c r="J607" s="28"/>
      <c r="K607" s="43"/>
      <c r="L607" s="29">
        <f t="shared" si="79"/>
        <v>-16</v>
      </c>
      <c r="M607" s="29">
        <f t="shared" si="80"/>
        <v>-16</v>
      </c>
      <c r="N607" s="29"/>
      <c r="O607" s="29"/>
    </row>
    <row r="608" spans="1:17" s="12" customFormat="1" hidden="1" outlineLevel="1" collapsed="1">
      <c r="A608" s="95">
        <v>45704</v>
      </c>
      <c r="B608" s="25" t="s">
        <v>17</v>
      </c>
      <c r="C608" s="98"/>
      <c r="D608" s="99"/>
      <c r="E608" s="87">
        <f t="shared" si="78"/>
        <v>-6947</v>
      </c>
      <c r="G608" s="79"/>
      <c r="H608" s="63"/>
      <c r="I608" s="27"/>
      <c r="J608" s="28"/>
      <c r="K608" s="43"/>
      <c r="L608" s="29">
        <f t="shared" si="79"/>
        <v>-16</v>
      </c>
      <c r="M608" s="29">
        <f t="shared" si="80"/>
        <v>-16</v>
      </c>
      <c r="N608" s="29"/>
      <c r="O608" s="29"/>
    </row>
    <row r="609" spans="1:17" hidden="1" outlineLevel="1">
      <c r="A609" s="96">
        <v>45705</v>
      </c>
      <c r="B609" s="17" t="s">
        <v>18</v>
      </c>
      <c r="C609" s="101">
        <v>64</v>
      </c>
      <c r="D609" s="100"/>
      <c r="E609" s="22">
        <f t="shared" si="78"/>
        <v>-7011</v>
      </c>
      <c r="G609" s="78">
        <v>64</v>
      </c>
      <c r="H609" s="62">
        <f>C605+I609</f>
        <v>64</v>
      </c>
      <c r="I609" s="20"/>
      <c r="J609" s="21"/>
      <c r="K609" s="57">
        <v>64</v>
      </c>
      <c r="L609" s="23">
        <f t="shared" si="79"/>
        <v>-16</v>
      </c>
      <c r="M609" s="23">
        <f t="shared" si="80"/>
        <v>-16</v>
      </c>
      <c r="N609" s="23"/>
      <c r="O609" s="23">
        <v>7</v>
      </c>
    </row>
    <row r="610" spans="1:17" hidden="1" outlineLevel="1">
      <c r="A610" s="96">
        <v>45706</v>
      </c>
      <c r="B610" s="17" t="s">
        <v>19</v>
      </c>
      <c r="C610" s="101">
        <v>64</v>
      </c>
      <c r="D610" s="100"/>
      <c r="E610" s="22">
        <f t="shared" si="78"/>
        <v>-7075</v>
      </c>
      <c r="G610" s="78">
        <v>72</v>
      </c>
      <c r="H610" s="62">
        <f>C606+I610</f>
        <v>64</v>
      </c>
      <c r="I610" s="20"/>
      <c r="J610" s="21"/>
      <c r="K610" s="57">
        <v>64</v>
      </c>
      <c r="L610" s="23">
        <f t="shared" si="79"/>
        <v>-24</v>
      </c>
      <c r="M610" s="23">
        <f t="shared" si="80"/>
        <v>-24</v>
      </c>
      <c r="N610" s="23"/>
      <c r="O610" s="23">
        <v>12</v>
      </c>
    </row>
    <row r="611" spans="1:17" hidden="1" outlineLevel="1">
      <c r="A611" s="96">
        <v>45707</v>
      </c>
      <c r="B611" s="17" t="s">
        <v>20</v>
      </c>
      <c r="C611" s="101">
        <v>64</v>
      </c>
      <c r="D611" s="100"/>
      <c r="E611" s="22">
        <f t="shared" si="78"/>
        <v>-7139</v>
      </c>
      <c r="G611" s="78">
        <v>64</v>
      </c>
      <c r="H611" s="62">
        <f>C609+I611</f>
        <v>64</v>
      </c>
      <c r="I611" s="20"/>
      <c r="J611" s="21"/>
      <c r="K611" s="57">
        <v>64</v>
      </c>
      <c r="L611" s="23">
        <f t="shared" si="79"/>
        <v>-24</v>
      </c>
      <c r="M611" s="23">
        <f t="shared" si="80"/>
        <v>-24</v>
      </c>
      <c r="N611" s="23"/>
      <c r="O611" s="23">
        <v>7</v>
      </c>
    </row>
    <row r="612" spans="1:17" hidden="1" outlineLevel="1">
      <c r="A612" s="96">
        <v>45708</v>
      </c>
      <c r="B612" s="17" t="s">
        <v>14</v>
      </c>
      <c r="C612" s="101">
        <v>64</v>
      </c>
      <c r="D612" s="100"/>
      <c r="E612" s="22">
        <f t="shared" si="78"/>
        <v>-7203</v>
      </c>
      <c r="G612" s="78">
        <v>64</v>
      </c>
      <c r="H612" s="62">
        <f>C610+I612</f>
        <v>64</v>
      </c>
      <c r="I612" s="20"/>
      <c r="J612" s="21"/>
      <c r="K612" s="57">
        <v>64</v>
      </c>
      <c r="L612" s="23">
        <f t="shared" si="79"/>
        <v>-24</v>
      </c>
      <c r="M612" s="23">
        <f t="shared" si="80"/>
        <v>-24</v>
      </c>
      <c r="N612" s="23"/>
      <c r="O612" s="23">
        <v>0</v>
      </c>
    </row>
    <row r="613" spans="1:17" hidden="1" outlineLevel="1">
      <c r="A613" s="96">
        <v>45709</v>
      </c>
      <c r="B613" s="17" t="s">
        <v>15</v>
      </c>
      <c r="C613" s="101">
        <v>64</v>
      </c>
      <c r="D613" s="100"/>
      <c r="E613" s="22">
        <f t="shared" si="78"/>
        <v>-7267</v>
      </c>
      <c r="G613" s="78">
        <v>48</v>
      </c>
      <c r="H613" s="62">
        <f>C611+I613</f>
        <v>96</v>
      </c>
      <c r="I613" s="20">
        <v>32</v>
      </c>
      <c r="J613" s="21"/>
      <c r="K613" s="57">
        <v>96</v>
      </c>
      <c r="L613" s="23">
        <f t="shared" si="79"/>
        <v>24</v>
      </c>
      <c r="M613" s="23">
        <f t="shared" si="80"/>
        <v>24</v>
      </c>
      <c r="N613" s="23"/>
      <c r="O613" s="23">
        <v>7</v>
      </c>
      <c r="Q613" s="1">
        <f>AVERAGE(G609:G613)</f>
        <v>62.4</v>
      </c>
    </row>
    <row r="614" spans="1:17" s="12" customFormat="1" hidden="1" outlineLevel="1">
      <c r="A614" s="95">
        <v>45710</v>
      </c>
      <c r="B614" s="25" t="s">
        <v>16</v>
      </c>
      <c r="C614" s="98"/>
      <c r="D614" s="99"/>
      <c r="E614" s="87">
        <f t="shared" si="78"/>
        <v>-7267</v>
      </c>
      <c r="G614" s="79"/>
      <c r="H614" s="63"/>
      <c r="I614" s="27"/>
      <c r="J614" s="28"/>
      <c r="K614" s="43"/>
      <c r="L614" s="29">
        <f t="shared" si="79"/>
        <v>24</v>
      </c>
      <c r="M614" s="29">
        <f t="shared" si="80"/>
        <v>24</v>
      </c>
      <c r="N614" s="29"/>
      <c r="O614" s="29"/>
    </row>
    <row r="615" spans="1:17" s="12" customFormat="1" hidden="1" outlineLevel="1" collapsed="1">
      <c r="A615" s="95">
        <v>45711</v>
      </c>
      <c r="B615" s="25" t="s">
        <v>17</v>
      </c>
      <c r="C615" s="98"/>
      <c r="D615" s="99"/>
      <c r="E615" s="87">
        <f t="shared" si="78"/>
        <v>-7267</v>
      </c>
      <c r="G615" s="79"/>
      <c r="H615" s="63"/>
      <c r="I615" s="27"/>
      <c r="J615" s="28"/>
      <c r="K615" s="43"/>
      <c r="L615" s="29">
        <f t="shared" si="79"/>
        <v>24</v>
      </c>
      <c r="M615" s="29">
        <f t="shared" si="80"/>
        <v>24</v>
      </c>
      <c r="N615" s="29"/>
      <c r="O615" s="29"/>
    </row>
    <row r="616" spans="1:17" hidden="1" outlineLevel="1">
      <c r="A616" s="96">
        <v>45712</v>
      </c>
      <c r="B616" s="17" t="s">
        <v>18</v>
      </c>
      <c r="C616" s="101">
        <v>72</v>
      </c>
      <c r="D616" s="100"/>
      <c r="E616" s="22">
        <f t="shared" si="78"/>
        <v>-7339</v>
      </c>
      <c r="G616" s="78">
        <v>72</v>
      </c>
      <c r="H616" s="62">
        <f>C612+I616</f>
        <v>48</v>
      </c>
      <c r="I616" s="20">
        <v>-16</v>
      </c>
      <c r="J616" s="21"/>
      <c r="K616" s="57">
        <v>48</v>
      </c>
      <c r="L616" s="23">
        <f t="shared" si="79"/>
        <v>0</v>
      </c>
      <c r="M616" s="23">
        <f t="shared" si="80"/>
        <v>0</v>
      </c>
      <c r="N616" s="23"/>
      <c r="O616" s="23">
        <v>7</v>
      </c>
    </row>
    <row r="617" spans="1:17" hidden="1" outlineLevel="1">
      <c r="A617" s="96">
        <v>45713</v>
      </c>
      <c r="B617" s="17" t="s">
        <v>19</v>
      </c>
      <c r="C617" s="101">
        <v>72</v>
      </c>
      <c r="D617" s="100"/>
      <c r="E617" s="22">
        <f t="shared" si="78"/>
        <v>-7411</v>
      </c>
      <c r="G617" s="78">
        <v>72</v>
      </c>
      <c r="H617" s="62">
        <f>C613+I617</f>
        <v>72</v>
      </c>
      <c r="I617" s="20">
        <v>8</v>
      </c>
      <c r="J617" s="21"/>
      <c r="K617" s="57">
        <v>72</v>
      </c>
      <c r="L617" s="23">
        <f t="shared" si="79"/>
        <v>0</v>
      </c>
      <c r="M617" s="23">
        <f t="shared" si="80"/>
        <v>0</v>
      </c>
      <c r="N617" s="23"/>
      <c r="O617" s="23">
        <v>11</v>
      </c>
    </row>
    <row r="618" spans="1:17" hidden="1" outlineLevel="1">
      <c r="A618" s="96">
        <v>45714</v>
      </c>
      <c r="B618" s="17" t="s">
        <v>20</v>
      </c>
      <c r="C618" s="101">
        <v>72</v>
      </c>
      <c r="D618" s="100"/>
      <c r="E618" s="22">
        <f t="shared" si="78"/>
        <v>-7483</v>
      </c>
      <c r="G618" s="78">
        <v>56</v>
      </c>
      <c r="H618" s="62">
        <f>C616+I618</f>
        <v>88</v>
      </c>
      <c r="I618" s="20">
        <v>16</v>
      </c>
      <c r="J618" s="21"/>
      <c r="K618" s="57">
        <v>88</v>
      </c>
      <c r="L618" s="23">
        <f t="shared" si="79"/>
        <v>32</v>
      </c>
      <c r="M618" s="23">
        <f t="shared" si="80"/>
        <v>32</v>
      </c>
      <c r="N618" s="23"/>
      <c r="O618" s="23">
        <v>6</v>
      </c>
    </row>
    <row r="619" spans="1:17" hidden="1" outlineLevel="1">
      <c r="A619" s="96">
        <v>45715</v>
      </c>
      <c r="B619" s="17" t="s">
        <v>14</v>
      </c>
      <c r="C619" s="101">
        <v>64</v>
      </c>
      <c r="D619" s="100"/>
      <c r="E619" s="22">
        <f t="shared" si="78"/>
        <v>-7547</v>
      </c>
      <c r="G619" s="78">
        <v>80</v>
      </c>
      <c r="H619" s="62">
        <f>C617+I619</f>
        <v>104</v>
      </c>
      <c r="I619" s="20">
        <v>32</v>
      </c>
      <c r="J619" s="21"/>
      <c r="K619" s="57">
        <v>104</v>
      </c>
      <c r="L619" s="23">
        <f t="shared" si="79"/>
        <v>56</v>
      </c>
      <c r="M619" s="23">
        <f t="shared" si="80"/>
        <v>56</v>
      </c>
      <c r="N619" s="23"/>
      <c r="O619" s="23">
        <v>14</v>
      </c>
    </row>
    <row r="620" spans="1:17" hidden="1" outlineLevel="1">
      <c r="A620" s="96">
        <v>45716</v>
      </c>
      <c r="B620" s="17" t="s">
        <v>15</v>
      </c>
      <c r="C620" s="101">
        <v>64</v>
      </c>
      <c r="D620" s="100"/>
      <c r="E620" s="22">
        <f t="shared" si="78"/>
        <v>-7611</v>
      </c>
      <c r="G620" s="78">
        <v>56</v>
      </c>
      <c r="H620" s="62">
        <f>C618+I620</f>
        <v>32</v>
      </c>
      <c r="I620" s="20">
        <v>-40</v>
      </c>
      <c r="J620" s="21"/>
      <c r="K620" s="57">
        <v>32</v>
      </c>
      <c r="L620" s="23">
        <f t="shared" si="79"/>
        <v>32</v>
      </c>
      <c r="M620" s="23">
        <f t="shared" si="80"/>
        <v>32</v>
      </c>
      <c r="N620" s="23"/>
      <c r="O620" s="23">
        <f>5+5</f>
        <v>10</v>
      </c>
      <c r="Q620" s="1">
        <f>AVERAGE(G616:G620)</f>
        <v>67.2</v>
      </c>
    </row>
    <row r="621" spans="1:17" s="12" customFormat="1" hidden="1" outlineLevel="1">
      <c r="A621" s="95">
        <v>45717</v>
      </c>
      <c r="B621" s="25" t="s">
        <v>16</v>
      </c>
      <c r="C621" s="98"/>
      <c r="D621" s="99"/>
      <c r="E621" s="87">
        <f t="shared" si="78"/>
        <v>-7611</v>
      </c>
      <c r="G621" s="79"/>
      <c r="H621" s="63"/>
      <c r="I621" s="27"/>
      <c r="J621" s="28"/>
      <c r="K621" s="43"/>
      <c r="L621" s="29">
        <f t="shared" si="79"/>
        <v>32</v>
      </c>
      <c r="M621" s="29">
        <f t="shared" si="80"/>
        <v>32</v>
      </c>
      <c r="N621" s="29"/>
      <c r="O621" s="29"/>
    </row>
    <row r="622" spans="1:17" s="12" customFormat="1" hidden="1" outlineLevel="1" collapsed="1">
      <c r="A622" s="95">
        <v>45718</v>
      </c>
      <c r="B622" s="25" t="s">
        <v>17</v>
      </c>
      <c r="C622" s="98"/>
      <c r="D622" s="99"/>
      <c r="E622" s="87">
        <f t="shared" ref="E622:E651" si="81">E621-C622+D622</f>
        <v>-7611</v>
      </c>
      <c r="G622" s="79"/>
      <c r="H622" s="63"/>
      <c r="I622" s="27"/>
      <c r="J622" s="28"/>
      <c r="K622" s="43"/>
      <c r="L622" s="29">
        <f t="shared" ref="L622:L651" si="82">L621-G622+K622</f>
        <v>32</v>
      </c>
      <c r="M622" s="29">
        <f t="shared" ref="M622:M651" si="83">M621-G622+H622</f>
        <v>32</v>
      </c>
      <c r="N622" s="29"/>
      <c r="O622" s="29"/>
    </row>
    <row r="623" spans="1:17" hidden="1" outlineLevel="1">
      <c r="A623" s="96">
        <v>45719</v>
      </c>
      <c r="B623" s="17" t="s">
        <v>18</v>
      </c>
      <c r="C623" s="101">
        <v>64</v>
      </c>
      <c r="D623" s="100"/>
      <c r="E623" s="22">
        <f t="shared" si="81"/>
        <v>-7675</v>
      </c>
      <c r="G623" s="78">
        <v>72</v>
      </c>
      <c r="H623" s="62">
        <f>C619+I623</f>
        <v>64</v>
      </c>
      <c r="I623" s="20"/>
      <c r="J623" s="21"/>
      <c r="K623" s="57">
        <v>64</v>
      </c>
      <c r="L623" s="23">
        <f t="shared" si="82"/>
        <v>24</v>
      </c>
      <c r="M623" s="23">
        <f t="shared" si="83"/>
        <v>24</v>
      </c>
      <c r="N623" s="23"/>
      <c r="O623" s="23">
        <v>4</v>
      </c>
    </row>
    <row r="624" spans="1:17" hidden="1" outlineLevel="1">
      <c r="A624" s="96">
        <v>45720</v>
      </c>
      <c r="B624" s="17" t="s">
        <v>19</v>
      </c>
      <c r="C624" s="101">
        <v>64</v>
      </c>
      <c r="D624" s="100"/>
      <c r="E624" s="22">
        <f t="shared" si="81"/>
        <v>-7739</v>
      </c>
      <c r="G624" s="78">
        <v>72</v>
      </c>
      <c r="H624" s="62">
        <f>C620+I624</f>
        <v>72</v>
      </c>
      <c r="I624" s="20">
        <v>8</v>
      </c>
      <c r="J624" s="21"/>
      <c r="K624" s="57">
        <v>72</v>
      </c>
      <c r="L624" s="23">
        <f t="shared" si="82"/>
        <v>24</v>
      </c>
      <c r="M624" s="23">
        <f t="shared" si="83"/>
        <v>24</v>
      </c>
      <c r="N624" s="23"/>
      <c r="O624" s="23">
        <v>8</v>
      </c>
    </row>
    <row r="625" spans="1:17" hidden="1" outlineLevel="1">
      <c r="A625" s="96">
        <v>45721</v>
      </c>
      <c r="B625" s="17" t="s">
        <v>20</v>
      </c>
      <c r="C625" s="101">
        <v>64</v>
      </c>
      <c r="D625" s="100"/>
      <c r="E625" s="22">
        <f t="shared" si="81"/>
        <v>-7803</v>
      </c>
      <c r="G625" s="78">
        <v>56</v>
      </c>
      <c r="H625" s="62">
        <f>C623+I625</f>
        <v>56</v>
      </c>
      <c r="I625" s="20">
        <v>-8</v>
      </c>
      <c r="J625" s="21"/>
      <c r="K625" s="57">
        <v>56</v>
      </c>
      <c r="L625" s="23">
        <f t="shared" si="82"/>
        <v>24</v>
      </c>
      <c r="M625" s="23">
        <f t="shared" si="83"/>
        <v>24</v>
      </c>
      <c r="N625" s="23"/>
      <c r="O625" s="23">
        <v>12</v>
      </c>
    </row>
    <row r="626" spans="1:17" hidden="1" outlineLevel="1">
      <c r="A626" s="96">
        <v>45722</v>
      </c>
      <c r="B626" s="17" t="s">
        <v>14</v>
      </c>
      <c r="C626" s="101">
        <v>64</v>
      </c>
      <c r="D626" s="100"/>
      <c r="E626" s="22">
        <f t="shared" si="81"/>
        <v>-7867</v>
      </c>
      <c r="G626" s="78">
        <v>72</v>
      </c>
      <c r="H626" s="62">
        <f>C624+I626</f>
        <v>56</v>
      </c>
      <c r="I626" s="20">
        <v>-8</v>
      </c>
      <c r="J626" s="21"/>
      <c r="K626" s="57">
        <v>56</v>
      </c>
      <c r="L626" s="23">
        <f t="shared" si="82"/>
        <v>8</v>
      </c>
      <c r="M626" s="23">
        <f t="shared" si="83"/>
        <v>8</v>
      </c>
      <c r="N626" s="23"/>
      <c r="O626" s="23">
        <f>4+2</f>
        <v>6</v>
      </c>
    </row>
    <row r="627" spans="1:17" hidden="1" outlineLevel="1">
      <c r="A627" s="96">
        <v>45723</v>
      </c>
      <c r="B627" s="17" t="s">
        <v>15</v>
      </c>
      <c r="C627" s="101">
        <v>64</v>
      </c>
      <c r="D627" s="100"/>
      <c r="E627" s="22">
        <f t="shared" si="81"/>
        <v>-7931</v>
      </c>
      <c r="G627" s="78">
        <v>48</v>
      </c>
      <c r="H627" s="62">
        <f>C625+I627</f>
        <v>72</v>
      </c>
      <c r="I627" s="20">
        <v>8</v>
      </c>
      <c r="J627" s="21"/>
      <c r="K627" s="57">
        <v>72</v>
      </c>
      <c r="L627" s="23">
        <f t="shared" si="82"/>
        <v>32</v>
      </c>
      <c r="M627" s="23">
        <f t="shared" si="83"/>
        <v>32</v>
      </c>
      <c r="N627" s="23"/>
      <c r="O627" s="23">
        <v>7</v>
      </c>
      <c r="Q627" s="1">
        <f>AVERAGE(G623:G627)</f>
        <v>64</v>
      </c>
    </row>
    <row r="628" spans="1:17" s="12" customFormat="1" hidden="1" outlineLevel="1">
      <c r="A628" s="95">
        <v>45724</v>
      </c>
      <c r="B628" s="25" t="s">
        <v>16</v>
      </c>
      <c r="C628" s="98"/>
      <c r="D628" s="99"/>
      <c r="E628" s="87">
        <f t="shared" si="81"/>
        <v>-7931</v>
      </c>
      <c r="G628" s="79"/>
      <c r="H628" s="63"/>
      <c r="I628" s="27"/>
      <c r="J628" s="28"/>
      <c r="K628" s="43"/>
      <c r="L628" s="29">
        <f t="shared" si="82"/>
        <v>32</v>
      </c>
      <c r="M628" s="29">
        <f t="shared" si="83"/>
        <v>32</v>
      </c>
      <c r="N628" s="29"/>
      <c r="O628" s="29"/>
    </row>
    <row r="629" spans="1:17" s="12" customFormat="1" hidden="1" outlineLevel="1" collapsed="1">
      <c r="A629" s="95">
        <v>45725</v>
      </c>
      <c r="B629" s="25" t="s">
        <v>17</v>
      </c>
      <c r="C629" s="98"/>
      <c r="D629" s="99"/>
      <c r="E629" s="87">
        <f t="shared" si="81"/>
        <v>-7931</v>
      </c>
      <c r="G629" s="79"/>
      <c r="H629" s="63"/>
      <c r="I629" s="27"/>
      <c r="J629" s="28"/>
      <c r="K629" s="43"/>
      <c r="L629" s="29">
        <f t="shared" si="82"/>
        <v>32</v>
      </c>
      <c r="M629" s="29">
        <f t="shared" si="83"/>
        <v>32</v>
      </c>
      <c r="N629" s="29"/>
      <c r="O629" s="29"/>
    </row>
    <row r="630" spans="1:17" hidden="1" outlineLevel="1">
      <c r="A630" s="96">
        <v>45726</v>
      </c>
      <c r="B630" s="17" t="s">
        <v>18</v>
      </c>
      <c r="C630" s="101">
        <v>56</v>
      </c>
      <c r="D630" s="100"/>
      <c r="E630" s="22">
        <f t="shared" si="81"/>
        <v>-7987</v>
      </c>
      <c r="G630" s="78">
        <v>72</v>
      </c>
      <c r="H630" s="62">
        <f>C626+I630</f>
        <v>96</v>
      </c>
      <c r="I630" s="20">
        <v>32</v>
      </c>
      <c r="J630" s="21"/>
      <c r="K630" s="57">
        <v>96</v>
      </c>
      <c r="L630" s="23">
        <f t="shared" si="82"/>
        <v>56</v>
      </c>
      <c r="M630" s="23">
        <f t="shared" si="83"/>
        <v>56</v>
      </c>
      <c r="N630" s="23"/>
      <c r="O630" s="23">
        <v>6</v>
      </c>
    </row>
    <row r="631" spans="1:17" hidden="1" outlineLevel="1">
      <c r="A631" s="96">
        <v>45727</v>
      </c>
      <c r="B631" s="17" t="s">
        <v>19</v>
      </c>
      <c r="C631" s="101">
        <v>56</v>
      </c>
      <c r="D631" s="100"/>
      <c r="E631" s="22">
        <f t="shared" si="81"/>
        <v>-8043</v>
      </c>
      <c r="G631" s="78">
        <v>72</v>
      </c>
      <c r="H631" s="62">
        <f>C627+I631</f>
        <v>56</v>
      </c>
      <c r="I631" s="20">
        <v>-8</v>
      </c>
      <c r="J631" s="21"/>
      <c r="K631" s="57">
        <v>56</v>
      </c>
      <c r="L631" s="23">
        <f t="shared" si="82"/>
        <v>40</v>
      </c>
      <c r="M631" s="23">
        <f t="shared" si="83"/>
        <v>40</v>
      </c>
      <c r="N631" s="23"/>
      <c r="O631" s="23">
        <v>7</v>
      </c>
    </row>
    <row r="632" spans="1:17" hidden="1" outlineLevel="1">
      <c r="A632" s="96">
        <v>45728</v>
      </c>
      <c r="B632" s="17" t="s">
        <v>20</v>
      </c>
      <c r="C632" s="101">
        <v>64</v>
      </c>
      <c r="D632" s="100"/>
      <c r="E632" s="22">
        <f t="shared" si="81"/>
        <v>-8107</v>
      </c>
      <c r="G632" s="78">
        <v>56</v>
      </c>
      <c r="H632" s="62">
        <f>C630+I632</f>
        <v>56</v>
      </c>
      <c r="I632" s="20"/>
      <c r="J632" s="21"/>
      <c r="K632" s="57">
        <v>56</v>
      </c>
      <c r="L632" s="23">
        <f t="shared" si="82"/>
        <v>40</v>
      </c>
      <c r="M632" s="23">
        <f t="shared" si="83"/>
        <v>40</v>
      </c>
      <c r="N632" s="23"/>
      <c r="O632" s="23">
        <v>6</v>
      </c>
    </row>
    <row r="633" spans="1:17" hidden="1" outlineLevel="1">
      <c r="A633" s="96">
        <v>45729</v>
      </c>
      <c r="B633" s="17" t="s">
        <v>14</v>
      </c>
      <c r="C633" s="101">
        <v>64</v>
      </c>
      <c r="D633" s="100"/>
      <c r="E633" s="22">
        <f t="shared" si="81"/>
        <v>-8171</v>
      </c>
      <c r="G633" s="78">
        <v>72</v>
      </c>
      <c r="H633" s="62">
        <f>C631+I633</f>
        <v>16</v>
      </c>
      <c r="I633" s="20">
        <v>-40</v>
      </c>
      <c r="J633" s="21"/>
      <c r="K633" s="57">
        <v>16</v>
      </c>
      <c r="L633" s="23">
        <f t="shared" si="82"/>
        <v>-16</v>
      </c>
      <c r="M633" s="23">
        <f t="shared" si="83"/>
        <v>-16</v>
      </c>
      <c r="N633" s="23"/>
      <c r="O633" s="23">
        <v>4</v>
      </c>
    </row>
    <row r="634" spans="1:17" hidden="1" outlineLevel="1">
      <c r="A634" s="96">
        <v>45730</v>
      </c>
      <c r="B634" s="17" t="s">
        <v>15</v>
      </c>
      <c r="C634" s="101">
        <v>64</v>
      </c>
      <c r="D634" s="100"/>
      <c r="E634" s="22">
        <f t="shared" si="81"/>
        <v>-8235</v>
      </c>
      <c r="G634" s="78">
        <v>48</v>
      </c>
      <c r="H634" s="62">
        <f>C632+I634</f>
        <v>72</v>
      </c>
      <c r="I634" s="20">
        <v>8</v>
      </c>
      <c r="J634" s="21"/>
      <c r="K634" s="57">
        <v>72</v>
      </c>
      <c r="L634" s="23">
        <f t="shared" si="82"/>
        <v>8</v>
      </c>
      <c r="M634" s="23">
        <f t="shared" si="83"/>
        <v>8</v>
      </c>
      <c r="N634" s="23"/>
      <c r="O634" s="23">
        <v>16</v>
      </c>
      <c r="Q634" s="1">
        <f>AVERAGE(G630:G634)</f>
        <v>64</v>
      </c>
    </row>
    <row r="635" spans="1:17" s="12" customFormat="1" hidden="1" outlineLevel="1">
      <c r="A635" s="95">
        <v>45731</v>
      </c>
      <c r="B635" s="25" t="s">
        <v>16</v>
      </c>
      <c r="C635" s="98"/>
      <c r="D635" s="99"/>
      <c r="E635" s="87">
        <f t="shared" si="81"/>
        <v>-8235</v>
      </c>
      <c r="G635" s="79"/>
      <c r="H635" s="63"/>
      <c r="I635" s="27"/>
      <c r="J635" s="28"/>
      <c r="K635" s="43"/>
      <c r="L635" s="29">
        <f t="shared" si="82"/>
        <v>8</v>
      </c>
      <c r="M635" s="29">
        <f t="shared" si="83"/>
        <v>8</v>
      </c>
      <c r="N635" s="29"/>
      <c r="O635" s="29"/>
    </row>
    <row r="636" spans="1:17" s="12" customFormat="1" hidden="1" outlineLevel="1" collapsed="1">
      <c r="A636" s="95">
        <v>45732</v>
      </c>
      <c r="B636" s="25" t="s">
        <v>17</v>
      </c>
      <c r="C636" s="279"/>
      <c r="D636" s="99"/>
      <c r="E636" s="87">
        <f t="shared" si="81"/>
        <v>-8235</v>
      </c>
      <c r="G636" s="79"/>
      <c r="H636" s="63"/>
      <c r="I636" s="27"/>
      <c r="J636" s="28"/>
      <c r="K636" s="43"/>
      <c r="L636" s="29">
        <f t="shared" si="82"/>
        <v>8</v>
      </c>
      <c r="M636" s="29">
        <f t="shared" si="83"/>
        <v>8</v>
      </c>
      <c r="N636" s="29"/>
      <c r="O636" s="29"/>
    </row>
    <row r="637" spans="1:17" hidden="1" outlineLevel="1">
      <c r="A637" s="96">
        <v>45733</v>
      </c>
      <c r="B637" s="17" t="s">
        <v>18</v>
      </c>
      <c r="C637" s="101">
        <v>56</v>
      </c>
      <c r="D637" s="100"/>
      <c r="E637" s="22">
        <f t="shared" si="81"/>
        <v>-8291</v>
      </c>
      <c r="G637" s="78">
        <v>72</v>
      </c>
      <c r="H637" s="62">
        <f>C633+I637</f>
        <v>104</v>
      </c>
      <c r="I637" s="20">
        <v>40</v>
      </c>
      <c r="J637" s="21"/>
      <c r="K637" s="57">
        <v>104</v>
      </c>
      <c r="L637" s="23">
        <f t="shared" si="82"/>
        <v>40</v>
      </c>
      <c r="M637" s="23">
        <f t="shared" si="83"/>
        <v>40</v>
      </c>
      <c r="N637" s="23"/>
      <c r="O637" s="23">
        <v>12</v>
      </c>
    </row>
    <row r="638" spans="1:17" hidden="1" outlineLevel="1">
      <c r="A638" s="96">
        <v>45734</v>
      </c>
      <c r="B638" s="17" t="s">
        <v>19</v>
      </c>
      <c r="C638" s="101">
        <v>56</v>
      </c>
      <c r="D638" s="100"/>
      <c r="E638" s="22">
        <f t="shared" si="81"/>
        <v>-8347</v>
      </c>
      <c r="G638" s="78">
        <v>72</v>
      </c>
      <c r="H638" s="62">
        <f>C634+I638</f>
        <v>24</v>
      </c>
      <c r="I638" s="20">
        <v>-40</v>
      </c>
      <c r="J638" s="21"/>
      <c r="K638" s="57">
        <v>24</v>
      </c>
      <c r="L638" s="23">
        <f t="shared" si="82"/>
        <v>-8</v>
      </c>
      <c r="M638" s="23">
        <f t="shared" si="83"/>
        <v>-8</v>
      </c>
      <c r="N638" s="23"/>
      <c r="O638" s="23">
        <v>4</v>
      </c>
    </row>
    <row r="639" spans="1:17" hidden="1" outlineLevel="1">
      <c r="A639" s="96">
        <v>45735</v>
      </c>
      <c r="B639" s="17" t="s">
        <v>20</v>
      </c>
      <c r="C639" s="101">
        <v>48</v>
      </c>
      <c r="D639" s="100"/>
      <c r="E639" s="22">
        <f t="shared" si="81"/>
        <v>-8395</v>
      </c>
      <c r="G639" s="78">
        <v>48</v>
      </c>
      <c r="H639" s="62">
        <f>C637+I639</f>
        <v>32</v>
      </c>
      <c r="I639" s="20">
        <v>-24</v>
      </c>
      <c r="J639" s="21"/>
      <c r="K639" s="57">
        <v>32</v>
      </c>
      <c r="L639" s="23">
        <f t="shared" si="82"/>
        <v>-24</v>
      </c>
      <c r="M639" s="23">
        <f t="shared" si="83"/>
        <v>-24</v>
      </c>
      <c r="N639" s="23"/>
      <c r="O639" s="23">
        <v>8</v>
      </c>
    </row>
    <row r="640" spans="1:17" hidden="1" outlineLevel="1">
      <c r="A640" s="96">
        <v>45736</v>
      </c>
      <c r="B640" s="17" t="s">
        <v>14</v>
      </c>
      <c r="C640" s="101">
        <v>48</v>
      </c>
      <c r="D640" s="100"/>
      <c r="E640" s="22">
        <f t="shared" si="81"/>
        <v>-8443</v>
      </c>
      <c r="G640" s="78">
        <v>40</v>
      </c>
      <c r="H640" s="62">
        <f>C638+I640</f>
        <v>56</v>
      </c>
      <c r="I640" s="20"/>
      <c r="J640" s="21"/>
      <c r="K640" s="57">
        <v>56</v>
      </c>
      <c r="L640" s="23">
        <f t="shared" si="82"/>
        <v>-8</v>
      </c>
      <c r="M640" s="23">
        <f t="shared" si="83"/>
        <v>-8</v>
      </c>
      <c r="N640" s="23"/>
      <c r="O640" s="23">
        <v>4</v>
      </c>
    </row>
    <row r="641" spans="1:17" hidden="1" outlineLevel="1">
      <c r="A641" s="96">
        <v>45737</v>
      </c>
      <c r="B641" s="17" t="s">
        <v>15</v>
      </c>
      <c r="C641" s="101">
        <v>48</v>
      </c>
      <c r="D641" s="100"/>
      <c r="E641" s="22">
        <f t="shared" si="81"/>
        <v>-8491</v>
      </c>
      <c r="G641" s="78">
        <v>56</v>
      </c>
      <c r="H641" s="62">
        <f>C639+I641</f>
        <v>48</v>
      </c>
      <c r="I641" s="20"/>
      <c r="J641" s="21"/>
      <c r="K641" s="57">
        <v>48</v>
      </c>
      <c r="L641" s="23">
        <f t="shared" si="82"/>
        <v>-16</v>
      </c>
      <c r="M641" s="23">
        <f t="shared" si="83"/>
        <v>-16</v>
      </c>
      <c r="N641" s="23"/>
      <c r="O641" s="23">
        <v>12</v>
      </c>
      <c r="Q641" s="1">
        <f>AVERAGE(G637:G641)</f>
        <v>57.6</v>
      </c>
    </row>
    <row r="642" spans="1:17" s="12" customFormat="1" hidden="1" outlineLevel="1">
      <c r="A642" s="95">
        <v>45738</v>
      </c>
      <c r="B642" s="25" t="s">
        <v>16</v>
      </c>
      <c r="C642" s="98"/>
      <c r="D642" s="99"/>
      <c r="E642" s="87">
        <f t="shared" si="81"/>
        <v>-8491</v>
      </c>
      <c r="G642" s="79"/>
      <c r="H642" s="63"/>
      <c r="I642" s="27"/>
      <c r="J642" s="28"/>
      <c r="K642" s="43"/>
      <c r="L642" s="29">
        <f t="shared" si="82"/>
        <v>-16</v>
      </c>
      <c r="M642" s="29">
        <f t="shared" si="83"/>
        <v>-16</v>
      </c>
      <c r="N642" s="29"/>
      <c r="O642" s="29"/>
    </row>
    <row r="643" spans="1:17" s="12" customFormat="1" hidden="1" outlineLevel="1" collapsed="1">
      <c r="A643" s="95">
        <v>45739</v>
      </c>
      <c r="B643" s="25" t="s">
        <v>17</v>
      </c>
      <c r="C643" s="98"/>
      <c r="D643" s="99"/>
      <c r="E643" s="87">
        <f t="shared" si="81"/>
        <v>-8491</v>
      </c>
      <c r="G643" s="79"/>
      <c r="H643" s="63"/>
      <c r="I643" s="27"/>
      <c r="J643" s="28"/>
      <c r="K643" s="43"/>
      <c r="L643" s="29">
        <f t="shared" si="82"/>
        <v>-16</v>
      </c>
      <c r="M643" s="29">
        <f t="shared" si="83"/>
        <v>-16</v>
      </c>
      <c r="N643" s="29"/>
      <c r="O643" s="29"/>
    </row>
    <row r="644" spans="1:17" hidden="1" outlineLevel="1">
      <c r="A644" s="96">
        <v>45740</v>
      </c>
      <c r="B644" s="17" t="s">
        <v>18</v>
      </c>
      <c r="C644" s="101">
        <v>56</v>
      </c>
      <c r="D644" s="100"/>
      <c r="E644" s="22">
        <f t="shared" si="81"/>
        <v>-8547</v>
      </c>
      <c r="G644" s="78">
        <v>80</v>
      </c>
      <c r="H644" s="62">
        <f t="shared" ref="H644:H646" si="84">IF(C642&lt;&gt;"",C642+I644,IF(C640&lt;&gt;"",C640+I644,IF(C639&lt;&gt;"",C639+I644,IF(C638&lt;&gt;"",C638+I644,IF(C637&lt;&gt;"",C637+I644,IF(C636&lt;&gt;"",C636+I644))))))</f>
        <v>48</v>
      </c>
      <c r="I644" s="20"/>
      <c r="J644" s="21"/>
      <c r="K644" s="57">
        <v>48</v>
      </c>
      <c r="L644" s="23">
        <f t="shared" si="82"/>
        <v>-48</v>
      </c>
      <c r="M644" s="23">
        <f t="shared" si="83"/>
        <v>-48</v>
      </c>
      <c r="N644" s="23"/>
      <c r="O644" s="23">
        <v>14</v>
      </c>
    </row>
    <row r="645" spans="1:17" hidden="1" outlineLevel="1">
      <c r="A645" s="96">
        <v>45741</v>
      </c>
      <c r="B645" s="17" t="s">
        <v>19</v>
      </c>
      <c r="C645" s="101">
        <v>56</v>
      </c>
      <c r="D645" s="100"/>
      <c r="E645" s="22">
        <f t="shared" si="81"/>
        <v>-8603</v>
      </c>
      <c r="G645" s="78">
        <v>64</v>
      </c>
      <c r="H645" s="62">
        <f t="shared" si="84"/>
        <v>48</v>
      </c>
      <c r="I645" s="20"/>
      <c r="J645" s="21"/>
      <c r="K645" s="57">
        <v>48</v>
      </c>
      <c r="L645" s="23">
        <f t="shared" si="82"/>
        <v>-64</v>
      </c>
      <c r="M645" s="23">
        <f t="shared" si="83"/>
        <v>-64</v>
      </c>
      <c r="N645" s="23"/>
      <c r="O645" s="23">
        <v>9</v>
      </c>
    </row>
    <row r="646" spans="1:17" hidden="1" outlineLevel="1">
      <c r="A646" s="96">
        <v>45742</v>
      </c>
      <c r="B646" s="17" t="s">
        <v>20</v>
      </c>
      <c r="C646" s="101">
        <v>56</v>
      </c>
      <c r="D646" s="100"/>
      <c r="E646" s="22">
        <f t="shared" si="81"/>
        <v>-8659</v>
      </c>
      <c r="G646" s="78">
        <v>48</v>
      </c>
      <c r="H646" s="62">
        <f t="shared" si="84"/>
        <v>56</v>
      </c>
      <c r="I646" s="20"/>
      <c r="J646" s="21"/>
      <c r="K646" s="57">
        <v>56</v>
      </c>
      <c r="L646" s="23">
        <f t="shared" si="82"/>
        <v>-56</v>
      </c>
      <c r="M646" s="23">
        <f t="shared" si="83"/>
        <v>-56</v>
      </c>
      <c r="N646" s="23"/>
      <c r="O646" s="23">
        <v>11</v>
      </c>
    </row>
    <row r="647" spans="1:17" hidden="1" outlineLevel="1">
      <c r="A647" s="96">
        <v>45743</v>
      </c>
      <c r="B647" s="17" t="s">
        <v>14</v>
      </c>
      <c r="C647" s="101">
        <v>56</v>
      </c>
      <c r="D647" s="100"/>
      <c r="E647" s="22">
        <f t="shared" si="81"/>
        <v>-8715</v>
      </c>
      <c r="G647" s="78">
        <v>56</v>
      </c>
      <c r="H647" s="62">
        <f>IF(C645&lt;&gt;"",C645+I647,IF(C643&lt;&gt;"",C643+I647,IF(C642&lt;&gt;"",C642+I647,IF(C641&lt;&gt;"",C641+I647,IF(C640&lt;&gt;"",C640+I647,IF(C639&lt;&gt;"",C639+I647))))))</f>
        <v>56</v>
      </c>
      <c r="I647" s="20"/>
      <c r="J647" s="21"/>
      <c r="K647" s="57">
        <v>56</v>
      </c>
      <c r="L647" s="23">
        <f t="shared" si="82"/>
        <v>-56</v>
      </c>
      <c r="M647" s="23">
        <f t="shared" si="83"/>
        <v>-56</v>
      </c>
      <c r="N647" s="23"/>
      <c r="O647" s="23">
        <f>12+6</f>
        <v>18</v>
      </c>
    </row>
    <row r="648" spans="1:17" hidden="1" outlineLevel="1">
      <c r="A648" s="96">
        <v>45744</v>
      </c>
      <c r="B648" s="17" t="s">
        <v>15</v>
      </c>
      <c r="C648" s="101">
        <v>56</v>
      </c>
      <c r="D648" s="100"/>
      <c r="E648" s="22">
        <f t="shared" si="81"/>
        <v>-8771</v>
      </c>
      <c r="G648" s="78">
        <v>64</v>
      </c>
      <c r="H648" s="62">
        <f>IF(C646&lt;&gt;"",C646+I648,IF(C644&lt;&gt;"",C644+I648,IF(C643&lt;&gt;"",C643+I648,IF(C642&lt;&gt;"",C642+I648,IF(C641&lt;&gt;"",C641+I648,IF(C640&lt;&gt;"",C640+I648))))))</f>
        <v>56</v>
      </c>
      <c r="I648" s="20"/>
      <c r="J648" s="21"/>
      <c r="K648" s="57">
        <v>56</v>
      </c>
      <c r="L648" s="23">
        <f t="shared" si="82"/>
        <v>-64</v>
      </c>
      <c r="M648" s="23">
        <f t="shared" si="83"/>
        <v>-64</v>
      </c>
      <c r="N648" s="23"/>
      <c r="O648" s="23">
        <v>12</v>
      </c>
      <c r="Q648" s="1">
        <f>AVERAGE(G644:G648)</f>
        <v>62.4</v>
      </c>
    </row>
    <row r="649" spans="1:17" s="12" customFormat="1" hidden="1" outlineLevel="1">
      <c r="A649" s="95">
        <v>45745</v>
      </c>
      <c r="B649" s="25" t="s">
        <v>16</v>
      </c>
      <c r="C649" s="98"/>
      <c r="D649" s="99"/>
      <c r="E649" s="87">
        <f t="shared" si="81"/>
        <v>-8771</v>
      </c>
      <c r="G649" s="79"/>
      <c r="H649" s="63"/>
      <c r="I649" s="27"/>
      <c r="J649" s="28"/>
      <c r="K649" s="43"/>
      <c r="L649" s="29">
        <f t="shared" si="82"/>
        <v>-64</v>
      </c>
      <c r="M649" s="29">
        <f t="shared" si="83"/>
        <v>-64</v>
      </c>
      <c r="N649" s="29"/>
      <c r="O649" s="29"/>
    </row>
    <row r="650" spans="1:17" s="12" customFormat="1" hidden="1" outlineLevel="1" collapsed="1">
      <c r="A650" s="95">
        <v>45746</v>
      </c>
      <c r="B650" s="25" t="s">
        <v>17</v>
      </c>
      <c r="C650" s="98"/>
      <c r="D650" s="99"/>
      <c r="E650" s="87">
        <f t="shared" si="81"/>
        <v>-8771</v>
      </c>
      <c r="G650" s="79"/>
      <c r="H650" s="63"/>
      <c r="I650" s="27"/>
      <c r="J650" s="28"/>
      <c r="K650" s="43"/>
      <c r="L650" s="29">
        <f t="shared" si="82"/>
        <v>-64</v>
      </c>
      <c r="M650" s="29">
        <f t="shared" si="83"/>
        <v>-64</v>
      </c>
      <c r="N650" s="29"/>
      <c r="O650" s="29"/>
    </row>
    <row r="651" spans="1:17" hidden="1" outlineLevel="1">
      <c r="A651" s="96">
        <v>45747</v>
      </c>
      <c r="B651" s="17" t="s">
        <v>18</v>
      </c>
      <c r="C651" s="101">
        <v>64</v>
      </c>
      <c r="D651" s="100"/>
      <c r="E651" s="22">
        <f t="shared" si="81"/>
        <v>-8835</v>
      </c>
      <c r="G651" s="78">
        <v>64</v>
      </c>
      <c r="H651" s="62">
        <f>IF(C649&lt;&gt;"",C649+I651,IF(C647&lt;&gt;"",C647+I651,IF(C646&lt;&gt;"",C646+I651,IF(C645&lt;&gt;"",C645+I651,IF(C644&lt;&gt;"",C644+I651,IF(C643&lt;&gt;"",C643+I651))))))</f>
        <v>0</v>
      </c>
      <c r="I651" s="20">
        <v>-56</v>
      </c>
      <c r="J651" s="21"/>
      <c r="K651" s="57">
        <v>0</v>
      </c>
      <c r="L651" s="23">
        <f t="shared" si="82"/>
        <v>-128</v>
      </c>
      <c r="M651" s="23">
        <f t="shared" si="83"/>
        <v>-128</v>
      </c>
      <c r="N651" s="23"/>
      <c r="O651" s="23">
        <v>10</v>
      </c>
    </row>
    <row r="652" spans="1:17" hidden="1" outlineLevel="1">
      <c r="A652" s="96">
        <v>45748</v>
      </c>
      <c r="B652" s="17" t="s">
        <v>19</v>
      </c>
      <c r="C652" s="101">
        <v>0</v>
      </c>
      <c r="D652" s="100"/>
      <c r="E652" s="22">
        <f t="shared" ref="E652:E683" si="85">E651-C652+D652</f>
        <v>-8835</v>
      </c>
      <c r="G652" s="78">
        <v>48</v>
      </c>
      <c r="H652" s="62">
        <f t="shared" ref="H652:H680" si="86">IF(C650&lt;&gt;"",C650+I652,IF(C648&lt;&gt;"",C648+I652,IF(C647&lt;&gt;"",C647+I652,IF(C646&lt;&gt;"",C646+I652,IF(C645&lt;&gt;"",C645+I652,IF(C644&lt;&gt;"",C644+I652))))))</f>
        <v>56</v>
      </c>
      <c r="I652" s="20"/>
      <c r="J652" s="21"/>
      <c r="K652" s="57">
        <v>56</v>
      </c>
      <c r="L652" s="23">
        <f t="shared" ref="L652:L683" si="87">L651-G652+K652</f>
        <v>-120</v>
      </c>
      <c r="M652" s="23">
        <f t="shared" ref="M652:M683" si="88">M651-G652+H652</f>
        <v>-120</v>
      </c>
      <c r="N652" s="23"/>
      <c r="O652" s="23">
        <v>10</v>
      </c>
    </row>
    <row r="653" spans="1:17" hidden="1" outlineLevel="1">
      <c r="A653" s="96">
        <v>45749</v>
      </c>
      <c r="B653" s="17" t="s">
        <v>20</v>
      </c>
      <c r="C653" s="101">
        <v>64</v>
      </c>
      <c r="D653" s="100"/>
      <c r="E653" s="22">
        <f t="shared" si="85"/>
        <v>-8899</v>
      </c>
      <c r="G653" s="78">
        <v>72</v>
      </c>
      <c r="H653" s="62">
        <f t="shared" si="86"/>
        <v>80</v>
      </c>
      <c r="I653" s="20">
        <v>16</v>
      </c>
      <c r="J653" s="21"/>
      <c r="K653" s="57">
        <v>80</v>
      </c>
      <c r="L653" s="23">
        <f t="shared" si="87"/>
        <v>-112</v>
      </c>
      <c r="M653" s="23">
        <f t="shared" si="88"/>
        <v>-112</v>
      </c>
      <c r="N653" s="23"/>
      <c r="O653" s="23">
        <v>9</v>
      </c>
    </row>
    <row r="654" spans="1:17" s="12" customFormat="1" hidden="1" outlineLevel="1">
      <c r="A654" s="95">
        <v>45750</v>
      </c>
      <c r="B654" s="25" t="s">
        <v>14</v>
      </c>
      <c r="C654" s="101">
        <v>56</v>
      </c>
      <c r="D654" s="99"/>
      <c r="E654" s="87">
        <f t="shared" si="85"/>
        <v>-8955</v>
      </c>
      <c r="G654" s="79"/>
      <c r="H654" s="63">
        <f t="shared" si="86"/>
        <v>0</v>
      </c>
      <c r="I654" s="27"/>
      <c r="J654" s="28"/>
      <c r="K654" s="43"/>
      <c r="L654" s="29">
        <f t="shared" si="87"/>
        <v>-112</v>
      </c>
      <c r="M654" s="29">
        <f t="shared" si="88"/>
        <v>-112</v>
      </c>
      <c r="N654" s="29"/>
      <c r="O654" s="29"/>
    </row>
    <row r="655" spans="1:17" hidden="1" outlineLevel="1">
      <c r="A655" s="96">
        <v>45751</v>
      </c>
      <c r="B655" s="17" t="s">
        <v>15</v>
      </c>
      <c r="C655" s="101">
        <v>56</v>
      </c>
      <c r="D655" s="100"/>
      <c r="E655" s="22">
        <f t="shared" si="85"/>
        <v>-9011</v>
      </c>
      <c r="G655" s="78">
        <v>16</v>
      </c>
      <c r="H655" s="62">
        <f>IF(C653&lt;&gt;"",C653+I655,IF(C651&lt;&gt;"",C651+I655,IF(C650&lt;&gt;"",C650+I655,IF(C649&lt;&gt;"",C649+I655,IF(C648&lt;&gt;"",C648+I655,IF(C647&lt;&gt;"",C647+I655))))))</f>
        <v>64</v>
      </c>
      <c r="I655" s="20"/>
      <c r="J655" s="21"/>
      <c r="K655" s="57">
        <v>64</v>
      </c>
      <c r="L655" s="23">
        <f t="shared" si="87"/>
        <v>-64</v>
      </c>
      <c r="M655" s="23">
        <f t="shared" si="88"/>
        <v>-64</v>
      </c>
      <c r="N655" s="23"/>
      <c r="O655" s="23">
        <v>7</v>
      </c>
      <c r="Q655" s="1">
        <f>AVERAGE(G651:G655)</f>
        <v>50</v>
      </c>
    </row>
    <row r="656" spans="1:17" s="12" customFormat="1" hidden="1" outlineLevel="1">
      <c r="A656" s="95">
        <v>45752</v>
      </c>
      <c r="B656" s="25" t="s">
        <v>16</v>
      </c>
      <c r="C656" s="98"/>
      <c r="D656" s="99"/>
      <c r="E656" s="87">
        <f t="shared" si="85"/>
        <v>-9011</v>
      </c>
      <c r="G656" s="79"/>
      <c r="H656" s="63"/>
      <c r="I656" s="27"/>
      <c r="J656" s="28"/>
      <c r="K656" s="43"/>
      <c r="L656" s="29">
        <f t="shared" si="87"/>
        <v>-64</v>
      </c>
      <c r="M656" s="29">
        <f t="shared" si="88"/>
        <v>-64</v>
      </c>
      <c r="N656" s="29"/>
      <c r="O656" s="29"/>
    </row>
    <row r="657" spans="1:17" s="12" customFormat="1" hidden="1" outlineLevel="1" collapsed="1">
      <c r="A657" s="95">
        <v>45753</v>
      </c>
      <c r="B657" s="25" t="s">
        <v>17</v>
      </c>
      <c r="C657" s="98"/>
      <c r="D657" s="99"/>
      <c r="E657" s="87">
        <f t="shared" si="85"/>
        <v>-9011</v>
      </c>
      <c r="G657" s="79"/>
      <c r="H657" s="63"/>
      <c r="I657" s="27"/>
      <c r="J657" s="28"/>
      <c r="K657" s="43"/>
      <c r="L657" s="29">
        <f t="shared" si="87"/>
        <v>-64</v>
      </c>
      <c r="M657" s="29">
        <f t="shared" si="88"/>
        <v>-64</v>
      </c>
      <c r="N657" s="29"/>
      <c r="O657" s="29"/>
    </row>
    <row r="658" spans="1:17" hidden="1" outlineLevel="1">
      <c r="A658" s="96">
        <v>45754</v>
      </c>
      <c r="B658" s="17" t="s">
        <v>18</v>
      </c>
      <c r="C658" s="101">
        <v>64</v>
      </c>
      <c r="D658" s="100"/>
      <c r="E658" s="22">
        <f t="shared" si="85"/>
        <v>-9075</v>
      </c>
      <c r="G658" s="78">
        <v>64</v>
      </c>
      <c r="H658" s="62">
        <f>IF(C656&lt;&gt;"",C656+I658,IF(C654&lt;&gt;"",C654+I658,IF(C653&lt;&gt;"",C653+I658,IF(C652&lt;&gt;"",C652+I658,IF(C651&lt;&gt;"",C651+I658,IF(C650&lt;&gt;"",C650+I658))))))</f>
        <v>56</v>
      </c>
      <c r="I658" s="20"/>
      <c r="J658" s="21"/>
      <c r="K658" s="57">
        <v>56</v>
      </c>
      <c r="L658" s="23">
        <f t="shared" si="87"/>
        <v>-72</v>
      </c>
      <c r="M658" s="23">
        <f t="shared" si="88"/>
        <v>-72</v>
      </c>
      <c r="N658" s="23"/>
      <c r="O658" s="23">
        <v>10</v>
      </c>
    </row>
    <row r="659" spans="1:17" hidden="1" outlineLevel="1">
      <c r="A659" s="96">
        <v>45755</v>
      </c>
      <c r="B659" s="17" t="s">
        <v>19</v>
      </c>
      <c r="C659" s="101">
        <v>64</v>
      </c>
      <c r="D659" s="100"/>
      <c r="E659" s="22">
        <f t="shared" si="85"/>
        <v>-9139</v>
      </c>
      <c r="G659" s="78">
        <v>56</v>
      </c>
      <c r="H659" s="62">
        <f t="shared" si="86"/>
        <v>56</v>
      </c>
      <c r="I659" s="20"/>
      <c r="J659" s="21"/>
      <c r="K659" s="57">
        <v>56</v>
      </c>
      <c r="L659" s="23">
        <f t="shared" si="87"/>
        <v>-72</v>
      </c>
      <c r="M659" s="23">
        <f t="shared" si="88"/>
        <v>-72</v>
      </c>
      <c r="N659" s="23"/>
      <c r="O659" s="23">
        <v>16</v>
      </c>
    </row>
    <row r="660" spans="1:17" hidden="1" outlineLevel="1">
      <c r="A660" s="96">
        <v>45756</v>
      </c>
      <c r="B660" s="17" t="s">
        <v>20</v>
      </c>
      <c r="C660" s="101">
        <v>64</v>
      </c>
      <c r="D660" s="100"/>
      <c r="E660" s="22">
        <f t="shared" si="85"/>
        <v>-9203</v>
      </c>
      <c r="G660" s="78">
        <v>56</v>
      </c>
      <c r="H660" s="62">
        <f t="shared" si="86"/>
        <v>104</v>
      </c>
      <c r="I660" s="20">
        <v>40</v>
      </c>
      <c r="J660" s="21"/>
      <c r="K660" s="57">
        <v>104</v>
      </c>
      <c r="L660" s="23">
        <f t="shared" si="87"/>
        <v>-24</v>
      </c>
      <c r="M660" s="23">
        <f t="shared" si="88"/>
        <v>-24</v>
      </c>
      <c r="N660" s="23"/>
      <c r="O660" s="23">
        <v>16</v>
      </c>
    </row>
    <row r="661" spans="1:17" hidden="1" outlineLevel="1">
      <c r="A661" s="96">
        <v>45757</v>
      </c>
      <c r="B661" s="17" t="s">
        <v>14</v>
      </c>
      <c r="C661" s="101">
        <v>56</v>
      </c>
      <c r="D661" s="100"/>
      <c r="E661" s="22">
        <f t="shared" si="85"/>
        <v>-9259</v>
      </c>
      <c r="G661" s="78">
        <v>64</v>
      </c>
      <c r="H661" s="62">
        <f t="shared" si="86"/>
        <v>64</v>
      </c>
      <c r="I661" s="20"/>
      <c r="J661" s="21"/>
      <c r="K661" s="57">
        <v>64</v>
      </c>
      <c r="L661" s="23">
        <f t="shared" si="87"/>
        <v>-24</v>
      </c>
      <c r="M661" s="23">
        <f t="shared" si="88"/>
        <v>-24</v>
      </c>
      <c r="N661" s="23"/>
      <c r="O661" s="23">
        <v>14</v>
      </c>
    </row>
    <row r="662" spans="1:17" hidden="1" outlineLevel="1">
      <c r="A662" s="96">
        <v>45758</v>
      </c>
      <c r="B662" s="17" t="s">
        <v>15</v>
      </c>
      <c r="C662" s="101">
        <v>56</v>
      </c>
      <c r="D662" s="100"/>
      <c r="E662" s="22">
        <f t="shared" si="85"/>
        <v>-9315</v>
      </c>
      <c r="G662" s="78">
        <v>56</v>
      </c>
      <c r="H662" s="62">
        <f t="shared" si="86"/>
        <v>64</v>
      </c>
      <c r="I662" s="20"/>
      <c r="J662" s="21"/>
      <c r="K662" s="57">
        <v>64</v>
      </c>
      <c r="L662" s="23">
        <f t="shared" si="87"/>
        <v>-16</v>
      </c>
      <c r="M662" s="23">
        <f t="shared" si="88"/>
        <v>-16</v>
      </c>
      <c r="N662" s="23"/>
      <c r="O662" s="23">
        <v>8</v>
      </c>
      <c r="Q662" s="1">
        <f>AVERAGE(G658:G662)</f>
        <v>59.2</v>
      </c>
    </row>
    <row r="663" spans="1:17" s="12" customFormat="1" hidden="1" outlineLevel="1">
      <c r="A663" s="95">
        <v>45759</v>
      </c>
      <c r="B663" s="25" t="s">
        <v>16</v>
      </c>
      <c r="C663" s="98"/>
      <c r="D663" s="99"/>
      <c r="E663" s="87">
        <f t="shared" si="85"/>
        <v>-9315</v>
      </c>
      <c r="G663" s="79"/>
      <c r="H663" s="63"/>
      <c r="I663" s="27"/>
      <c r="J663" s="28"/>
      <c r="K663" s="43"/>
      <c r="L663" s="29">
        <f t="shared" si="87"/>
        <v>-16</v>
      </c>
      <c r="M663" s="29">
        <f t="shared" si="88"/>
        <v>-16</v>
      </c>
      <c r="N663" s="29"/>
      <c r="O663" s="29"/>
    </row>
    <row r="664" spans="1:17" s="12" customFormat="1" hidden="1" outlineLevel="1" collapsed="1">
      <c r="A664" s="95">
        <v>45760</v>
      </c>
      <c r="B664" s="25" t="s">
        <v>17</v>
      </c>
      <c r="C664" s="98"/>
      <c r="D664" s="99"/>
      <c r="E664" s="87">
        <f t="shared" si="85"/>
        <v>-9315</v>
      </c>
      <c r="G664" s="79"/>
      <c r="H664" s="63"/>
      <c r="I664" s="27"/>
      <c r="J664" s="28"/>
      <c r="K664" s="43"/>
      <c r="L664" s="29">
        <f t="shared" si="87"/>
        <v>-16</v>
      </c>
      <c r="M664" s="29">
        <f t="shared" si="88"/>
        <v>-16</v>
      </c>
      <c r="N664" s="29"/>
      <c r="O664" s="29"/>
    </row>
    <row r="665" spans="1:17" hidden="1" outlineLevel="1">
      <c r="A665" s="96">
        <v>45761</v>
      </c>
      <c r="B665" s="17" t="s">
        <v>18</v>
      </c>
      <c r="C665" s="101">
        <v>56</v>
      </c>
      <c r="D665" s="100"/>
      <c r="E665" s="22">
        <f t="shared" si="85"/>
        <v>-9371</v>
      </c>
      <c r="G665" s="78">
        <v>66</v>
      </c>
      <c r="H665" s="62">
        <f t="shared" si="86"/>
        <v>58</v>
      </c>
      <c r="I665" s="20">
        <v>2</v>
      </c>
      <c r="J665" s="21"/>
      <c r="K665" s="57">
        <v>58</v>
      </c>
      <c r="L665" s="23">
        <f t="shared" si="87"/>
        <v>-24</v>
      </c>
      <c r="M665" s="23">
        <f t="shared" si="88"/>
        <v>-24</v>
      </c>
      <c r="N665" s="23"/>
      <c r="O665" s="23">
        <v>3</v>
      </c>
    </row>
    <row r="666" spans="1:17" hidden="1" outlineLevel="1">
      <c r="A666" s="96">
        <v>45762</v>
      </c>
      <c r="B666" s="17" t="s">
        <v>19</v>
      </c>
      <c r="C666" s="101">
        <v>64</v>
      </c>
      <c r="D666" s="100"/>
      <c r="E666" s="22">
        <f t="shared" si="85"/>
        <v>-9435</v>
      </c>
      <c r="G666" s="78">
        <v>64</v>
      </c>
      <c r="H666" s="62">
        <f t="shared" si="86"/>
        <v>56</v>
      </c>
      <c r="I666" s="20"/>
      <c r="J666" s="21"/>
      <c r="K666" s="57">
        <v>56</v>
      </c>
      <c r="L666" s="23">
        <f t="shared" si="87"/>
        <v>-32</v>
      </c>
      <c r="M666" s="23">
        <f t="shared" si="88"/>
        <v>-32</v>
      </c>
      <c r="N666" s="23"/>
      <c r="O666" s="23">
        <v>4</v>
      </c>
    </row>
    <row r="667" spans="1:17" hidden="1" outlineLevel="1">
      <c r="A667" s="96">
        <v>45763</v>
      </c>
      <c r="B667" s="17" t="s">
        <v>20</v>
      </c>
      <c r="C667" s="101">
        <v>64</v>
      </c>
      <c r="D667" s="100"/>
      <c r="E667" s="22">
        <f t="shared" si="85"/>
        <v>-9499</v>
      </c>
      <c r="G667" s="78">
        <v>48</v>
      </c>
      <c r="H667" s="62">
        <f t="shared" si="86"/>
        <v>56</v>
      </c>
      <c r="I667" s="20"/>
      <c r="J667" s="21"/>
      <c r="K667" s="57">
        <v>56</v>
      </c>
      <c r="L667" s="23">
        <f t="shared" si="87"/>
        <v>-24</v>
      </c>
      <c r="M667" s="23">
        <f t="shared" si="88"/>
        <v>-24</v>
      </c>
      <c r="N667" s="23"/>
      <c r="O667" s="23">
        <v>8</v>
      </c>
    </row>
    <row r="668" spans="1:17" hidden="1" outlineLevel="1">
      <c r="A668" s="96">
        <v>45764</v>
      </c>
      <c r="B668" s="17" t="s">
        <v>14</v>
      </c>
      <c r="C668" s="101">
        <v>64</v>
      </c>
      <c r="D668" s="100"/>
      <c r="E668" s="22">
        <f t="shared" si="85"/>
        <v>-9563</v>
      </c>
      <c r="G668" s="78">
        <v>48</v>
      </c>
      <c r="H668" s="62">
        <v>64</v>
      </c>
      <c r="I668" s="20"/>
      <c r="J668" s="21"/>
      <c r="K668" s="57">
        <v>64</v>
      </c>
      <c r="L668" s="23">
        <f t="shared" si="87"/>
        <v>-8</v>
      </c>
      <c r="M668" s="23">
        <f t="shared" si="88"/>
        <v>-8</v>
      </c>
      <c r="N668" s="23"/>
      <c r="O668" s="23">
        <v>8</v>
      </c>
    </row>
    <row r="669" spans="1:17" hidden="1" outlineLevel="1">
      <c r="A669" s="96">
        <v>45765</v>
      </c>
      <c r="B669" s="17" t="s">
        <v>15</v>
      </c>
      <c r="C669" s="101">
        <v>64</v>
      </c>
      <c r="D669" s="100"/>
      <c r="E669" s="22">
        <f t="shared" si="85"/>
        <v>-9627</v>
      </c>
      <c r="G669" s="78">
        <v>48</v>
      </c>
      <c r="H669" s="175">
        <f t="shared" si="86"/>
        <v>0</v>
      </c>
      <c r="I669" s="20">
        <v>-64</v>
      </c>
      <c r="J669" s="21"/>
      <c r="K669" s="57">
        <v>0</v>
      </c>
      <c r="L669" s="23">
        <f t="shared" si="87"/>
        <v>-56</v>
      </c>
      <c r="M669" s="23">
        <f t="shared" si="88"/>
        <v>-56</v>
      </c>
      <c r="N669" s="23"/>
      <c r="O669" s="23">
        <v>8</v>
      </c>
      <c r="Q669" s="1">
        <f>AVERAGE(G665:G669)</f>
        <v>54.8</v>
      </c>
    </row>
    <row r="670" spans="1:17" s="12" customFormat="1" hidden="1" outlineLevel="1">
      <c r="A670" s="95">
        <v>45766</v>
      </c>
      <c r="B670" s="25" t="s">
        <v>16</v>
      </c>
      <c r="C670" s="98"/>
      <c r="D670" s="99"/>
      <c r="E670" s="87">
        <f t="shared" si="85"/>
        <v>-9627</v>
      </c>
      <c r="G670" s="79"/>
      <c r="H670" s="63"/>
      <c r="I670" s="27"/>
      <c r="J670" s="28"/>
      <c r="K670" s="43"/>
      <c r="L670" s="29">
        <f t="shared" si="87"/>
        <v>-56</v>
      </c>
      <c r="M670" s="29">
        <f t="shared" si="88"/>
        <v>-56</v>
      </c>
      <c r="N670" s="29"/>
      <c r="O670" s="29"/>
    </row>
    <row r="671" spans="1:17" s="12" customFormat="1" hidden="1" outlineLevel="1" collapsed="1">
      <c r="A671" s="95">
        <v>45767</v>
      </c>
      <c r="B671" s="25" t="s">
        <v>17</v>
      </c>
      <c r="C671" s="98"/>
      <c r="D671" s="99"/>
      <c r="E671" s="87">
        <f t="shared" si="85"/>
        <v>-9627</v>
      </c>
      <c r="G671" s="79"/>
      <c r="H671" s="63"/>
      <c r="I671" s="27"/>
      <c r="J671" s="28"/>
      <c r="K671" s="43"/>
      <c r="L671" s="29">
        <f t="shared" si="87"/>
        <v>-56</v>
      </c>
      <c r="M671" s="29">
        <f t="shared" si="88"/>
        <v>-56</v>
      </c>
      <c r="N671" s="29"/>
      <c r="O671" s="29"/>
    </row>
    <row r="672" spans="1:17" hidden="1" outlineLevel="1">
      <c r="A672" s="96">
        <v>45768</v>
      </c>
      <c r="B672" s="17" t="s">
        <v>18</v>
      </c>
      <c r="C672" s="101">
        <v>64</v>
      </c>
      <c r="D672" s="100"/>
      <c r="E672" s="22">
        <f t="shared" si="85"/>
        <v>-9691</v>
      </c>
      <c r="G672" s="78">
        <v>64</v>
      </c>
      <c r="H672" s="175">
        <f t="shared" si="86"/>
        <v>64</v>
      </c>
      <c r="I672" s="20"/>
      <c r="J672" s="21"/>
      <c r="K672" s="57">
        <v>64</v>
      </c>
      <c r="L672" s="23">
        <f t="shared" si="87"/>
        <v>-56</v>
      </c>
      <c r="M672" s="23">
        <f t="shared" si="88"/>
        <v>-56</v>
      </c>
      <c r="N672" s="23"/>
      <c r="O672" s="23">
        <v>8</v>
      </c>
    </row>
    <row r="673" spans="1:17" hidden="1" outlineLevel="1">
      <c r="A673" s="96">
        <v>45769</v>
      </c>
      <c r="B673" s="17" t="s">
        <v>19</v>
      </c>
      <c r="C673" s="101">
        <v>64</v>
      </c>
      <c r="D673" s="100"/>
      <c r="E673" s="22">
        <f t="shared" si="85"/>
        <v>-9755</v>
      </c>
      <c r="G673" s="78">
        <v>64</v>
      </c>
      <c r="H673" s="62">
        <f t="shared" si="86"/>
        <v>64</v>
      </c>
      <c r="I673" s="20"/>
      <c r="J673" s="21"/>
      <c r="K673" s="57">
        <v>64</v>
      </c>
      <c r="L673" s="23">
        <f t="shared" si="87"/>
        <v>-56</v>
      </c>
      <c r="M673" s="23">
        <f t="shared" si="88"/>
        <v>-56</v>
      </c>
      <c r="N673" s="23"/>
      <c r="O673" s="23">
        <v>12</v>
      </c>
    </row>
    <row r="674" spans="1:17" hidden="1" outlineLevel="1">
      <c r="A674" s="96">
        <v>45770</v>
      </c>
      <c r="B674" s="17" t="s">
        <v>20</v>
      </c>
      <c r="C674" s="101">
        <v>64</v>
      </c>
      <c r="D674" s="100"/>
      <c r="E674" s="22">
        <f t="shared" si="85"/>
        <v>-9819</v>
      </c>
      <c r="G674" s="78">
        <v>32</v>
      </c>
      <c r="H674" s="62">
        <f t="shared" si="86"/>
        <v>64</v>
      </c>
      <c r="I674" s="20"/>
      <c r="J674" s="21"/>
      <c r="K674" s="57">
        <v>64</v>
      </c>
      <c r="L674" s="23">
        <f t="shared" si="87"/>
        <v>-24</v>
      </c>
      <c r="M674" s="23">
        <f t="shared" si="88"/>
        <v>-24</v>
      </c>
      <c r="N674" s="23"/>
      <c r="O674" s="23">
        <v>4</v>
      </c>
    </row>
    <row r="675" spans="1:17" hidden="1" outlineLevel="1">
      <c r="A675" s="96">
        <v>45771</v>
      </c>
      <c r="B675" s="17" t="s">
        <v>14</v>
      </c>
      <c r="C675" s="101">
        <v>64</v>
      </c>
      <c r="D675" s="100"/>
      <c r="E675" s="22">
        <f t="shared" si="85"/>
        <v>-9883</v>
      </c>
      <c r="G675" s="78">
        <v>24</v>
      </c>
      <c r="H675" s="62">
        <f t="shared" si="86"/>
        <v>64</v>
      </c>
      <c r="I675" s="20"/>
      <c r="J675" s="21"/>
      <c r="K675" s="57">
        <v>64</v>
      </c>
      <c r="L675" s="23">
        <f t="shared" si="87"/>
        <v>16</v>
      </c>
      <c r="M675" s="23">
        <f t="shared" si="88"/>
        <v>16</v>
      </c>
      <c r="N675" s="23"/>
      <c r="O675" s="23">
        <v>8</v>
      </c>
    </row>
    <row r="676" spans="1:17" hidden="1" outlineLevel="1">
      <c r="A676" s="96">
        <v>45772</v>
      </c>
      <c r="B676" s="17" t="s">
        <v>15</v>
      </c>
      <c r="C676" s="101">
        <v>64</v>
      </c>
      <c r="D676" s="100"/>
      <c r="E676" s="22">
        <f t="shared" si="85"/>
        <v>-9947</v>
      </c>
      <c r="G676" s="78">
        <v>32</v>
      </c>
      <c r="H676" s="62">
        <f t="shared" si="86"/>
        <v>64</v>
      </c>
      <c r="I676" s="20"/>
      <c r="J676" s="21"/>
      <c r="K676" s="57">
        <v>64</v>
      </c>
      <c r="L676" s="23">
        <f t="shared" si="87"/>
        <v>48</v>
      </c>
      <c r="M676" s="23">
        <f t="shared" si="88"/>
        <v>48</v>
      </c>
      <c r="N676" s="23"/>
      <c r="O676" s="23">
        <v>6</v>
      </c>
      <c r="Q676" s="1">
        <f>AVERAGE(G672:G676)</f>
        <v>43.2</v>
      </c>
    </row>
    <row r="677" spans="1:17" s="12" customFormat="1" hidden="1" outlineLevel="1">
      <c r="A677" s="95">
        <v>45773</v>
      </c>
      <c r="B677" s="25" t="s">
        <v>16</v>
      </c>
      <c r="C677" s="98"/>
      <c r="D677" s="99"/>
      <c r="E677" s="87">
        <f t="shared" si="85"/>
        <v>-9947</v>
      </c>
      <c r="G677" s="79"/>
      <c r="H677" s="63"/>
      <c r="I677" s="27"/>
      <c r="J677" s="28"/>
      <c r="K677" s="43"/>
      <c r="L677" s="29">
        <f t="shared" si="87"/>
        <v>48</v>
      </c>
      <c r="M677" s="29">
        <f t="shared" si="88"/>
        <v>48</v>
      </c>
      <c r="N677" s="29"/>
      <c r="O677" s="29"/>
    </row>
    <row r="678" spans="1:17" s="12" customFormat="1" hidden="1" outlineLevel="1">
      <c r="A678" s="95">
        <v>45774</v>
      </c>
      <c r="B678" s="25" t="s">
        <v>17</v>
      </c>
      <c r="C678" s="98"/>
      <c r="D678" s="99"/>
      <c r="E678" s="87">
        <f t="shared" si="85"/>
        <v>-9947</v>
      </c>
      <c r="G678" s="79"/>
      <c r="H678" s="63"/>
      <c r="I678" s="27"/>
      <c r="J678" s="28"/>
      <c r="K678" s="43"/>
      <c r="L678" s="29">
        <f t="shared" si="87"/>
        <v>48</v>
      </c>
      <c r="M678" s="29">
        <f t="shared" si="88"/>
        <v>48</v>
      </c>
      <c r="N678" s="29"/>
      <c r="O678" s="29"/>
    </row>
    <row r="679" spans="1:17" hidden="1" outlineLevel="1">
      <c r="A679" s="96">
        <v>45775</v>
      </c>
      <c r="B679" s="17" t="s">
        <v>18</v>
      </c>
      <c r="C679" s="101">
        <v>64</v>
      </c>
      <c r="D679" s="100"/>
      <c r="E679" s="22">
        <f t="shared" si="85"/>
        <v>-10011</v>
      </c>
      <c r="G679" s="78">
        <v>72</v>
      </c>
      <c r="H679" s="62">
        <f t="shared" si="86"/>
        <v>64</v>
      </c>
      <c r="I679" s="20"/>
      <c r="J679" s="21"/>
      <c r="K679" s="57">
        <v>64</v>
      </c>
      <c r="L679" s="23">
        <f t="shared" si="87"/>
        <v>40</v>
      </c>
      <c r="M679" s="23">
        <f t="shared" si="88"/>
        <v>40</v>
      </c>
      <c r="N679" s="23"/>
      <c r="O679" s="23">
        <v>0</v>
      </c>
    </row>
    <row r="680" spans="1:17" hidden="1" outlineLevel="1">
      <c r="A680" s="96">
        <v>45776</v>
      </c>
      <c r="B680" s="17" t="s">
        <v>19</v>
      </c>
      <c r="C680" s="281">
        <f>64-64</f>
        <v>0</v>
      </c>
      <c r="D680" s="100"/>
      <c r="E680" s="22">
        <f t="shared" si="85"/>
        <v>-10011</v>
      </c>
      <c r="G680" s="78">
        <v>0</v>
      </c>
      <c r="H680" s="62">
        <f t="shared" si="86"/>
        <v>64</v>
      </c>
      <c r="I680" s="20"/>
      <c r="J680" s="21"/>
      <c r="K680" s="57">
        <v>64</v>
      </c>
      <c r="L680" s="23">
        <f t="shared" si="87"/>
        <v>104</v>
      </c>
      <c r="M680" s="23">
        <f t="shared" si="88"/>
        <v>104</v>
      </c>
      <c r="N680" s="23"/>
      <c r="O680" s="23">
        <v>0</v>
      </c>
    </row>
    <row r="681" spans="1:17" hidden="1" outlineLevel="1">
      <c r="A681" s="96">
        <v>45777</v>
      </c>
      <c r="B681" s="17" t="s">
        <v>20</v>
      </c>
      <c r="C681" s="281"/>
      <c r="D681" s="100"/>
      <c r="E681" s="22">
        <f t="shared" si="85"/>
        <v>-10011</v>
      </c>
      <c r="G681" s="78">
        <v>72</v>
      </c>
      <c r="H681" s="62">
        <v>64</v>
      </c>
      <c r="I681" s="20"/>
      <c r="J681" s="21"/>
      <c r="K681" s="57">
        <v>64</v>
      </c>
      <c r="L681" s="23">
        <f t="shared" si="87"/>
        <v>96</v>
      </c>
      <c r="M681" s="23">
        <f t="shared" si="88"/>
        <v>96</v>
      </c>
      <c r="N681" s="23"/>
      <c r="O681" s="23">
        <v>7</v>
      </c>
      <c r="Q681" s="1">
        <f>AVERAGE(G679:G681)</f>
        <v>48</v>
      </c>
    </row>
    <row r="682" spans="1:17" s="12" customFormat="1" hidden="1" outlineLevel="1">
      <c r="A682" s="95">
        <v>45778</v>
      </c>
      <c r="B682" s="25" t="s">
        <v>14</v>
      </c>
      <c r="C682" s="98"/>
      <c r="D682" s="99"/>
      <c r="E682" s="87">
        <f t="shared" si="85"/>
        <v>-10011</v>
      </c>
      <c r="G682" s="79"/>
      <c r="H682" s="63"/>
      <c r="I682" s="27"/>
      <c r="J682" s="28"/>
      <c r="K682" s="43"/>
      <c r="L682" s="29">
        <f t="shared" si="87"/>
        <v>96</v>
      </c>
      <c r="M682" s="29">
        <f t="shared" si="88"/>
        <v>96</v>
      </c>
      <c r="N682" s="29"/>
      <c r="O682" s="29"/>
    </row>
    <row r="683" spans="1:17" s="12" customFormat="1" hidden="1" outlineLevel="1">
      <c r="A683" s="95">
        <v>45779</v>
      </c>
      <c r="B683" s="25" t="s">
        <v>15</v>
      </c>
      <c r="C683" s="98"/>
      <c r="D683" s="99"/>
      <c r="E683" s="87">
        <f t="shared" si="85"/>
        <v>-10011</v>
      </c>
      <c r="G683" s="79"/>
      <c r="H683" s="63"/>
      <c r="I683" s="27"/>
      <c r="J683" s="28"/>
      <c r="K683" s="43"/>
      <c r="L683" s="29">
        <f t="shared" si="87"/>
        <v>96</v>
      </c>
      <c r="M683" s="29">
        <f t="shared" si="88"/>
        <v>96</v>
      </c>
      <c r="N683" s="29"/>
      <c r="O683" s="29"/>
    </row>
    <row r="684" spans="1:17" s="12" customFormat="1" hidden="1" outlineLevel="1">
      <c r="A684" s="95">
        <v>45780</v>
      </c>
      <c r="B684" s="25" t="s">
        <v>16</v>
      </c>
      <c r="C684" s="98"/>
      <c r="D684" s="99"/>
      <c r="E684" s="87">
        <f t="shared" ref="E684:E715" si="89">E683-C684+D684</f>
        <v>-10011</v>
      </c>
      <c r="G684" s="79"/>
      <c r="H684" s="63"/>
      <c r="I684" s="27"/>
      <c r="J684" s="28"/>
      <c r="K684" s="43"/>
      <c r="L684" s="29">
        <f t="shared" ref="L684:L715" si="90">L683-G684+K684</f>
        <v>96</v>
      </c>
      <c r="M684" s="29">
        <f t="shared" ref="M684:M715" si="91">M683-G684+H684</f>
        <v>96</v>
      </c>
      <c r="N684" s="29"/>
      <c r="O684" s="29"/>
    </row>
    <row r="685" spans="1:17" s="12" customFormat="1" hidden="1" outlineLevel="1">
      <c r="A685" s="95">
        <v>45781</v>
      </c>
      <c r="B685" s="25" t="s">
        <v>17</v>
      </c>
      <c r="C685" s="98"/>
      <c r="D685" s="99"/>
      <c r="E685" s="87">
        <f t="shared" si="89"/>
        <v>-10011</v>
      </c>
      <c r="G685" s="79"/>
      <c r="H685" s="63"/>
      <c r="I685" s="27"/>
      <c r="J685" s="28"/>
      <c r="K685" s="43"/>
      <c r="L685" s="29">
        <f t="shared" si="90"/>
        <v>96</v>
      </c>
      <c r="M685" s="29">
        <f t="shared" si="91"/>
        <v>96</v>
      </c>
      <c r="N685" s="29"/>
      <c r="O685" s="29"/>
    </row>
    <row r="686" spans="1:17" s="12" customFormat="1" hidden="1" outlineLevel="1" collapsed="1">
      <c r="A686" s="95">
        <v>45782</v>
      </c>
      <c r="B686" s="25" t="s">
        <v>18</v>
      </c>
      <c r="C686" s="98"/>
      <c r="D686" s="99"/>
      <c r="E686" s="87">
        <f t="shared" si="89"/>
        <v>-10011</v>
      </c>
      <c r="G686" s="79"/>
      <c r="H686" s="63"/>
      <c r="I686" s="27"/>
      <c r="J686" s="28"/>
      <c r="K686" s="43"/>
      <c r="L686" s="29">
        <f t="shared" si="90"/>
        <v>96</v>
      </c>
      <c r="M686" s="29">
        <f t="shared" si="91"/>
        <v>96</v>
      </c>
      <c r="N686" s="29"/>
      <c r="O686" s="29"/>
    </row>
    <row r="687" spans="1:17" s="12" customFormat="1" hidden="1" outlineLevel="1">
      <c r="A687" s="95">
        <v>45783</v>
      </c>
      <c r="B687" s="25" t="s">
        <v>19</v>
      </c>
      <c r="C687" s="101">
        <v>40</v>
      </c>
      <c r="D687" s="99"/>
      <c r="E687" s="87">
        <f t="shared" si="89"/>
        <v>-10051</v>
      </c>
      <c r="G687" s="79"/>
      <c r="H687" s="63"/>
      <c r="I687" s="27"/>
      <c r="J687" s="28"/>
      <c r="K687" s="43"/>
      <c r="L687" s="29">
        <f t="shared" si="90"/>
        <v>96</v>
      </c>
      <c r="M687" s="29">
        <f t="shared" si="91"/>
        <v>96</v>
      </c>
      <c r="N687" s="29"/>
      <c r="O687" s="29"/>
    </row>
    <row r="688" spans="1:17" hidden="1" outlineLevel="1">
      <c r="A688" s="96">
        <v>45784</v>
      </c>
      <c r="B688" s="17" t="s">
        <v>20</v>
      </c>
      <c r="C688" s="101">
        <v>40</v>
      </c>
      <c r="D688" s="100"/>
      <c r="E688" s="22">
        <f t="shared" si="89"/>
        <v>-10091</v>
      </c>
      <c r="G688" s="78">
        <v>64</v>
      </c>
      <c r="H688" s="62">
        <f t="shared" ref="H688:H715" si="92">IF(C686&lt;&gt;"",C686+I688,IF(C684&lt;&gt;"",C684+I688,IF(C683&lt;&gt;"",C683+I688,IF(C682&lt;&gt;"",C682+I688,IF(C681&lt;&gt;"",C681+I688,IF(C680&lt;&gt;"",C680+I688))))))</f>
        <v>0</v>
      </c>
      <c r="I688" s="20"/>
      <c r="J688" s="21"/>
      <c r="K688" s="57">
        <v>0</v>
      </c>
      <c r="L688" s="285">
        <v>32</v>
      </c>
      <c r="M688" s="285">
        <v>32</v>
      </c>
      <c r="N688" s="23"/>
      <c r="O688" s="23">
        <v>14</v>
      </c>
    </row>
    <row r="689" spans="1:19" hidden="1" outlineLevel="1">
      <c r="A689" s="96">
        <v>45785</v>
      </c>
      <c r="B689" s="17" t="s">
        <v>14</v>
      </c>
      <c r="C689" s="101">
        <v>56</v>
      </c>
      <c r="D689" s="100"/>
      <c r="E689" s="22">
        <f t="shared" si="89"/>
        <v>-10147</v>
      </c>
      <c r="G689" s="78">
        <v>48</v>
      </c>
      <c r="H689" s="62">
        <f t="shared" si="92"/>
        <v>40</v>
      </c>
      <c r="I689" s="20"/>
      <c r="J689" s="21"/>
      <c r="K689" s="57">
        <v>40</v>
      </c>
      <c r="L689" s="23">
        <f>L688-G689+K689</f>
        <v>24</v>
      </c>
      <c r="M689" s="23">
        <f t="shared" si="91"/>
        <v>24</v>
      </c>
      <c r="N689" s="23"/>
      <c r="O689" s="23">
        <v>7</v>
      </c>
      <c r="S689" s="1">
        <v>48</v>
      </c>
    </row>
    <row r="690" spans="1:19" hidden="1" outlineLevel="1">
      <c r="A690" s="96">
        <v>45786</v>
      </c>
      <c r="B690" s="17" t="s">
        <v>15</v>
      </c>
      <c r="C690" s="101">
        <v>56</v>
      </c>
      <c r="D690" s="100"/>
      <c r="E690" s="22">
        <f t="shared" si="89"/>
        <v>-10203</v>
      </c>
      <c r="G690" s="78">
        <v>64</v>
      </c>
      <c r="H690" s="62">
        <f t="shared" si="92"/>
        <v>40</v>
      </c>
      <c r="I690" s="20"/>
      <c r="J690" s="21"/>
      <c r="K690" s="57">
        <v>40</v>
      </c>
      <c r="L690" s="23">
        <f t="shared" si="90"/>
        <v>0</v>
      </c>
      <c r="M690" s="23">
        <f t="shared" si="91"/>
        <v>0</v>
      </c>
      <c r="N690" s="23"/>
      <c r="O690" s="23"/>
      <c r="Q690" s="1">
        <f>AVERAGE(G688:G690)</f>
        <v>58.666666666666664</v>
      </c>
      <c r="S690" s="1">
        <v>24</v>
      </c>
    </row>
    <row r="691" spans="1:19" s="12" customFormat="1" hidden="1" outlineLevel="1">
      <c r="A691" s="95">
        <v>45787</v>
      </c>
      <c r="B691" s="25" t="s">
        <v>16</v>
      </c>
      <c r="C691" s="98"/>
      <c r="D691" s="99"/>
      <c r="E691" s="87">
        <f t="shared" si="89"/>
        <v>-10203</v>
      </c>
      <c r="G691" s="79"/>
      <c r="H691" s="63"/>
      <c r="I691" s="27"/>
      <c r="J691" s="28"/>
      <c r="K691" s="43"/>
      <c r="L691" s="29">
        <f t="shared" si="90"/>
        <v>0</v>
      </c>
      <c r="M691" s="29">
        <f t="shared" si="91"/>
        <v>0</v>
      </c>
      <c r="N691" s="29"/>
      <c r="O691" s="29"/>
    </row>
    <row r="692" spans="1:19" s="12" customFormat="1" hidden="1" outlineLevel="1" collapsed="1">
      <c r="A692" s="95">
        <v>45788</v>
      </c>
      <c r="B692" s="25" t="s">
        <v>17</v>
      </c>
      <c r="C692" s="98"/>
      <c r="D692" s="99"/>
      <c r="E692" s="87">
        <f t="shared" si="89"/>
        <v>-10203</v>
      </c>
      <c r="G692" s="79"/>
      <c r="H692" s="63"/>
      <c r="I692" s="27"/>
      <c r="J692" s="28"/>
      <c r="K692" s="43"/>
      <c r="L692" s="29">
        <f t="shared" si="90"/>
        <v>0</v>
      </c>
      <c r="M692" s="29">
        <f t="shared" si="91"/>
        <v>0</v>
      </c>
      <c r="N692" s="29"/>
      <c r="O692" s="29"/>
    </row>
    <row r="693" spans="1:19" hidden="1" outlineLevel="1">
      <c r="A693" s="96">
        <v>45789</v>
      </c>
      <c r="B693" s="17" t="s">
        <v>18</v>
      </c>
      <c r="C693" s="101">
        <v>56</v>
      </c>
      <c r="D693" s="100"/>
      <c r="E693" s="22">
        <f t="shared" si="89"/>
        <v>-10259</v>
      </c>
      <c r="G693" s="78">
        <v>56</v>
      </c>
      <c r="H693" s="62">
        <f t="shared" si="92"/>
        <v>56</v>
      </c>
      <c r="I693" s="20"/>
      <c r="J693" s="21"/>
      <c r="K693" s="57">
        <v>56</v>
      </c>
      <c r="L693" s="23">
        <f t="shared" si="90"/>
        <v>0</v>
      </c>
      <c r="M693" s="23">
        <f t="shared" si="91"/>
        <v>0</v>
      </c>
      <c r="N693" s="23"/>
      <c r="O693" s="23">
        <f>4+12</f>
        <v>16</v>
      </c>
    </row>
    <row r="694" spans="1:19" hidden="1" outlineLevel="1">
      <c r="A694" s="96">
        <v>45790</v>
      </c>
      <c r="B694" s="17" t="s">
        <v>19</v>
      </c>
      <c r="C694" s="101">
        <v>56</v>
      </c>
      <c r="D694" s="100"/>
      <c r="E694" s="22">
        <f t="shared" si="89"/>
        <v>-10315</v>
      </c>
      <c r="G694" s="78">
        <v>64</v>
      </c>
      <c r="H694" s="62">
        <f t="shared" si="92"/>
        <v>56</v>
      </c>
      <c r="I694" s="20"/>
      <c r="J694" s="21"/>
      <c r="K694" s="57">
        <v>56</v>
      </c>
      <c r="L694" s="23">
        <f>L693-G694+K694</f>
        <v>-8</v>
      </c>
      <c r="M694" s="23">
        <f t="shared" si="91"/>
        <v>-8</v>
      </c>
      <c r="N694" s="23"/>
      <c r="O694" s="23">
        <v>10</v>
      </c>
    </row>
    <row r="695" spans="1:19" hidden="1" outlineLevel="1">
      <c r="A695" s="96">
        <v>45791</v>
      </c>
      <c r="B695" s="17" t="s">
        <v>20</v>
      </c>
      <c r="C695" s="101">
        <v>56</v>
      </c>
      <c r="D695" s="100"/>
      <c r="E695" s="22">
        <f t="shared" si="89"/>
        <v>-10371</v>
      </c>
      <c r="G695" s="78">
        <v>64</v>
      </c>
      <c r="H695" s="62">
        <f t="shared" si="92"/>
        <v>56</v>
      </c>
      <c r="I695" s="20"/>
      <c r="J695" s="21"/>
      <c r="K695" s="57">
        <v>56</v>
      </c>
      <c r="L695" s="23">
        <f t="shared" si="90"/>
        <v>-16</v>
      </c>
      <c r="M695" s="23">
        <f t="shared" si="91"/>
        <v>-16</v>
      </c>
      <c r="N695" s="23"/>
      <c r="O695" s="23">
        <v>8</v>
      </c>
    </row>
    <row r="696" spans="1:19" hidden="1" outlineLevel="1">
      <c r="A696" s="96">
        <v>45792</v>
      </c>
      <c r="B696" s="17" t="s">
        <v>14</v>
      </c>
      <c r="C696" s="101">
        <v>64</v>
      </c>
      <c r="D696" s="100"/>
      <c r="E696" s="22">
        <f t="shared" si="89"/>
        <v>-10435</v>
      </c>
      <c r="G696" s="78">
        <v>56</v>
      </c>
      <c r="H696" s="62">
        <f t="shared" si="92"/>
        <v>56</v>
      </c>
      <c r="I696" s="20"/>
      <c r="J696" s="21"/>
      <c r="K696" s="57">
        <v>56</v>
      </c>
      <c r="L696" s="23">
        <f t="shared" si="90"/>
        <v>-16</v>
      </c>
      <c r="M696" s="23">
        <f t="shared" si="91"/>
        <v>-16</v>
      </c>
      <c r="N696" s="23"/>
      <c r="O696" s="23">
        <v>8</v>
      </c>
    </row>
    <row r="697" spans="1:19" hidden="1" outlineLevel="1">
      <c r="A697" s="96">
        <v>45793</v>
      </c>
      <c r="B697" s="17" t="s">
        <v>15</v>
      </c>
      <c r="C697" s="101">
        <v>64</v>
      </c>
      <c r="D697" s="100"/>
      <c r="E697" s="22">
        <f t="shared" si="89"/>
        <v>-10499</v>
      </c>
      <c r="G697" s="78">
        <v>72</v>
      </c>
      <c r="H697" s="62">
        <f t="shared" si="92"/>
        <v>56</v>
      </c>
      <c r="I697" s="20"/>
      <c r="J697" s="21"/>
      <c r="K697" s="57">
        <v>56</v>
      </c>
      <c r="L697" s="23">
        <f t="shared" si="90"/>
        <v>-32</v>
      </c>
      <c r="M697" s="23">
        <f t="shared" si="91"/>
        <v>-32</v>
      </c>
      <c r="N697" s="23"/>
      <c r="O697" s="23">
        <f>12+6</f>
        <v>18</v>
      </c>
      <c r="Q697" s="1">
        <f>AVERAGE(G693:G697)</f>
        <v>62.4</v>
      </c>
    </row>
    <row r="698" spans="1:19" s="12" customFormat="1" hidden="1" outlineLevel="1">
      <c r="A698" s="95">
        <v>45794</v>
      </c>
      <c r="B698" s="25" t="s">
        <v>16</v>
      </c>
      <c r="C698" s="98"/>
      <c r="D698" s="99"/>
      <c r="E698" s="87">
        <f t="shared" si="89"/>
        <v>-10499</v>
      </c>
      <c r="G698" s="79"/>
      <c r="H698" s="63"/>
      <c r="I698" s="27"/>
      <c r="J698" s="28"/>
      <c r="K698" s="43"/>
      <c r="L698" s="29">
        <f t="shared" si="90"/>
        <v>-32</v>
      </c>
      <c r="M698" s="29">
        <f t="shared" si="91"/>
        <v>-32</v>
      </c>
      <c r="N698" s="29"/>
      <c r="O698" s="29"/>
    </row>
    <row r="699" spans="1:19" s="12" customFormat="1" hidden="1" outlineLevel="1" collapsed="1">
      <c r="A699" s="95">
        <v>45795</v>
      </c>
      <c r="B699" s="25" t="s">
        <v>17</v>
      </c>
      <c r="C699" s="98"/>
      <c r="D699" s="99"/>
      <c r="E699" s="87">
        <f t="shared" si="89"/>
        <v>-10499</v>
      </c>
      <c r="G699" s="79"/>
      <c r="H699" s="63"/>
      <c r="I699" s="27"/>
      <c r="J699" s="28"/>
      <c r="K699" s="43"/>
      <c r="L699" s="29">
        <f t="shared" si="90"/>
        <v>-32</v>
      </c>
      <c r="M699" s="29">
        <f t="shared" si="91"/>
        <v>-32</v>
      </c>
      <c r="N699" s="29"/>
      <c r="O699" s="29"/>
    </row>
    <row r="700" spans="1:19" hidden="1" outlineLevel="1">
      <c r="A700" s="96">
        <v>45796</v>
      </c>
      <c r="B700" s="17" t="s">
        <v>18</v>
      </c>
      <c r="C700" s="101">
        <v>56</v>
      </c>
      <c r="D700" s="100"/>
      <c r="E700" s="22">
        <f t="shared" si="89"/>
        <v>-10555</v>
      </c>
      <c r="G700" s="78">
        <v>56</v>
      </c>
      <c r="H700" s="62">
        <f t="shared" si="92"/>
        <v>64</v>
      </c>
      <c r="I700" s="20"/>
      <c r="J700" s="21"/>
      <c r="K700" s="57">
        <v>64</v>
      </c>
      <c r="L700" s="23">
        <f t="shared" si="90"/>
        <v>-24</v>
      </c>
      <c r="M700" s="23">
        <f t="shared" si="91"/>
        <v>-24</v>
      </c>
      <c r="N700" s="23"/>
      <c r="O700" s="23">
        <v>11</v>
      </c>
    </row>
    <row r="701" spans="1:19" hidden="1" outlineLevel="1">
      <c r="A701" s="96">
        <v>45797</v>
      </c>
      <c r="B701" s="17" t="s">
        <v>19</v>
      </c>
      <c r="C701" s="101">
        <v>56</v>
      </c>
      <c r="D701" s="100"/>
      <c r="E701" s="22">
        <f t="shared" si="89"/>
        <v>-10611</v>
      </c>
      <c r="G701" s="78">
        <v>72</v>
      </c>
      <c r="H701" s="62">
        <f t="shared" si="92"/>
        <v>64</v>
      </c>
      <c r="I701" s="20"/>
      <c r="J701" s="21"/>
      <c r="K701" s="57">
        <v>64</v>
      </c>
      <c r="L701" s="23">
        <f t="shared" si="90"/>
        <v>-32</v>
      </c>
      <c r="M701" s="23">
        <f t="shared" si="91"/>
        <v>-32</v>
      </c>
      <c r="N701" s="23"/>
      <c r="O701" s="23">
        <v>13</v>
      </c>
    </row>
    <row r="702" spans="1:19" hidden="1" outlineLevel="1">
      <c r="A702" s="96">
        <v>45798</v>
      </c>
      <c r="B702" s="17" t="s">
        <v>20</v>
      </c>
      <c r="C702" s="101">
        <v>56</v>
      </c>
      <c r="D702" s="100"/>
      <c r="E702" s="22">
        <f t="shared" si="89"/>
        <v>-10667</v>
      </c>
      <c r="G702" s="78">
        <v>56</v>
      </c>
      <c r="H702" s="62">
        <f t="shared" si="92"/>
        <v>56</v>
      </c>
      <c r="I702" s="20"/>
      <c r="J702" s="21"/>
      <c r="K702" s="57">
        <v>56</v>
      </c>
      <c r="L702" s="23">
        <f t="shared" si="90"/>
        <v>-32</v>
      </c>
      <c r="M702" s="23">
        <f t="shared" si="91"/>
        <v>-32</v>
      </c>
      <c r="N702" s="23"/>
      <c r="O702" s="23">
        <v>12</v>
      </c>
    </row>
    <row r="703" spans="1:19" hidden="1" outlineLevel="1">
      <c r="A703" s="96">
        <v>45799</v>
      </c>
      <c r="B703" s="17" t="s">
        <v>14</v>
      </c>
      <c r="C703" s="101">
        <v>56</v>
      </c>
      <c r="D703" s="100"/>
      <c r="E703" s="22">
        <f t="shared" si="89"/>
        <v>-10723</v>
      </c>
      <c r="G703" s="78">
        <v>72</v>
      </c>
      <c r="H703" s="62">
        <f t="shared" si="92"/>
        <v>56</v>
      </c>
      <c r="I703" s="20"/>
      <c r="J703" s="21"/>
      <c r="K703" s="57">
        <v>56</v>
      </c>
      <c r="L703" s="23">
        <f t="shared" si="90"/>
        <v>-48</v>
      </c>
      <c r="M703" s="23">
        <f t="shared" si="91"/>
        <v>-48</v>
      </c>
      <c r="N703" s="23"/>
      <c r="O703" s="23">
        <v>15</v>
      </c>
    </row>
    <row r="704" spans="1:19" hidden="1" outlineLevel="1">
      <c r="A704" s="96">
        <v>45800</v>
      </c>
      <c r="B704" s="17" t="s">
        <v>15</v>
      </c>
      <c r="C704" s="101">
        <v>56</v>
      </c>
      <c r="D704" s="100"/>
      <c r="E704" s="22">
        <f t="shared" si="89"/>
        <v>-10779</v>
      </c>
      <c r="G704" s="78">
        <v>40</v>
      </c>
      <c r="H704" s="62">
        <f t="shared" si="92"/>
        <v>56</v>
      </c>
      <c r="I704" s="20"/>
      <c r="J704" s="21"/>
      <c r="K704" s="57">
        <v>56</v>
      </c>
      <c r="L704" s="23">
        <f t="shared" si="90"/>
        <v>-32</v>
      </c>
      <c r="M704" s="23">
        <f t="shared" si="91"/>
        <v>-32</v>
      </c>
      <c r="N704" s="23"/>
      <c r="O704" s="23">
        <v>12</v>
      </c>
      <c r="Q704" s="1">
        <f>AVERAGE(G700:G704)</f>
        <v>59.2</v>
      </c>
    </row>
    <row r="705" spans="1:17" s="12" customFormat="1" hidden="1" outlineLevel="1">
      <c r="A705" s="95">
        <v>45801</v>
      </c>
      <c r="B705" s="25" t="s">
        <v>16</v>
      </c>
      <c r="C705" s="98"/>
      <c r="D705" s="99"/>
      <c r="E705" s="87">
        <f t="shared" si="89"/>
        <v>-10779</v>
      </c>
      <c r="G705" s="79"/>
      <c r="H705" s="63"/>
      <c r="I705" s="27"/>
      <c r="J705" s="28"/>
      <c r="K705" s="43"/>
      <c r="L705" s="29">
        <f t="shared" si="90"/>
        <v>-32</v>
      </c>
      <c r="M705" s="29">
        <f t="shared" si="91"/>
        <v>-32</v>
      </c>
      <c r="N705" s="29"/>
      <c r="O705" s="29"/>
    </row>
    <row r="706" spans="1:17" s="12" customFormat="1" hidden="1" outlineLevel="1" collapsed="1">
      <c r="A706" s="95">
        <v>45802</v>
      </c>
      <c r="B706" s="25" t="s">
        <v>17</v>
      </c>
      <c r="C706" s="98"/>
      <c r="D706" s="99"/>
      <c r="E706" s="87">
        <f t="shared" si="89"/>
        <v>-10779</v>
      </c>
      <c r="G706" s="79"/>
      <c r="H706" s="63"/>
      <c r="I706" s="27"/>
      <c r="J706" s="28"/>
      <c r="K706" s="43"/>
      <c r="L706" s="29">
        <f t="shared" si="90"/>
        <v>-32</v>
      </c>
      <c r="M706" s="29">
        <f t="shared" si="91"/>
        <v>-32</v>
      </c>
      <c r="N706" s="29"/>
      <c r="O706" s="29"/>
    </row>
    <row r="707" spans="1:17" hidden="1" outlineLevel="1">
      <c r="A707" s="96">
        <v>45803</v>
      </c>
      <c r="B707" s="17" t="s">
        <v>18</v>
      </c>
      <c r="C707" s="101">
        <v>56</v>
      </c>
      <c r="D707" s="100"/>
      <c r="E707" s="22">
        <f t="shared" si="89"/>
        <v>-10835</v>
      </c>
      <c r="G707" s="78">
        <v>0</v>
      </c>
      <c r="H707" s="62">
        <f t="shared" si="92"/>
        <v>56</v>
      </c>
      <c r="I707" s="20"/>
      <c r="J707" s="21"/>
      <c r="K707" s="57">
        <v>56</v>
      </c>
      <c r="L707" s="23">
        <f t="shared" si="90"/>
        <v>24</v>
      </c>
      <c r="M707" s="23">
        <f t="shared" si="91"/>
        <v>24</v>
      </c>
      <c r="N707" s="23"/>
      <c r="O707" s="23">
        <v>7</v>
      </c>
    </row>
    <row r="708" spans="1:17" hidden="1" outlineLevel="1">
      <c r="A708" s="96">
        <v>45804</v>
      </c>
      <c r="B708" s="17" t="s">
        <v>19</v>
      </c>
      <c r="C708" s="101">
        <v>64</v>
      </c>
      <c r="D708" s="100"/>
      <c r="E708" s="22">
        <f t="shared" si="89"/>
        <v>-10899</v>
      </c>
      <c r="G708" s="78">
        <v>72</v>
      </c>
      <c r="H708" s="62">
        <f t="shared" si="92"/>
        <v>56</v>
      </c>
      <c r="I708" s="20"/>
      <c r="J708" s="21"/>
      <c r="K708" s="57">
        <v>56</v>
      </c>
      <c r="L708" s="23">
        <f t="shared" si="90"/>
        <v>8</v>
      </c>
      <c r="M708" s="23">
        <f t="shared" si="91"/>
        <v>8</v>
      </c>
      <c r="N708" s="23"/>
      <c r="O708" s="23">
        <v>16</v>
      </c>
    </row>
    <row r="709" spans="1:17" hidden="1" outlineLevel="1">
      <c r="A709" s="96">
        <v>45805</v>
      </c>
      <c r="B709" s="17" t="s">
        <v>20</v>
      </c>
      <c r="C709" s="101">
        <v>0</v>
      </c>
      <c r="D709" s="100"/>
      <c r="E709" s="22">
        <f t="shared" si="89"/>
        <v>-10899</v>
      </c>
      <c r="G709" s="78">
        <v>64</v>
      </c>
      <c r="H709" s="62">
        <f t="shared" si="92"/>
        <v>56</v>
      </c>
      <c r="I709" s="20"/>
      <c r="J709" s="21"/>
      <c r="K709" s="57">
        <v>56</v>
      </c>
      <c r="L709" s="23">
        <f t="shared" si="90"/>
        <v>0</v>
      </c>
      <c r="M709" s="23">
        <f t="shared" si="91"/>
        <v>0</v>
      </c>
      <c r="N709" s="23"/>
      <c r="O709" s="23">
        <v>14</v>
      </c>
    </row>
    <row r="710" spans="1:17" hidden="1" outlineLevel="1">
      <c r="A710" s="96">
        <v>45806</v>
      </c>
      <c r="B710" s="17" t="s">
        <v>14</v>
      </c>
      <c r="C710" s="101">
        <v>64</v>
      </c>
      <c r="D710" s="100"/>
      <c r="E710" s="22">
        <f t="shared" si="89"/>
        <v>-10963</v>
      </c>
      <c r="G710" s="78">
        <v>72</v>
      </c>
      <c r="H710" s="62">
        <f t="shared" si="92"/>
        <v>64</v>
      </c>
      <c r="I710" s="20"/>
      <c r="J710" s="21"/>
      <c r="K710" s="57">
        <v>64</v>
      </c>
      <c r="L710" s="23">
        <f t="shared" si="90"/>
        <v>-8</v>
      </c>
      <c r="M710" s="23">
        <f t="shared" si="91"/>
        <v>-8</v>
      </c>
      <c r="N710" s="23"/>
      <c r="O710" s="23">
        <v>5</v>
      </c>
    </row>
    <row r="711" spans="1:17" hidden="1" outlineLevel="1">
      <c r="A711" s="96">
        <v>45807</v>
      </c>
      <c r="B711" s="17" t="s">
        <v>15</v>
      </c>
      <c r="C711" s="101">
        <v>72</v>
      </c>
      <c r="D711" s="100"/>
      <c r="E711" s="22">
        <f t="shared" si="89"/>
        <v>-11035</v>
      </c>
      <c r="G711" s="297">
        <v>0</v>
      </c>
      <c r="H711" s="77">
        <f t="shared" si="92"/>
        <v>0</v>
      </c>
      <c r="I711" s="289"/>
      <c r="J711" s="290"/>
      <c r="K711" s="291"/>
      <c r="L711" s="23">
        <f t="shared" si="90"/>
        <v>-8</v>
      </c>
      <c r="M711" s="23">
        <f t="shared" si="91"/>
        <v>-8</v>
      </c>
      <c r="N711" s="23"/>
      <c r="O711" s="23">
        <v>0</v>
      </c>
      <c r="Q711" s="1">
        <f>AVERAGE(G707:G711)</f>
        <v>41.6</v>
      </c>
    </row>
    <row r="712" spans="1:17" s="12" customFormat="1" hidden="1" outlineLevel="1">
      <c r="A712" s="95">
        <v>45808</v>
      </c>
      <c r="B712" s="25" t="s">
        <v>16</v>
      </c>
      <c r="C712" s="98"/>
      <c r="D712" s="99"/>
      <c r="E712" s="87">
        <f t="shared" si="89"/>
        <v>-11035</v>
      </c>
      <c r="G712" s="79"/>
      <c r="H712" s="63"/>
      <c r="I712" s="27"/>
      <c r="J712" s="28"/>
      <c r="K712" s="43"/>
      <c r="L712" s="29">
        <f t="shared" si="90"/>
        <v>-8</v>
      </c>
      <c r="M712" s="29">
        <f t="shared" si="91"/>
        <v>-8</v>
      </c>
      <c r="N712" s="29"/>
      <c r="O712" s="29"/>
    </row>
    <row r="713" spans="1:17" s="12" customFormat="1" hidden="1" outlineLevel="1" collapsed="1">
      <c r="A713" s="95">
        <v>45809</v>
      </c>
      <c r="B713" s="25" t="s">
        <v>17</v>
      </c>
      <c r="C713" s="98"/>
      <c r="D713" s="99"/>
      <c r="E713" s="87">
        <f t="shared" si="89"/>
        <v>-11035</v>
      </c>
      <c r="G713" s="79"/>
      <c r="H713" s="63"/>
      <c r="I713" s="27"/>
      <c r="J713" s="28"/>
      <c r="K713" s="43"/>
      <c r="L713" s="29">
        <f t="shared" si="90"/>
        <v>-8</v>
      </c>
      <c r="M713" s="29">
        <f t="shared" si="91"/>
        <v>-8</v>
      </c>
      <c r="N713" s="29"/>
      <c r="O713" s="29"/>
    </row>
    <row r="714" spans="1:17" hidden="1" outlineLevel="1">
      <c r="A714" s="96">
        <v>45810</v>
      </c>
      <c r="B714" s="17" t="s">
        <v>18</v>
      </c>
      <c r="C714" s="101">
        <v>72</v>
      </c>
      <c r="D714" s="100"/>
      <c r="E714" s="22">
        <f t="shared" si="89"/>
        <v>-11107</v>
      </c>
      <c r="G714" s="78">
        <v>56</v>
      </c>
      <c r="H714" s="62">
        <f t="shared" si="92"/>
        <v>64</v>
      </c>
      <c r="I714" s="20"/>
      <c r="J714" s="21"/>
      <c r="K714" s="57">
        <v>64</v>
      </c>
      <c r="L714" s="23">
        <f t="shared" si="90"/>
        <v>0</v>
      </c>
      <c r="M714" s="23">
        <f t="shared" si="91"/>
        <v>0</v>
      </c>
      <c r="N714" s="23"/>
      <c r="O714" s="23">
        <v>12</v>
      </c>
    </row>
    <row r="715" spans="1:17" hidden="1" outlineLevel="1">
      <c r="A715" s="96">
        <v>45811</v>
      </c>
      <c r="B715" s="17" t="s">
        <v>19</v>
      </c>
      <c r="C715" s="101">
        <v>72</v>
      </c>
      <c r="D715" s="100"/>
      <c r="E715" s="22">
        <f t="shared" si="89"/>
        <v>-11179</v>
      </c>
      <c r="G715" s="78">
        <v>72</v>
      </c>
      <c r="H715" s="62">
        <f t="shared" si="92"/>
        <v>72</v>
      </c>
      <c r="I715" s="20"/>
      <c r="J715" s="21"/>
      <c r="K715" s="57">
        <v>72</v>
      </c>
      <c r="L715" s="23">
        <f t="shared" si="90"/>
        <v>0</v>
      </c>
      <c r="M715" s="23">
        <f t="shared" si="91"/>
        <v>0</v>
      </c>
      <c r="N715" s="23"/>
      <c r="O715" s="23">
        <v>13</v>
      </c>
    </row>
    <row r="716" spans="1:17" hidden="1" outlineLevel="1">
      <c r="A716" s="96">
        <v>45812</v>
      </c>
      <c r="B716" s="17" t="s">
        <v>20</v>
      </c>
      <c r="C716" s="101">
        <v>64</v>
      </c>
      <c r="D716" s="100"/>
      <c r="E716" s="22">
        <f t="shared" ref="E716:E747" si="93">E715-C716+D716</f>
        <v>-11243</v>
      </c>
      <c r="G716" s="78">
        <v>64</v>
      </c>
      <c r="H716" s="62">
        <f t="shared" ref="H716:H746" si="94">IF(C714&lt;&gt;"",C714+I716,IF(C712&lt;&gt;"",C712+I716,IF(C711&lt;&gt;"",C711+I716,IF(C710&lt;&gt;"",C710+I716,IF(C709&lt;&gt;"",C709+I716,IF(C708&lt;&gt;"",C708+I716))))))</f>
        <v>72</v>
      </c>
      <c r="I716" s="20"/>
      <c r="J716" s="21"/>
      <c r="K716" s="57">
        <v>72</v>
      </c>
      <c r="L716" s="23">
        <f t="shared" ref="L716:L747" si="95">L715-G716+K716</f>
        <v>8</v>
      </c>
      <c r="M716" s="23">
        <f t="shared" ref="M716:M747" si="96">M715-G716+H716</f>
        <v>8</v>
      </c>
      <c r="N716" s="23"/>
      <c r="O716" s="23">
        <f>6+8</f>
        <v>14</v>
      </c>
    </row>
    <row r="717" spans="1:17" hidden="1" outlineLevel="1">
      <c r="A717" s="96">
        <v>45813</v>
      </c>
      <c r="B717" s="17" t="s">
        <v>14</v>
      </c>
      <c r="C717" s="101">
        <v>64</v>
      </c>
      <c r="D717" s="100"/>
      <c r="E717" s="22">
        <f t="shared" si="93"/>
        <v>-11307</v>
      </c>
      <c r="G717" s="78">
        <v>64</v>
      </c>
      <c r="H717" s="62">
        <f t="shared" si="94"/>
        <v>72</v>
      </c>
      <c r="I717" s="20"/>
      <c r="J717" s="21"/>
      <c r="K717" s="57">
        <v>72</v>
      </c>
      <c r="L717" s="23">
        <f t="shared" si="95"/>
        <v>16</v>
      </c>
      <c r="M717" s="23">
        <f t="shared" si="96"/>
        <v>16</v>
      </c>
      <c r="N717" s="23"/>
      <c r="O717" s="23">
        <v>6</v>
      </c>
    </row>
    <row r="718" spans="1:17" hidden="1" outlineLevel="1">
      <c r="A718" s="96">
        <v>45814</v>
      </c>
      <c r="B718" s="17" t="s">
        <v>15</v>
      </c>
      <c r="C718" s="101">
        <v>64</v>
      </c>
      <c r="D718" s="100"/>
      <c r="E718" s="22">
        <f t="shared" si="93"/>
        <v>-11371</v>
      </c>
      <c r="G718" s="78">
        <v>72</v>
      </c>
      <c r="H718" s="62">
        <f t="shared" si="94"/>
        <v>64</v>
      </c>
      <c r="I718" s="20"/>
      <c r="J718" s="21"/>
      <c r="K718" s="57">
        <v>64</v>
      </c>
      <c r="L718" s="23">
        <f t="shared" si="95"/>
        <v>8</v>
      </c>
      <c r="M718" s="23">
        <f t="shared" si="96"/>
        <v>8</v>
      </c>
      <c r="N718" s="23"/>
      <c r="O718" s="23">
        <v>6</v>
      </c>
      <c r="Q718" s="1">
        <f>AVERAGE(G714:G718)</f>
        <v>65.599999999999994</v>
      </c>
    </row>
    <row r="719" spans="1:17" s="12" customFormat="1" hidden="1" outlineLevel="1">
      <c r="A719" s="95">
        <v>45815</v>
      </c>
      <c r="B719" s="25" t="s">
        <v>16</v>
      </c>
      <c r="C719" s="98"/>
      <c r="D719" s="99"/>
      <c r="E719" s="87">
        <f t="shared" si="93"/>
        <v>-11371</v>
      </c>
      <c r="G719" s="79"/>
      <c r="H719" s="63"/>
      <c r="I719" s="27"/>
      <c r="J719" s="28"/>
      <c r="K719" s="43"/>
      <c r="L719" s="29">
        <f t="shared" si="95"/>
        <v>8</v>
      </c>
      <c r="M719" s="29">
        <f t="shared" si="96"/>
        <v>8</v>
      </c>
      <c r="N719" s="29"/>
      <c r="O719" s="29"/>
    </row>
    <row r="720" spans="1:17" s="12" customFormat="1" hidden="1" outlineLevel="1" collapsed="1">
      <c r="A720" s="95">
        <v>45816</v>
      </c>
      <c r="B720" s="25" t="s">
        <v>17</v>
      </c>
      <c r="C720" s="98"/>
      <c r="D720" s="99"/>
      <c r="E720" s="87">
        <f t="shared" si="93"/>
        <v>-11371</v>
      </c>
      <c r="G720" s="79"/>
      <c r="H720" s="63"/>
      <c r="I720" s="27"/>
      <c r="J720" s="28"/>
      <c r="K720" s="43"/>
      <c r="L720" s="29">
        <f t="shared" si="95"/>
        <v>8</v>
      </c>
      <c r="M720" s="29">
        <f t="shared" si="96"/>
        <v>8</v>
      </c>
      <c r="N720" s="29"/>
      <c r="O720" s="29"/>
    </row>
    <row r="721" spans="1:17" hidden="1" outlineLevel="1">
      <c r="A721" s="96">
        <v>45817</v>
      </c>
      <c r="B721" s="17" t="s">
        <v>18</v>
      </c>
      <c r="C721" s="101">
        <v>64</v>
      </c>
      <c r="D721" s="100"/>
      <c r="E721" s="22">
        <f t="shared" si="93"/>
        <v>-11435</v>
      </c>
      <c r="G721" s="78">
        <v>56</v>
      </c>
      <c r="H721" s="62">
        <f t="shared" si="94"/>
        <v>64</v>
      </c>
      <c r="I721" s="20"/>
      <c r="J721" s="21"/>
      <c r="K721" s="57">
        <v>64</v>
      </c>
      <c r="L721" s="23">
        <f t="shared" si="95"/>
        <v>16</v>
      </c>
      <c r="M721" s="23">
        <f t="shared" si="96"/>
        <v>16</v>
      </c>
      <c r="N721" s="23"/>
      <c r="O721" s="23">
        <v>0</v>
      </c>
    </row>
    <row r="722" spans="1:17" hidden="1" outlineLevel="1">
      <c r="A722" s="96">
        <v>45818</v>
      </c>
      <c r="B722" s="17" t="s">
        <v>19</v>
      </c>
      <c r="C722" s="101">
        <v>67</v>
      </c>
      <c r="D722" s="100"/>
      <c r="E722" s="22">
        <f t="shared" si="93"/>
        <v>-11502</v>
      </c>
      <c r="G722" s="78">
        <v>56</v>
      </c>
      <c r="H722" s="62">
        <f t="shared" si="94"/>
        <v>64</v>
      </c>
      <c r="I722" s="20"/>
      <c r="J722" s="21"/>
      <c r="K722" s="57">
        <v>64</v>
      </c>
      <c r="L722" s="23">
        <f t="shared" si="95"/>
        <v>24</v>
      </c>
      <c r="M722" s="23">
        <f t="shared" si="96"/>
        <v>24</v>
      </c>
      <c r="N722" s="23"/>
      <c r="O722" s="23">
        <v>10</v>
      </c>
    </row>
    <row r="723" spans="1:17" hidden="1" outlineLevel="1">
      <c r="A723" s="96">
        <v>45819</v>
      </c>
      <c r="B723" s="17" t="s">
        <v>20</v>
      </c>
      <c r="C723" s="101">
        <v>64</v>
      </c>
      <c r="D723" s="100"/>
      <c r="E723" s="22">
        <f t="shared" si="93"/>
        <v>-11566</v>
      </c>
      <c r="G723" s="78">
        <v>80</v>
      </c>
      <c r="H723" s="62">
        <f t="shared" si="94"/>
        <v>64</v>
      </c>
      <c r="I723" s="20"/>
      <c r="J723" s="21"/>
      <c r="K723" s="57">
        <v>64</v>
      </c>
      <c r="L723" s="23">
        <f t="shared" si="95"/>
        <v>8</v>
      </c>
      <c r="M723" s="23">
        <f t="shared" si="96"/>
        <v>8</v>
      </c>
      <c r="N723" s="23"/>
      <c r="O723" s="23">
        <v>7</v>
      </c>
    </row>
    <row r="724" spans="1:17" hidden="1" outlineLevel="1">
      <c r="A724" s="96">
        <v>45820</v>
      </c>
      <c r="B724" s="17" t="s">
        <v>14</v>
      </c>
      <c r="C724" s="101">
        <v>56</v>
      </c>
      <c r="D724" s="100"/>
      <c r="E724" s="22">
        <f t="shared" si="93"/>
        <v>-11622</v>
      </c>
      <c r="G724" s="78">
        <f>56+3</f>
        <v>59</v>
      </c>
      <c r="H724" s="62">
        <f t="shared" si="94"/>
        <v>67</v>
      </c>
      <c r="I724" s="20"/>
      <c r="J724" s="21"/>
      <c r="K724" s="57">
        <v>67</v>
      </c>
      <c r="L724" s="23">
        <f t="shared" si="95"/>
        <v>16</v>
      </c>
      <c r="M724" s="23">
        <f t="shared" si="96"/>
        <v>16</v>
      </c>
      <c r="N724" s="23"/>
      <c r="O724" s="23">
        <v>10</v>
      </c>
    </row>
    <row r="725" spans="1:17" hidden="1" outlineLevel="1">
      <c r="A725" s="96">
        <v>45821</v>
      </c>
      <c r="B725" s="17" t="s">
        <v>15</v>
      </c>
      <c r="C725" s="101">
        <v>64</v>
      </c>
      <c r="D725" s="100"/>
      <c r="E725" s="22">
        <f t="shared" si="93"/>
        <v>-11686</v>
      </c>
      <c r="G725" s="78">
        <v>72</v>
      </c>
      <c r="H725" s="62">
        <f t="shared" si="94"/>
        <v>64</v>
      </c>
      <c r="I725" s="20"/>
      <c r="J725" s="21"/>
      <c r="K725" s="57">
        <v>64</v>
      </c>
      <c r="L725" s="23">
        <f t="shared" si="95"/>
        <v>8</v>
      </c>
      <c r="M725" s="23">
        <f t="shared" si="96"/>
        <v>8</v>
      </c>
      <c r="N725" s="23"/>
      <c r="O725" s="23">
        <f>5+9</f>
        <v>14</v>
      </c>
      <c r="Q725" s="1">
        <f>AVERAGE(G721:G725)</f>
        <v>64.599999999999994</v>
      </c>
    </row>
    <row r="726" spans="1:17" s="12" customFormat="1" hidden="1" outlineLevel="1">
      <c r="A726" s="95">
        <v>45822</v>
      </c>
      <c r="B726" s="25" t="s">
        <v>16</v>
      </c>
      <c r="C726" s="98"/>
      <c r="D726" s="99"/>
      <c r="E726" s="87">
        <f t="shared" si="93"/>
        <v>-11686</v>
      </c>
      <c r="G726" s="79"/>
      <c r="H726" s="63"/>
      <c r="I726" s="27"/>
      <c r="J726" s="28"/>
      <c r="K726" s="43"/>
      <c r="L726" s="29">
        <f t="shared" si="95"/>
        <v>8</v>
      </c>
      <c r="M726" s="29">
        <f t="shared" si="96"/>
        <v>8</v>
      </c>
      <c r="N726" s="29"/>
      <c r="O726" s="29"/>
    </row>
    <row r="727" spans="1:17" s="12" customFormat="1" hidden="1" outlineLevel="1" collapsed="1">
      <c r="A727" s="95">
        <v>45823</v>
      </c>
      <c r="B727" s="25" t="s">
        <v>17</v>
      </c>
      <c r="C727" s="98"/>
      <c r="D727" s="99"/>
      <c r="E727" s="87">
        <f t="shared" si="93"/>
        <v>-11686</v>
      </c>
      <c r="G727" s="79"/>
      <c r="H727" s="63"/>
      <c r="I727" s="27"/>
      <c r="J727" s="28"/>
      <c r="K727" s="43"/>
      <c r="L727" s="29">
        <f t="shared" si="95"/>
        <v>8</v>
      </c>
      <c r="M727" s="29">
        <f t="shared" si="96"/>
        <v>8</v>
      </c>
      <c r="N727" s="29"/>
      <c r="O727" s="29"/>
    </row>
    <row r="728" spans="1:17" hidden="1" outlineLevel="1">
      <c r="A728" s="96">
        <v>45824</v>
      </c>
      <c r="B728" s="17" t="s">
        <v>18</v>
      </c>
      <c r="C728" s="301">
        <f>56+24</f>
        <v>80</v>
      </c>
      <c r="D728" s="100"/>
      <c r="E728" s="22">
        <f t="shared" si="93"/>
        <v>-11766</v>
      </c>
      <c r="G728" s="78">
        <v>56</v>
      </c>
      <c r="H728" s="62">
        <f t="shared" si="94"/>
        <v>56</v>
      </c>
      <c r="I728" s="20"/>
      <c r="J728" s="21"/>
      <c r="K728" s="57">
        <v>56</v>
      </c>
      <c r="L728" s="23">
        <f t="shared" si="95"/>
        <v>8</v>
      </c>
      <c r="M728" s="23">
        <f t="shared" si="96"/>
        <v>8</v>
      </c>
      <c r="N728" s="23"/>
      <c r="O728" s="23">
        <v>9</v>
      </c>
    </row>
    <row r="729" spans="1:17" hidden="1" outlineLevel="1">
      <c r="A729" s="96">
        <v>45825</v>
      </c>
      <c r="B729" s="17" t="s">
        <v>19</v>
      </c>
      <c r="C729" s="301">
        <f>64+16</f>
        <v>80</v>
      </c>
      <c r="D729" s="100"/>
      <c r="E729" s="22">
        <f t="shared" si="93"/>
        <v>-11846</v>
      </c>
      <c r="G729" s="78">
        <v>104</v>
      </c>
      <c r="H729" s="62">
        <f t="shared" si="94"/>
        <v>64</v>
      </c>
      <c r="I729" s="20"/>
      <c r="J729" s="21"/>
      <c r="K729" s="57">
        <v>64</v>
      </c>
      <c r="L729" s="23">
        <f t="shared" si="95"/>
        <v>-32</v>
      </c>
      <c r="M729" s="23">
        <f t="shared" si="96"/>
        <v>-32</v>
      </c>
      <c r="N729" s="23"/>
      <c r="O729" s="23">
        <v>8</v>
      </c>
    </row>
    <row r="730" spans="1:17" hidden="1" outlineLevel="1">
      <c r="A730" s="96">
        <v>45826</v>
      </c>
      <c r="B730" s="17" t="s">
        <v>20</v>
      </c>
      <c r="C730" s="301">
        <f>64+8</f>
        <v>72</v>
      </c>
      <c r="D730" s="100"/>
      <c r="E730" s="22">
        <f t="shared" si="93"/>
        <v>-11918</v>
      </c>
      <c r="G730" s="78">
        <v>72</v>
      </c>
      <c r="H730" s="62">
        <f t="shared" si="94"/>
        <v>80</v>
      </c>
      <c r="I730" s="20"/>
      <c r="J730" s="21"/>
      <c r="K730" s="57">
        <v>80</v>
      </c>
      <c r="L730" s="23">
        <f t="shared" si="95"/>
        <v>-24</v>
      </c>
      <c r="M730" s="23">
        <f t="shared" si="96"/>
        <v>-24</v>
      </c>
      <c r="N730" s="23"/>
      <c r="O730" s="23">
        <v>14</v>
      </c>
    </row>
    <row r="731" spans="1:17" hidden="1" outlineLevel="1">
      <c r="A731" s="96">
        <v>45827</v>
      </c>
      <c r="B731" s="17" t="s">
        <v>14</v>
      </c>
      <c r="C731" s="301">
        <f>64+8</f>
        <v>72</v>
      </c>
      <c r="D731" s="100"/>
      <c r="E731" s="22">
        <f t="shared" si="93"/>
        <v>-11990</v>
      </c>
      <c r="G731" s="78">
        <v>56</v>
      </c>
      <c r="H731" s="62">
        <f t="shared" si="94"/>
        <v>80</v>
      </c>
      <c r="I731" s="20"/>
      <c r="J731" s="21"/>
      <c r="K731" s="57">
        <v>80</v>
      </c>
      <c r="L731" s="23">
        <f t="shared" si="95"/>
        <v>0</v>
      </c>
      <c r="M731" s="23">
        <f t="shared" si="96"/>
        <v>0</v>
      </c>
      <c r="N731" s="23"/>
      <c r="O731" s="23">
        <v>15</v>
      </c>
    </row>
    <row r="732" spans="1:17" hidden="1" outlineLevel="1">
      <c r="A732" s="96">
        <v>45828</v>
      </c>
      <c r="B732" s="17" t="s">
        <v>15</v>
      </c>
      <c r="C732" s="301">
        <f>64</f>
        <v>64</v>
      </c>
      <c r="D732" s="100"/>
      <c r="E732" s="22">
        <f t="shared" si="93"/>
        <v>-12054</v>
      </c>
      <c r="G732" s="78">
        <v>72</v>
      </c>
      <c r="H732" s="62">
        <f t="shared" si="94"/>
        <v>72</v>
      </c>
      <c r="I732" s="20"/>
      <c r="J732" s="21"/>
      <c r="K732" s="57">
        <v>72</v>
      </c>
      <c r="L732" s="23">
        <f t="shared" si="95"/>
        <v>0</v>
      </c>
      <c r="M732" s="23">
        <f t="shared" si="96"/>
        <v>0</v>
      </c>
      <c r="N732" s="23"/>
      <c r="O732" s="23">
        <v>9</v>
      </c>
      <c r="Q732" s="1">
        <f>AVERAGE(G728:G732)</f>
        <v>72</v>
      </c>
    </row>
    <row r="733" spans="1:17" s="12" customFormat="1" hidden="1" outlineLevel="1">
      <c r="A733" s="95">
        <v>45829</v>
      </c>
      <c r="B733" s="25" t="s">
        <v>16</v>
      </c>
      <c r="C733" s="98"/>
      <c r="D733" s="99"/>
      <c r="E733" s="87">
        <f t="shared" si="93"/>
        <v>-12054</v>
      </c>
      <c r="G733" s="79"/>
      <c r="H733" s="63"/>
      <c r="I733" s="27"/>
      <c r="J733" s="28"/>
      <c r="K733" s="43"/>
      <c r="L733" s="29">
        <f t="shared" si="95"/>
        <v>0</v>
      </c>
      <c r="M733" s="29">
        <f t="shared" si="96"/>
        <v>0</v>
      </c>
      <c r="N733" s="29"/>
      <c r="O733" s="29"/>
    </row>
    <row r="734" spans="1:17" s="12" customFormat="1" hidden="1" outlineLevel="1" collapsed="1">
      <c r="A734" s="95">
        <v>45830</v>
      </c>
      <c r="B734" s="25" t="s">
        <v>17</v>
      </c>
      <c r="C734" s="98"/>
      <c r="D734" s="99"/>
      <c r="E734" s="87">
        <f t="shared" si="93"/>
        <v>-12054</v>
      </c>
      <c r="G734" s="79"/>
      <c r="H734" s="63"/>
      <c r="I734" s="27"/>
      <c r="J734" s="28"/>
      <c r="K734" s="43"/>
      <c r="L734" s="29">
        <f t="shared" si="95"/>
        <v>0</v>
      </c>
      <c r="M734" s="29">
        <f t="shared" si="96"/>
        <v>0</v>
      </c>
      <c r="N734" s="29"/>
      <c r="O734" s="29"/>
    </row>
    <row r="735" spans="1:17" hidden="1" outlineLevel="1">
      <c r="A735" s="96">
        <v>45831</v>
      </c>
      <c r="B735" s="17" t="s">
        <v>18</v>
      </c>
      <c r="C735" s="101">
        <v>56</v>
      </c>
      <c r="D735" s="100"/>
      <c r="E735" s="22">
        <f t="shared" si="93"/>
        <v>-12110</v>
      </c>
      <c r="G735" s="78">
        <v>48</v>
      </c>
      <c r="H735" s="62">
        <f t="shared" si="94"/>
        <v>72</v>
      </c>
      <c r="I735" s="20"/>
      <c r="J735" s="21"/>
      <c r="K735" s="57">
        <v>72</v>
      </c>
      <c r="L735" s="23">
        <f t="shared" si="95"/>
        <v>24</v>
      </c>
      <c r="M735" s="23">
        <f t="shared" si="96"/>
        <v>24</v>
      </c>
      <c r="N735" s="23"/>
      <c r="O735" s="23">
        <v>10</v>
      </c>
    </row>
    <row r="736" spans="1:17" hidden="1" outlineLevel="1">
      <c r="A736" s="96">
        <v>45832</v>
      </c>
      <c r="B736" s="17" t="s">
        <v>19</v>
      </c>
      <c r="C736" s="101">
        <v>56</v>
      </c>
      <c r="D736" s="100"/>
      <c r="E736" s="22">
        <f t="shared" si="93"/>
        <v>-12166</v>
      </c>
      <c r="G736" s="78">
        <v>56</v>
      </c>
      <c r="H736" s="62">
        <f t="shared" si="94"/>
        <v>64</v>
      </c>
      <c r="I736" s="20"/>
      <c r="J736" s="21"/>
      <c r="K736" s="57">
        <v>64</v>
      </c>
      <c r="L736" s="23">
        <f t="shared" si="95"/>
        <v>32</v>
      </c>
      <c r="M736" s="23">
        <f t="shared" si="96"/>
        <v>32</v>
      </c>
      <c r="N736" s="23"/>
      <c r="O736" s="23">
        <v>8</v>
      </c>
    </row>
    <row r="737" spans="1:28" hidden="1" outlineLevel="1">
      <c r="A737" s="96">
        <v>45833</v>
      </c>
      <c r="B737" s="17" t="s">
        <v>20</v>
      </c>
      <c r="C737" s="101">
        <f>48+3</f>
        <v>51</v>
      </c>
      <c r="D737" s="100"/>
      <c r="E737" s="22">
        <f t="shared" si="93"/>
        <v>-12217</v>
      </c>
      <c r="G737" s="204">
        <f>72+8</f>
        <v>80</v>
      </c>
      <c r="H737" s="62">
        <f t="shared" si="94"/>
        <v>56</v>
      </c>
      <c r="I737" s="20"/>
      <c r="J737" s="21"/>
      <c r="K737" s="57">
        <v>56</v>
      </c>
      <c r="L737" s="23">
        <f t="shared" si="95"/>
        <v>8</v>
      </c>
      <c r="M737" s="23">
        <f t="shared" si="96"/>
        <v>8</v>
      </c>
      <c r="N737" s="23"/>
      <c r="O737" s="23">
        <v>12</v>
      </c>
    </row>
    <row r="738" spans="1:28" hidden="1" outlineLevel="1">
      <c r="A738" s="96">
        <v>45834</v>
      </c>
      <c r="B738" s="17" t="s">
        <v>14</v>
      </c>
      <c r="C738" s="101">
        <v>40</v>
      </c>
      <c r="D738" s="100"/>
      <c r="E738" s="22">
        <f t="shared" si="93"/>
        <v>-12257</v>
      </c>
      <c r="G738" s="204">
        <f>64+8</f>
        <v>72</v>
      </c>
      <c r="H738" s="62">
        <f t="shared" si="94"/>
        <v>56</v>
      </c>
      <c r="I738" s="20"/>
      <c r="J738" s="21"/>
      <c r="K738" s="57">
        <v>56</v>
      </c>
      <c r="L738" s="23">
        <f t="shared" si="95"/>
        <v>-8</v>
      </c>
      <c r="M738" s="23">
        <f t="shared" si="96"/>
        <v>-8</v>
      </c>
      <c r="N738" s="23"/>
      <c r="O738" s="23">
        <v>4</v>
      </c>
    </row>
    <row r="739" spans="1:28" hidden="1" outlineLevel="1">
      <c r="A739" s="96">
        <v>45835</v>
      </c>
      <c r="B739" s="17" t="s">
        <v>15</v>
      </c>
      <c r="C739" s="101">
        <v>40</v>
      </c>
      <c r="D739" s="100"/>
      <c r="E739" s="22">
        <f t="shared" si="93"/>
        <v>-12297</v>
      </c>
      <c r="G739" s="204">
        <f>56+3+16</f>
        <v>75</v>
      </c>
      <c r="H739" s="62">
        <f t="shared" si="94"/>
        <v>51</v>
      </c>
      <c r="I739" s="20"/>
      <c r="J739" s="21"/>
      <c r="K739" s="57">
        <v>51</v>
      </c>
      <c r="L739" s="23">
        <f t="shared" si="95"/>
        <v>-32</v>
      </c>
      <c r="M739" s="23">
        <f t="shared" si="96"/>
        <v>-32</v>
      </c>
      <c r="N739" s="23"/>
      <c r="O739" s="23">
        <f>10+1</f>
        <v>11</v>
      </c>
      <c r="Q739" s="1">
        <f>AVERAGE(G735:G739)</f>
        <v>66.2</v>
      </c>
    </row>
    <row r="740" spans="1:28" s="12" customFormat="1" hidden="1" outlineLevel="1">
      <c r="A740" s="95">
        <v>45836</v>
      </c>
      <c r="B740" s="25" t="s">
        <v>16</v>
      </c>
      <c r="C740" s="98"/>
      <c r="D740" s="99"/>
      <c r="E740" s="87">
        <f t="shared" si="93"/>
        <v>-12297</v>
      </c>
      <c r="G740" s="300"/>
      <c r="H740" s="63"/>
      <c r="I740" s="27"/>
      <c r="J740" s="28"/>
      <c r="K740" s="43"/>
      <c r="L740" s="29">
        <f t="shared" si="95"/>
        <v>-32</v>
      </c>
      <c r="M740" s="29">
        <f t="shared" si="96"/>
        <v>-32</v>
      </c>
      <c r="N740" s="29"/>
      <c r="O740" s="29"/>
    </row>
    <row r="741" spans="1:28" s="12" customFormat="1" hidden="1" outlineLevel="1" collapsed="1">
      <c r="A741" s="95">
        <v>45837</v>
      </c>
      <c r="B741" s="25" t="s">
        <v>17</v>
      </c>
      <c r="C741" s="98"/>
      <c r="D741" s="99"/>
      <c r="E741" s="87">
        <f t="shared" si="93"/>
        <v>-12297</v>
      </c>
      <c r="G741" s="300"/>
      <c r="H741" s="63"/>
      <c r="I741" s="27"/>
      <c r="J741" s="28"/>
      <c r="K741" s="43"/>
      <c r="L741" s="29">
        <f t="shared" si="95"/>
        <v>-32</v>
      </c>
      <c r="M741" s="29">
        <f t="shared" si="96"/>
        <v>-32</v>
      </c>
      <c r="N741" s="29"/>
      <c r="O741" s="29"/>
    </row>
    <row r="742" spans="1:28" hidden="1" outlineLevel="1">
      <c r="A742" s="96">
        <v>45838</v>
      </c>
      <c r="B742" s="17" t="s">
        <v>18</v>
      </c>
      <c r="C742" s="101">
        <f>64+20</f>
        <v>84</v>
      </c>
      <c r="D742" s="100"/>
      <c r="E742" s="22">
        <f t="shared" si="93"/>
        <v>-12381</v>
      </c>
      <c r="G742" s="203">
        <v>24</v>
      </c>
      <c r="H742" s="62">
        <f t="shared" si="94"/>
        <v>40</v>
      </c>
      <c r="I742" s="20"/>
      <c r="J742" s="21"/>
      <c r="K742" s="57">
        <v>40</v>
      </c>
      <c r="L742" s="23">
        <f t="shared" si="95"/>
        <v>-16</v>
      </c>
      <c r="M742" s="23">
        <f t="shared" si="96"/>
        <v>-16</v>
      </c>
      <c r="N742" s="23"/>
      <c r="O742" s="23">
        <v>11</v>
      </c>
    </row>
    <row r="743" spans="1:28" hidden="1" outlineLevel="1">
      <c r="A743" s="96">
        <v>45839</v>
      </c>
      <c r="B743" s="17" t="s">
        <v>19</v>
      </c>
      <c r="C743" s="101">
        <v>64</v>
      </c>
      <c r="D743" s="100"/>
      <c r="E743" s="22">
        <f t="shared" si="93"/>
        <v>-12445</v>
      </c>
      <c r="G743" s="203">
        <v>56</v>
      </c>
      <c r="H743" s="62">
        <f t="shared" si="94"/>
        <v>40</v>
      </c>
      <c r="I743" s="20"/>
      <c r="J743" s="21"/>
      <c r="K743" s="57">
        <v>40</v>
      </c>
      <c r="L743" s="23">
        <f t="shared" si="95"/>
        <v>-32</v>
      </c>
      <c r="M743" s="23">
        <f t="shared" si="96"/>
        <v>-32</v>
      </c>
      <c r="N743" s="23"/>
      <c r="O743" s="23">
        <v>10</v>
      </c>
    </row>
    <row r="744" spans="1:28" hidden="1" outlineLevel="1">
      <c r="A744" s="96">
        <v>45840</v>
      </c>
      <c r="B744" s="17" t="s">
        <v>20</v>
      </c>
      <c r="C744" s="101">
        <v>0</v>
      </c>
      <c r="D744" s="100"/>
      <c r="E744" s="22">
        <f t="shared" si="93"/>
        <v>-12445</v>
      </c>
      <c r="G744" s="203">
        <v>56</v>
      </c>
      <c r="H744" s="62">
        <f t="shared" si="94"/>
        <v>84</v>
      </c>
      <c r="I744" s="20"/>
      <c r="J744" s="21"/>
      <c r="K744" s="57">
        <v>84</v>
      </c>
      <c r="L744" s="23">
        <f t="shared" si="95"/>
        <v>-4</v>
      </c>
      <c r="M744" s="23">
        <f t="shared" si="96"/>
        <v>-4</v>
      </c>
      <c r="N744" s="23"/>
      <c r="O744" s="23">
        <v>15</v>
      </c>
    </row>
    <row r="745" spans="1:28" hidden="1" outlineLevel="1">
      <c r="A745" s="96">
        <v>45841</v>
      </c>
      <c r="B745" s="17" t="s">
        <v>14</v>
      </c>
      <c r="C745" s="101">
        <v>60</v>
      </c>
      <c r="D745" s="100"/>
      <c r="E745" s="22">
        <f t="shared" si="93"/>
        <v>-12505</v>
      </c>
      <c r="G745" s="203">
        <v>56</v>
      </c>
      <c r="H745" s="62">
        <f t="shared" si="94"/>
        <v>64</v>
      </c>
      <c r="I745" s="20"/>
      <c r="J745" s="21"/>
      <c r="K745" s="57">
        <v>64</v>
      </c>
      <c r="L745" s="23">
        <f t="shared" si="95"/>
        <v>4</v>
      </c>
      <c r="M745" s="23">
        <f t="shared" si="96"/>
        <v>4</v>
      </c>
      <c r="N745" s="23"/>
      <c r="O745" s="23">
        <v>10</v>
      </c>
    </row>
    <row r="746" spans="1:28" s="12" customFormat="1" hidden="1" outlineLevel="1">
      <c r="A746" s="96">
        <v>45842</v>
      </c>
      <c r="B746" s="17" t="s">
        <v>15</v>
      </c>
      <c r="C746" s="101">
        <v>40</v>
      </c>
      <c r="D746" s="100"/>
      <c r="E746" s="22">
        <f t="shared" si="93"/>
        <v>-12545</v>
      </c>
      <c r="F746" s="1"/>
      <c r="G746" s="203">
        <v>0</v>
      </c>
      <c r="H746" s="62">
        <f t="shared" si="94"/>
        <v>0</v>
      </c>
      <c r="I746" s="20"/>
      <c r="J746" s="21"/>
      <c r="K746" s="42"/>
      <c r="L746" s="23">
        <f t="shared" si="95"/>
        <v>4</v>
      </c>
      <c r="M746" s="23">
        <f t="shared" si="96"/>
        <v>4</v>
      </c>
      <c r="N746" s="23"/>
      <c r="O746" s="23">
        <v>0</v>
      </c>
      <c r="P746" s="1"/>
      <c r="Q746" s="1">
        <f>AVERAGE(G742:G746)</f>
        <v>38.4</v>
      </c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s="12" customFormat="1" hidden="1" outlineLevel="1">
      <c r="A747" s="95">
        <v>45843</v>
      </c>
      <c r="B747" s="25" t="s">
        <v>16</v>
      </c>
      <c r="C747" s="98"/>
      <c r="D747" s="99"/>
      <c r="E747" s="87">
        <f t="shared" si="93"/>
        <v>-12545</v>
      </c>
      <c r="G747" s="300"/>
      <c r="H747" s="63"/>
      <c r="I747" s="27"/>
      <c r="J747" s="28"/>
      <c r="K747" s="43"/>
      <c r="L747" s="29">
        <f t="shared" si="95"/>
        <v>4</v>
      </c>
      <c r="M747" s="29">
        <f t="shared" si="96"/>
        <v>4</v>
      </c>
      <c r="N747" s="29"/>
      <c r="O747" s="29"/>
    </row>
    <row r="748" spans="1:28" s="12" customFormat="1" hidden="1" outlineLevel="1" collapsed="1">
      <c r="A748" s="95">
        <v>45844</v>
      </c>
      <c r="B748" s="25" t="s">
        <v>17</v>
      </c>
      <c r="C748" s="98"/>
      <c r="D748" s="99"/>
      <c r="E748" s="87">
        <f t="shared" ref="E748:E779" si="97">E747-C748+D748</f>
        <v>-12545</v>
      </c>
      <c r="G748" s="300"/>
      <c r="H748" s="63"/>
      <c r="I748" s="27"/>
      <c r="J748" s="28"/>
      <c r="K748" s="43"/>
      <c r="L748" s="29">
        <f t="shared" ref="L748:L779" si="98">L747-G748+K748</f>
        <v>4</v>
      </c>
      <c r="M748" s="29">
        <f t="shared" ref="M748:M779" si="99">M747-G748+H748</f>
        <v>4</v>
      </c>
      <c r="N748" s="29"/>
      <c r="O748" s="29"/>
    </row>
    <row r="749" spans="1:28" hidden="1" outlineLevel="1">
      <c r="A749" s="96">
        <v>45845</v>
      </c>
      <c r="B749" s="17" t="s">
        <v>18</v>
      </c>
      <c r="C749" s="101">
        <v>32</v>
      </c>
      <c r="D749" s="100"/>
      <c r="E749" s="22">
        <f t="shared" si="97"/>
        <v>-12577</v>
      </c>
      <c r="G749" s="203">
        <f>48</f>
        <v>48</v>
      </c>
      <c r="H749" s="62">
        <f t="shared" ref="H749:H753" si="100">IF(C747&lt;&gt;"",C747+I749,IF(C745&lt;&gt;"",C745+I749,IF(C744&lt;&gt;"",C744+I749,IF(C743&lt;&gt;"",C743+I749,IF(C742&lt;&gt;"",C742+I749,IF(C741&lt;&gt;"",C741+I749))))))</f>
        <v>60</v>
      </c>
      <c r="I749" s="20"/>
      <c r="J749" s="21"/>
      <c r="K749" s="57">
        <v>60</v>
      </c>
      <c r="L749" s="23">
        <f t="shared" si="98"/>
        <v>16</v>
      </c>
      <c r="M749" s="23">
        <f t="shared" si="99"/>
        <v>16</v>
      </c>
      <c r="N749" s="23"/>
      <c r="O749" s="23">
        <v>10</v>
      </c>
    </row>
    <row r="750" spans="1:28" hidden="1" outlineLevel="1">
      <c r="A750" s="96">
        <v>45846</v>
      </c>
      <c r="B750" s="17" t="s">
        <v>19</v>
      </c>
      <c r="C750" s="101">
        <v>32</v>
      </c>
      <c r="D750" s="100"/>
      <c r="E750" s="22">
        <f t="shared" si="97"/>
        <v>-12609</v>
      </c>
      <c r="G750" s="78">
        <v>48</v>
      </c>
      <c r="H750" s="62">
        <f t="shared" si="100"/>
        <v>40</v>
      </c>
      <c r="I750" s="20"/>
      <c r="J750" s="21"/>
      <c r="K750" s="57">
        <v>40</v>
      </c>
      <c r="L750" s="23">
        <f t="shared" si="98"/>
        <v>8</v>
      </c>
      <c r="M750" s="23">
        <f t="shared" si="99"/>
        <v>8</v>
      </c>
      <c r="N750" s="23"/>
      <c r="O750" s="23">
        <v>8</v>
      </c>
    </row>
    <row r="751" spans="1:28" hidden="1" outlineLevel="1">
      <c r="A751" s="96">
        <v>45847</v>
      </c>
      <c r="B751" s="17" t="s">
        <v>20</v>
      </c>
      <c r="C751" s="101">
        <v>40</v>
      </c>
      <c r="D751" s="100"/>
      <c r="E751" s="22">
        <f t="shared" si="97"/>
        <v>-12649</v>
      </c>
      <c r="G751" s="78">
        <v>0</v>
      </c>
      <c r="H751" s="62">
        <f t="shared" si="100"/>
        <v>32</v>
      </c>
      <c r="I751" s="20"/>
      <c r="J751" s="21"/>
      <c r="K751" s="57">
        <v>32</v>
      </c>
      <c r="L751" s="23">
        <f t="shared" si="98"/>
        <v>40</v>
      </c>
      <c r="M751" s="23">
        <f t="shared" si="99"/>
        <v>40</v>
      </c>
      <c r="N751" s="23"/>
      <c r="O751" s="23">
        <v>9</v>
      </c>
    </row>
    <row r="752" spans="1:28" hidden="1" outlineLevel="1">
      <c r="A752" s="96">
        <v>45848</v>
      </c>
      <c r="B752" s="17" t="s">
        <v>14</v>
      </c>
      <c r="C752" s="101">
        <v>48</v>
      </c>
      <c r="D752" s="100"/>
      <c r="E752" s="22">
        <f t="shared" si="97"/>
        <v>-12697</v>
      </c>
      <c r="G752" s="78">
        <v>48</v>
      </c>
      <c r="H752" s="62">
        <f t="shared" si="100"/>
        <v>32</v>
      </c>
      <c r="I752" s="20"/>
      <c r="J752" s="21"/>
      <c r="K752" s="57">
        <v>32</v>
      </c>
      <c r="L752" s="23">
        <f t="shared" si="98"/>
        <v>24</v>
      </c>
      <c r="M752" s="23">
        <f t="shared" si="99"/>
        <v>24</v>
      </c>
      <c r="N752" s="23"/>
      <c r="O752" s="23">
        <v>11</v>
      </c>
    </row>
    <row r="753" spans="1:17" hidden="1" outlineLevel="1">
      <c r="A753" s="96">
        <v>45849</v>
      </c>
      <c r="B753" s="17" t="s">
        <v>15</v>
      </c>
      <c r="C753" s="101">
        <v>48</v>
      </c>
      <c r="D753" s="100"/>
      <c r="E753" s="22">
        <f t="shared" si="97"/>
        <v>-12745</v>
      </c>
      <c r="G753" s="78">
        <v>48</v>
      </c>
      <c r="H753" s="62">
        <f t="shared" si="100"/>
        <v>40</v>
      </c>
      <c r="I753" s="20"/>
      <c r="J753" s="21"/>
      <c r="K753" s="57">
        <v>40</v>
      </c>
      <c r="L753" s="23">
        <f t="shared" si="98"/>
        <v>16</v>
      </c>
      <c r="M753" s="23">
        <f t="shared" si="99"/>
        <v>16</v>
      </c>
      <c r="N753" s="23"/>
      <c r="O753" s="23">
        <v>15</v>
      </c>
      <c r="Q753" s="1">
        <f>AVERAGE(G749:G753)</f>
        <v>38.4</v>
      </c>
    </row>
    <row r="754" spans="1:17" s="12" customFormat="1" hidden="1" outlineLevel="1">
      <c r="A754" s="95">
        <v>45850</v>
      </c>
      <c r="B754" s="25" t="s">
        <v>16</v>
      </c>
      <c r="C754" s="98"/>
      <c r="D754" s="99"/>
      <c r="E754" s="87">
        <f t="shared" si="97"/>
        <v>-12745</v>
      </c>
      <c r="G754" s="79"/>
      <c r="H754" s="63"/>
      <c r="I754" s="27"/>
      <c r="J754" s="28"/>
      <c r="K754" s="43"/>
      <c r="L754" s="29">
        <f t="shared" si="98"/>
        <v>16</v>
      </c>
      <c r="M754" s="29">
        <f t="shared" si="99"/>
        <v>16</v>
      </c>
      <c r="N754" s="29"/>
      <c r="O754" s="29"/>
    </row>
    <row r="755" spans="1:17" s="12" customFormat="1" hidden="1" outlineLevel="1" collapsed="1">
      <c r="A755" s="95">
        <v>45851</v>
      </c>
      <c r="B755" s="25" t="s">
        <v>17</v>
      </c>
      <c r="C755" s="98"/>
      <c r="D755" s="99"/>
      <c r="E755" s="87">
        <f t="shared" si="97"/>
        <v>-12745</v>
      </c>
      <c r="G755" s="79"/>
      <c r="H755" s="63"/>
      <c r="I755" s="27"/>
      <c r="J755" s="28"/>
      <c r="K755" s="43"/>
      <c r="L755" s="29">
        <f t="shared" si="98"/>
        <v>16</v>
      </c>
      <c r="M755" s="29">
        <f t="shared" si="99"/>
        <v>16</v>
      </c>
      <c r="N755" s="29"/>
      <c r="O755" s="29"/>
    </row>
    <row r="756" spans="1:17" hidden="1" outlineLevel="1">
      <c r="A756" s="96">
        <v>45852</v>
      </c>
      <c r="B756" s="17" t="s">
        <v>18</v>
      </c>
      <c r="C756" s="101">
        <v>56</v>
      </c>
      <c r="D756" s="100"/>
      <c r="E756" s="22">
        <f t="shared" si="97"/>
        <v>-12801</v>
      </c>
      <c r="G756" s="78">
        <v>48</v>
      </c>
      <c r="H756" s="62">
        <f t="shared" ref="H756:H760" si="101">IF(C754&lt;&gt;"",C754+I756,IF(C752&lt;&gt;"",C752+I756,IF(C751&lt;&gt;"",C751+I756,IF(C750&lt;&gt;"",C750+I756,IF(C749&lt;&gt;"",C749+I756,IF(C748&lt;&gt;"",C748+I756))))))</f>
        <v>48</v>
      </c>
      <c r="I756" s="20"/>
      <c r="J756" s="21"/>
      <c r="K756" s="57">
        <v>48</v>
      </c>
      <c r="L756" s="23">
        <f t="shared" si="98"/>
        <v>16</v>
      </c>
      <c r="M756" s="23">
        <f t="shared" si="99"/>
        <v>16</v>
      </c>
      <c r="N756" s="23"/>
      <c r="O756" s="23">
        <v>0</v>
      </c>
    </row>
    <row r="757" spans="1:17" hidden="1" outlineLevel="1">
      <c r="A757" s="96">
        <v>45853</v>
      </c>
      <c r="B757" s="17" t="s">
        <v>19</v>
      </c>
      <c r="C757" s="101">
        <v>56</v>
      </c>
      <c r="D757" s="100"/>
      <c r="E757" s="22">
        <f t="shared" si="97"/>
        <v>-12857</v>
      </c>
      <c r="G757" s="78">
        <v>64</v>
      </c>
      <c r="H757" s="62">
        <f t="shared" si="101"/>
        <v>48</v>
      </c>
      <c r="I757" s="20"/>
      <c r="J757" s="21"/>
      <c r="K757" s="57">
        <v>48</v>
      </c>
      <c r="L757" s="23">
        <f t="shared" si="98"/>
        <v>0</v>
      </c>
      <c r="M757" s="23">
        <f t="shared" si="99"/>
        <v>0</v>
      </c>
      <c r="N757" s="23"/>
      <c r="O757" s="23">
        <v>12</v>
      </c>
    </row>
    <row r="758" spans="1:17" hidden="1" outlineLevel="1">
      <c r="A758" s="96">
        <v>45854</v>
      </c>
      <c r="B758" s="17" t="s">
        <v>20</v>
      </c>
      <c r="C758" s="101">
        <v>56</v>
      </c>
      <c r="D758" s="100"/>
      <c r="E758" s="22">
        <f t="shared" si="97"/>
        <v>-12913</v>
      </c>
      <c r="G758" s="78">
        <v>48</v>
      </c>
      <c r="H758" s="62">
        <f t="shared" si="101"/>
        <v>56</v>
      </c>
      <c r="I758" s="20"/>
      <c r="J758" s="21"/>
      <c r="K758" s="57">
        <v>56</v>
      </c>
      <c r="L758" s="23">
        <f t="shared" si="98"/>
        <v>8</v>
      </c>
      <c r="M758" s="23">
        <f t="shared" si="99"/>
        <v>8</v>
      </c>
      <c r="N758" s="23"/>
      <c r="O758" s="23">
        <v>12</v>
      </c>
    </row>
    <row r="759" spans="1:17" hidden="1" outlineLevel="1">
      <c r="A759" s="96">
        <v>45855</v>
      </c>
      <c r="B759" s="17" t="s">
        <v>14</v>
      </c>
      <c r="C759" s="101">
        <v>56</v>
      </c>
      <c r="D759" s="100"/>
      <c r="E759" s="22">
        <f t="shared" si="97"/>
        <v>-12969</v>
      </c>
      <c r="G759" s="78">
        <v>64</v>
      </c>
      <c r="H759" s="62">
        <f t="shared" si="101"/>
        <v>56</v>
      </c>
      <c r="I759" s="20"/>
      <c r="J759" s="21"/>
      <c r="K759" s="57">
        <v>56</v>
      </c>
      <c r="L759" s="23">
        <f t="shared" si="98"/>
        <v>0</v>
      </c>
      <c r="M759" s="23">
        <f t="shared" si="99"/>
        <v>0</v>
      </c>
      <c r="N759" s="23"/>
      <c r="O759" s="23">
        <v>14</v>
      </c>
    </row>
    <row r="760" spans="1:17" hidden="1" outlineLevel="1">
      <c r="A760" s="96">
        <v>45856</v>
      </c>
      <c r="B760" s="17" t="s">
        <v>15</v>
      </c>
      <c r="C760" s="101">
        <v>60</v>
      </c>
      <c r="D760" s="100"/>
      <c r="E760" s="22">
        <f t="shared" si="97"/>
        <v>-13029</v>
      </c>
      <c r="G760" s="78">
        <v>40</v>
      </c>
      <c r="H760" s="62">
        <f t="shared" si="101"/>
        <v>56</v>
      </c>
      <c r="I760" s="20"/>
      <c r="J760" s="21"/>
      <c r="K760" s="57">
        <v>57</v>
      </c>
      <c r="L760" s="23">
        <f t="shared" si="98"/>
        <v>17</v>
      </c>
      <c r="M760" s="23">
        <f t="shared" si="99"/>
        <v>16</v>
      </c>
      <c r="N760" s="23"/>
      <c r="O760" s="23">
        <v>12</v>
      </c>
      <c r="Q760" s="1">
        <f>AVERAGE(G756:G760)</f>
        <v>52.8</v>
      </c>
    </row>
    <row r="761" spans="1:17" s="12" customFormat="1" hidden="1" outlineLevel="1">
      <c r="A761" s="95">
        <v>45857</v>
      </c>
      <c r="B761" s="25" t="s">
        <v>16</v>
      </c>
      <c r="C761" s="98"/>
      <c r="D761" s="99"/>
      <c r="E761" s="87">
        <f t="shared" si="97"/>
        <v>-13029</v>
      </c>
      <c r="G761" s="79"/>
      <c r="H761" s="63"/>
      <c r="I761" s="27"/>
      <c r="J761" s="28"/>
      <c r="K761" s="43"/>
      <c r="L761" s="29">
        <f t="shared" si="98"/>
        <v>17</v>
      </c>
      <c r="M761" s="29">
        <f t="shared" si="99"/>
        <v>16</v>
      </c>
      <c r="N761" s="29"/>
      <c r="O761" s="29"/>
    </row>
    <row r="762" spans="1:17" s="12" customFormat="1" hidden="1" outlineLevel="1" collapsed="1">
      <c r="A762" s="95">
        <v>45858</v>
      </c>
      <c r="B762" s="25" t="s">
        <v>17</v>
      </c>
      <c r="C762" s="98"/>
      <c r="D762" s="99"/>
      <c r="E762" s="87">
        <f t="shared" si="97"/>
        <v>-13029</v>
      </c>
      <c r="G762" s="79"/>
      <c r="H762" s="63"/>
      <c r="I762" s="27"/>
      <c r="J762" s="28"/>
      <c r="K762" s="43"/>
      <c r="L762" s="29">
        <f t="shared" si="98"/>
        <v>17</v>
      </c>
      <c r="M762" s="29">
        <f t="shared" si="99"/>
        <v>16</v>
      </c>
      <c r="N762" s="29"/>
      <c r="O762" s="29"/>
    </row>
    <row r="763" spans="1:17" s="12" customFormat="1" hidden="1" outlineLevel="1">
      <c r="A763" s="95">
        <v>45859</v>
      </c>
      <c r="B763" s="25" t="s">
        <v>18</v>
      </c>
      <c r="C763" s="98"/>
      <c r="D763" s="99"/>
      <c r="E763" s="87">
        <f t="shared" si="97"/>
        <v>-13029</v>
      </c>
      <c r="G763" s="79"/>
      <c r="H763" s="63"/>
      <c r="I763" s="27"/>
      <c r="J763" s="28"/>
      <c r="K763" s="43"/>
      <c r="L763" s="29">
        <f t="shared" si="98"/>
        <v>17</v>
      </c>
      <c r="M763" s="29">
        <f t="shared" si="99"/>
        <v>16</v>
      </c>
      <c r="N763" s="29"/>
      <c r="O763" s="29"/>
    </row>
    <row r="764" spans="1:17" hidden="1" outlineLevel="1">
      <c r="A764" s="96">
        <v>45860</v>
      </c>
      <c r="B764" s="17" t="s">
        <v>19</v>
      </c>
      <c r="C764" s="101">
        <v>64</v>
      </c>
      <c r="D764" s="100"/>
      <c r="E764" s="22">
        <f t="shared" si="97"/>
        <v>-13093</v>
      </c>
      <c r="G764" s="78">
        <v>64</v>
      </c>
      <c r="H764" s="62">
        <f>C759</f>
        <v>56</v>
      </c>
      <c r="I764" s="20"/>
      <c r="J764" s="21"/>
      <c r="K764" s="57">
        <v>56</v>
      </c>
      <c r="L764" s="23">
        <f t="shared" si="98"/>
        <v>9</v>
      </c>
      <c r="M764" s="23">
        <f t="shared" si="99"/>
        <v>8</v>
      </c>
      <c r="N764" s="23"/>
      <c r="O764" s="23">
        <v>14</v>
      </c>
    </row>
    <row r="765" spans="1:17" hidden="1" outlineLevel="1">
      <c r="A765" s="96">
        <v>45861</v>
      </c>
      <c r="B765" s="17" t="s">
        <v>20</v>
      </c>
      <c r="C765" s="101">
        <v>56</v>
      </c>
      <c r="D765" s="100"/>
      <c r="E765" s="22">
        <f t="shared" si="97"/>
        <v>-13149</v>
      </c>
      <c r="G765" s="78">
        <f>64+4</f>
        <v>68</v>
      </c>
      <c r="H765" s="62">
        <f t="shared" ref="H765:H767" si="102">IF(C763&lt;&gt;"",C763+I765,IF(C761&lt;&gt;"",C761+I765,IF(C760&lt;&gt;"",C760+I765,IF(C759&lt;&gt;"",C759+I765,IF(C758&lt;&gt;"",C758+I765,IF(C757&lt;&gt;"",C757+I765))))))</f>
        <v>60</v>
      </c>
      <c r="I765" s="20"/>
      <c r="J765" s="21"/>
      <c r="K765" s="57">
        <v>60</v>
      </c>
      <c r="L765" s="23">
        <f t="shared" si="98"/>
        <v>1</v>
      </c>
      <c r="M765" s="23">
        <f t="shared" si="99"/>
        <v>0</v>
      </c>
      <c r="N765" s="23"/>
      <c r="O765" s="23">
        <v>14</v>
      </c>
    </row>
    <row r="766" spans="1:17" hidden="1" outlineLevel="1">
      <c r="A766" s="96">
        <v>45862</v>
      </c>
      <c r="B766" s="17" t="s">
        <v>14</v>
      </c>
      <c r="C766" s="101">
        <v>56</v>
      </c>
      <c r="D766" s="100"/>
      <c r="E766" s="22">
        <f t="shared" si="97"/>
        <v>-13205</v>
      </c>
      <c r="G766" s="78">
        <v>56</v>
      </c>
      <c r="H766" s="62">
        <f t="shared" si="102"/>
        <v>64</v>
      </c>
      <c r="I766" s="20"/>
      <c r="J766" s="21"/>
      <c r="K766" s="57">
        <v>64</v>
      </c>
      <c r="L766" s="23">
        <f t="shared" si="98"/>
        <v>9</v>
      </c>
      <c r="M766" s="23">
        <f t="shared" si="99"/>
        <v>8</v>
      </c>
      <c r="N766" s="23"/>
      <c r="O766" s="23">
        <f>1+11</f>
        <v>12</v>
      </c>
    </row>
    <row r="767" spans="1:17" hidden="1" outlineLevel="1">
      <c r="A767" s="96">
        <v>45863</v>
      </c>
      <c r="B767" s="17" t="s">
        <v>15</v>
      </c>
      <c r="C767" s="101">
        <v>56</v>
      </c>
      <c r="D767" s="100"/>
      <c r="E767" s="22">
        <f t="shared" si="97"/>
        <v>-13261</v>
      </c>
      <c r="G767" s="78">
        <v>64</v>
      </c>
      <c r="H767" s="62">
        <f t="shared" si="102"/>
        <v>56</v>
      </c>
      <c r="I767" s="20"/>
      <c r="J767" s="21"/>
      <c r="K767" s="57">
        <v>56</v>
      </c>
      <c r="L767" s="23">
        <f t="shared" si="98"/>
        <v>1</v>
      </c>
      <c r="M767" s="23">
        <f t="shared" si="99"/>
        <v>0</v>
      </c>
      <c r="N767" s="23"/>
      <c r="O767" s="23">
        <v>11</v>
      </c>
      <c r="Q767" s="1">
        <f>AVERAGE(G763:G767)</f>
        <v>63</v>
      </c>
    </row>
    <row r="768" spans="1:17" s="12" customFormat="1" hidden="1" outlineLevel="1">
      <c r="A768" s="95">
        <v>45864</v>
      </c>
      <c r="B768" s="25" t="s">
        <v>16</v>
      </c>
      <c r="C768" s="98"/>
      <c r="D768" s="99"/>
      <c r="E768" s="87">
        <f t="shared" si="97"/>
        <v>-13261</v>
      </c>
      <c r="G768" s="79"/>
      <c r="H768" s="63"/>
      <c r="I768" s="27"/>
      <c r="J768" s="28"/>
      <c r="K768" s="43"/>
      <c r="L768" s="29">
        <f t="shared" si="98"/>
        <v>1</v>
      </c>
      <c r="M768" s="29">
        <f t="shared" si="99"/>
        <v>0</v>
      </c>
      <c r="N768" s="29"/>
      <c r="O768" s="29"/>
    </row>
    <row r="769" spans="1:17" s="12" customFormat="1" hidden="1" outlineLevel="1" collapsed="1">
      <c r="A769" s="95">
        <v>45865</v>
      </c>
      <c r="B769" s="25" t="s">
        <v>17</v>
      </c>
      <c r="C769" s="98"/>
      <c r="D769" s="99"/>
      <c r="E769" s="87">
        <f t="shared" si="97"/>
        <v>-13261</v>
      </c>
      <c r="G769" s="79"/>
      <c r="H769" s="63"/>
      <c r="I769" s="27"/>
      <c r="J769" s="28"/>
      <c r="K769" s="43"/>
      <c r="L769" s="29">
        <f t="shared" si="98"/>
        <v>1</v>
      </c>
      <c r="M769" s="29">
        <f t="shared" si="99"/>
        <v>0</v>
      </c>
      <c r="N769" s="29"/>
      <c r="O769" s="29"/>
    </row>
    <row r="770" spans="1:17" hidden="1" outlineLevel="1">
      <c r="A770" s="96">
        <v>45866</v>
      </c>
      <c r="B770" s="17" t="s">
        <v>18</v>
      </c>
      <c r="C770" s="101">
        <v>48</v>
      </c>
      <c r="D770" s="100"/>
      <c r="E770" s="22">
        <f t="shared" si="97"/>
        <v>-13309</v>
      </c>
      <c r="G770" s="78">
        <v>48</v>
      </c>
      <c r="H770" s="62">
        <f t="shared" ref="H770:H774" si="103">IF(C768&lt;&gt;"",C768+I770,IF(C766&lt;&gt;"",C766+I770,IF(C765&lt;&gt;"",C765+I770,IF(C764&lt;&gt;"",C764+I770,IF(C763&lt;&gt;"",C763+I770,IF(C762&lt;&gt;"",C762+I770))))))</f>
        <v>56</v>
      </c>
      <c r="I770" s="20"/>
      <c r="J770" s="21"/>
      <c r="K770" s="57">
        <v>56</v>
      </c>
      <c r="L770" s="23">
        <f t="shared" si="98"/>
        <v>9</v>
      </c>
      <c r="M770" s="23">
        <f t="shared" si="99"/>
        <v>8</v>
      </c>
      <c r="N770" s="23"/>
      <c r="O770" s="23">
        <v>5</v>
      </c>
    </row>
    <row r="771" spans="1:17" hidden="1" outlineLevel="1">
      <c r="A771" s="96">
        <v>45867</v>
      </c>
      <c r="B771" s="17" t="s">
        <v>19</v>
      </c>
      <c r="C771" s="101">
        <v>56</v>
      </c>
      <c r="D771" s="100"/>
      <c r="E771" s="22">
        <f t="shared" si="97"/>
        <v>-13365</v>
      </c>
      <c r="G771" s="78">
        <v>56</v>
      </c>
      <c r="H771" s="62">
        <f t="shared" si="103"/>
        <v>56</v>
      </c>
      <c r="I771" s="20"/>
      <c r="J771" s="21"/>
      <c r="K771" s="57">
        <v>56</v>
      </c>
      <c r="L771" s="23">
        <f t="shared" si="98"/>
        <v>9</v>
      </c>
      <c r="M771" s="23">
        <f t="shared" si="99"/>
        <v>8</v>
      </c>
      <c r="N771" s="23"/>
      <c r="O771" s="23">
        <v>16</v>
      </c>
    </row>
    <row r="772" spans="1:17" hidden="1" outlineLevel="1">
      <c r="A772" s="96">
        <v>45868</v>
      </c>
      <c r="B772" s="17" t="s">
        <v>20</v>
      </c>
      <c r="C772" s="101">
        <v>56</v>
      </c>
      <c r="D772" s="100"/>
      <c r="E772" s="22">
        <f t="shared" si="97"/>
        <v>-13421</v>
      </c>
      <c r="G772" s="78">
        <v>56</v>
      </c>
      <c r="H772" s="62">
        <f t="shared" si="103"/>
        <v>48</v>
      </c>
      <c r="I772" s="20"/>
      <c r="J772" s="21"/>
      <c r="K772" s="57">
        <v>48</v>
      </c>
      <c r="L772" s="23">
        <f t="shared" si="98"/>
        <v>1</v>
      </c>
      <c r="M772" s="23">
        <f t="shared" si="99"/>
        <v>0</v>
      </c>
      <c r="N772" s="23"/>
      <c r="O772" s="23">
        <f>4+11</f>
        <v>15</v>
      </c>
    </row>
    <row r="773" spans="1:17" hidden="1" outlineLevel="1">
      <c r="A773" s="96">
        <v>45869</v>
      </c>
      <c r="B773" s="17" t="s">
        <v>14</v>
      </c>
      <c r="C773" s="101">
        <v>40</v>
      </c>
      <c r="D773" s="100"/>
      <c r="E773" s="22">
        <f t="shared" si="97"/>
        <v>-13461</v>
      </c>
      <c r="G773" s="78">
        <v>48</v>
      </c>
      <c r="H773" s="62">
        <f t="shared" si="103"/>
        <v>56</v>
      </c>
      <c r="I773" s="20"/>
      <c r="J773" s="21"/>
      <c r="K773" s="57">
        <v>56</v>
      </c>
      <c r="L773" s="23">
        <f t="shared" si="98"/>
        <v>9</v>
      </c>
      <c r="M773" s="23">
        <f t="shared" si="99"/>
        <v>8</v>
      </c>
      <c r="N773" s="23"/>
      <c r="O773" s="23">
        <f>10+9</f>
        <v>19</v>
      </c>
    </row>
    <row r="774" spans="1:17" hidden="1" outlineLevel="1">
      <c r="A774" s="96">
        <v>45870</v>
      </c>
      <c r="B774" s="17" t="s">
        <v>15</v>
      </c>
      <c r="C774" s="101">
        <v>48</v>
      </c>
      <c r="D774" s="100"/>
      <c r="E774" s="22">
        <f t="shared" si="97"/>
        <v>-13509</v>
      </c>
      <c r="G774" s="78">
        <v>56</v>
      </c>
      <c r="H774" s="62">
        <f t="shared" si="103"/>
        <v>56</v>
      </c>
      <c r="I774" s="20"/>
      <c r="J774" s="21"/>
      <c r="K774" s="57">
        <v>56</v>
      </c>
      <c r="L774" s="23">
        <f t="shared" si="98"/>
        <v>9</v>
      </c>
      <c r="M774" s="23">
        <f t="shared" si="99"/>
        <v>8</v>
      </c>
      <c r="N774" s="23"/>
      <c r="O774" s="23">
        <v>15</v>
      </c>
      <c r="Q774" s="1">
        <f>AVERAGE(G770:G774)</f>
        <v>52.8</v>
      </c>
    </row>
    <row r="775" spans="1:17" s="12" customFormat="1" hidden="1" outlineLevel="1">
      <c r="A775" s="95">
        <v>45871</v>
      </c>
      <c r="B775" s="25" t="s">
        <v>16</v>
      </c>
      <c r="C775" s="98"/>
      <c r="D775" s="99"/>
      <c r="E775" s="87">
        <f t="shared" si="97"/>
        <v>-13509</v>
      </c>
      <c r="G775" s="79"/>
      <c r="H775" s="63"/>
      <c r="I775" s="27"/>
      <c r="J775" s="28"/>
      <c r="K775" s="43"/>
      <c r="L775" s="29">
        <f t="shared" si="98"/>
        <v>9</v>
      </c>
      <c r="M775" s="29">
        <f t="shared" si="99"/>
        <v>8</v>
      </c>
      <c r="N775" s="29"/>
      <c r="O775" s="29"/>
    </row>
    <row r="776" spans="1:17" s="12" customFormat="1" hidden="1" outlineLevel="1">
      <c r="A776" s="95">
        <v>45872</v>
      </c>
      <c r="B776" s="25" t="s">
        <v>17</v>
      </c>
      <c r="C776" s="98"/>
      <c r="D776" s="99"/>
      <c r="E776" s="87">
        <f t="shared" si="97"/>
        <v>-13509</v>
      </c>
      <c r="G776" s="79"/>
      <c r="H776" s="63"/>
      <c r="I776" s="27"/>
      <c r="J776" s="28"/>
      <c r="K776" s="43"/>
      <c r="L776" s="29">
        <f t="shared" si="98"/>
        <v>9</v>
      </c>
      <c r="M776" s="29">
        <f t="shared" si="99"/>
        <v>8</v>
      </c>
      <c r="N776" s="29"/>
      <c r="O776" s="29"/>
    </row>
    <row r="777" spans="1:17" hidden="1" outlineLevel="1">
      <c r="A777" s="96">
        <v>45873</v>
      </c>
      <c r="B777" s="17" t="s">
        <v>18</v>
      </c>
      <c r="C777" s="101">
        <v>64</v>
      </c>
      <c r="D777" s="100"/>
      <c r="E777" s="22">
        <f t="shared" si="97"/>
        <v>-13573</v>
      </c>
      <c r="G777" s="78">
        <v>40</v>
      </c>
      <c r="H777" s="62">
        <f t="shared" ref="H777:H781" si="104">IF(C775&lt;&gt;"",C775+I777,IF(C773&lt;&gt;"",C773+I777,IF(C772&lt;&gt;"",C772+I777,IF(C771&lt;&gt;"",C771+I777,IF(C770&lt;&gt;"",C770+I777,IF(C769&lt;&gt;"",C769+I777))))))</f>
        <v>40</v>
      </c>
      <c r="I777" s="20"/>
      <c r="J777" s="21"/>
      <c r="K777" s="57">
        <v>40</v>
      </c>
      <c r="L777" s="23">
        <f t="shared" si="98"/>
        <v>9</v>
      </c>
      <c r="M777" s="23">
        <f t="shared" si="99"/>
        <v>8</v>
      </c>
      <c r="N777" s="23"/>
      <c r="O777" s="23">
        <f>1+9</f>
        <v>10</v>
      </c>
    </row>
    <row r="778" spans="1:17" hidden="1" outlineLevel="1">
      <c r="A778" s="96">
        <v>45874</v>
      </c>
      <c r="B778" s="17" t="s">
        <v>19</v>
      </c>
      <c r="C778" s="101">
        <v>56</v>
      </c>
      <c r="D778" s="100"/>
      <c r="E778" s="22">
        <f t="shared" si="97"/>
        <v>-13629</v>
      </c>
      <c r="G778" s="78">
        <v>56</v>
      </c>
      <c r="H778" s="62">
        <f t="shared" si="104"/>
        <v>48</v>
      </c>
      <c r="I778" s="20"/>
      <c r="J778" s="21"/>
      <c r="K778" s="57">
        <v>48</v>
      </c>
      <c r="L778" s="23">
        <f t="shared" si="98"/>
        <v>1</v>
      </c>
      <c r="M778" s="23">
        <f t="shared" si="99"/>
        <v>0</v>
      </c>
      <c r="N778" s="23"/>
      <c r="O778" s="23">
        <v>13</v>
      </c>
    </row>
    <row r="779" spans="1:17" hidden="1" outlineLevel="1">
      <c r="A779" s="96">
        <v>45875</v>
      </c>
      <c r="B779" s="17" t="s">
        <v>20</v>
      </c>
      <c r="C779" s="101">
        <v>56</v>
      </c>
      <c r="D779" s="100"/>
      <c r="E779" s="22">
        <f t="shared" si="97"/>
        <v>-13685</v>
      </c>
      <c r="G779" s="78">
        <v>56</v>
      </c>
      <c r="H779" s="62">
        <f t="shared" si="104"/>
        <v>64</v>
      </c>
      <c r="I779" s="20"/>
      <c r="J779" s="21"/>
      <c r="K779" s="57">
        <v>64</v>
      </c>
      <c r="L779" s="23">
        <f t="shared" si="98"/>
        <v>9</v>
      </c>
      <c r="M779" s="23">
        <f t="shared" si="99"/>
        <v>8</v>
      </c>
      <c r="N779" s="23"/>
      <c r="O779" s="23">
        <v>11</v>
      </c>
    </row>
    <row r="780" spans="1:17" hidden="1" outlineLevel="1">
      <c r="A780" s="96">
        <v>45876</v>
      </c>
      <c r="B780" s="17" t="s">
        <v>14</v>
      </c>
      <c r="C780" s="101">
        <v>56</v>
      </c>
      <c r="D780" s="100"/>
      <c r="E780" s="22">
        <f t="shared" ref="E780:E811" si="105">E779-C780+D780</f>
        <v>-13741</v>
      </c>
      <c r="G780" s="78">
        <v>48</v>
      </c>
      <c r="H780" s="62">
        <f t="shared" si="104"/>
        <v>56</v>
      </c>
      <c r="I780" s="20"/>
      <c r="J780" s="21"/>
      <c r="K780" s="57">
        <v>56</v>
      </c>
      <c r="L780" s="23">
        <f t="shared" ref="L780:L811" si="106">L779-G780+K780</f>
        <v>17</v>
      </c>
      <c r="M780" s="23">
        <f t="shared" ref="M780:M811" si="107">M779-G780+H780</f>
        <v>16</v>
      </c>
      <c r="N780" s="23"/>
      <c r="O780" s="23">
        <v>8</v>
      </c>
    </row>
    <row r="781" spans="1:17" hidden="1" outlineLevel="1">
      <c r="A781" s="96">
        <v>45877</v>
      </c>
      <c r="B781" s="17" t="s">
        <v>15</v>
      </c>
      <c r="C781" s="101">
        <v>48</v>
      </c>
      <c r="D781" s="100"/>
      <c r="E781" s="22">
        <f t="shared" si="105"/>
        <v>-13789</v>
      </c>
      <c r="G781" s="78">
        <v>64</v>
      </c>
      <c r="H781" s="62">
        <f t="shared" si="104"/>
        <v>56</v>
      </c>
      <c r="I781" s="20"/>
      <c r="J781" s="21"/>
      <c r="K781" s="57">
        <v>56</v>
      </c>
      <c r="L781" s="23">
        <f t="shared" si="106"/>
        <v>9</v>
      </c>
      <c r="M781" s="23">
        <f t="shared" si="107"/>
        <v>8</v>
      </c>
      <c r="N781" s="23"/>
      <c r="O781" s="23">
        <v>7</v>
      </c>
      <c r="Q781" s="1">
        <f>AVERAGE(G777:G781)</f>
        <v>52.8</v>
      </c>
    </row>
    <row r="782" spans="1:17" s="12" customFormat="1" hidden="1" outlineLevel="1">
      <c r="A782" s="95">
        <v>45878</v>
      </c>
      <c r="B782" s="25" t="s">
        <v>16</v>
      </c>
      <c r="C782" s="98"/>
      <c r="D782" s="99"/>
      <c r="E782" s="87">
        <f t="shared" si="105"/>
        <v>-13789</v>
      </c>
      <c r="G782" s="79"/>
      <c r="H782" s="63"/>
      <c r="I782" s="27"/>
      <c r="J782" s="28"/>
      <c r="K782" s="43"/>
      <c r="L782" s="29">
        <f t="shared" si="106"/>
        <v>9</v>
      </c>
      <c r="M782" s="29">
        <f t="shared" si="107"/>
        <v>8</v>
      </c>
      <c r="N782" s="29"/>
      <c r="O782" s="29"/>
    </row>
    <row r="783" spans="1:17" s="12" customFormat="1" hidden="1" outlineLevel="1">
      <c r="A783" s="95">
        <v>45879</v>
      </c>
      <c r="B783" s="25" t="s">
        <v>17</v>
      </c>
      <c r="C783" s="98"/>
      <c r="D783" s="99"/>
      <c r="E783" s="87">
        <f t="shared" si="105"/>
        <v>-13789</v>
      </c>
      <c r="G783" s="79"/>
      <c r="H783" s="63"/>
      <c r="I783" s="27"/>
      <c r="J783" s="28"/>
      <c r="K783" s="43"/>
      <c r="L783" s="29">
        <f t="shared" si="106"/>
        <v>9</v>
      </c>
      <c r="M783" s="29">
        <f t="shared" si="107"/>
        <v>8</v>
      </c>
      <c r="N783" s="29"/>
      <c r="O783" s="29"/>
    </row>
    <row r="784" spans="1:17" s="12" customFormat="1" hidden="1" outlineLevel="1">
      <c r="A784" s="95">
        <v>45880</v>
      </c>
      <c r="B784" s="25" t="s">
        <v>18</v>
      </c>
      <c r="C784" s="98"/>
      <c r="D784" s="99"/>
      <c r="E784" s="87">
        <f t="shared" si="105"/>
        <v>-13789</v>
      </c>
      <c r="G784" s="79"/>
      <c r="H784" s="63"/>
      <c r="I784" s="27"/>
      <c r="J784" s="28"/>
      <c r="K784" s="43"/>
      <c r="L784" s="29">
        <f t="shared" si="106"/>
        <v>9</v>
      </c>
      <c r="M784" s="29">
        <f t="shared" si="107"/>
        <v>8</v>
      </c>
      <c r="N784" s="29"/>
      <c r="O784" s="29"/>
    </row>
    <row r="785" spans="1:17" s="12" customFormat="1" hidden="1" outlineLevel="1">
      <c r="A785" s="95">
        <v>45881</v>
      </c>
      <c r="B785" s="25" t="s">
        <v>19</v>
      </c>
      <c r="C785" s="98"/>
      <c r="D785" s="99"/>
      <c r="E785" s="87">
        <f t="shared" si="105"/>
        <v>-13789</v>
      </c>
      <c r="G785" s="79"/>
      <c r="H785" s="63"/>
      <c r="I785" s="27"/>
      <c r="J785" s="28"/>
      <c r="K785" s="43"/>
      <c r="L785" s="29">
        <f t="shared" si="106"/>
        <v>9</v>
      </c>
      <c r="M785" s="29">
        <f t="shared" si="107"/>
        <v>8</v>
      </c>
      <c r="N785" s="29"/>
      <c r="O785" s="29"/>
    </row>
    <row r="786" spans="1:17" s="12" customFormat="1" hidden="1" outlineLevel="1">
      <c r="A786" s="95">
        <v>45882</v>
      </c>
      <c r="B786" s="25" t="s">
        <v>20</v>
      </c>
      <c r="C786" s="98"/>
      <c r="D786" s="99"/>
      <c r="E786" s="87">
        <f t="shared" si="105"/>
        <v>-13789</v>
      </c>
      <c r="G786" s="79"/>
      <c r="H786" s="63"/>
      <c r="I786" s="27"/>
      <c r="J786" s="28"/>
      <c r="K786" s="43"/>
      <c r="L786" s="29">
        <f t="shared" si="106"/>
        <v>9</v>
      </c>
      <c r="M786" s="29">
        <f t="shared" si="107"/>
        <v>8</v>
      </c>
      <c r="N786" s="29"/>
      <c r="O786" s="29"/>
    </row>
    <row r="787" spans="1:17" s="12" customFormat="1" hidden="1" outlineLevel="1" collapsed="1">
      <c r="A787" s="95">
        <v>45883</v>
      </c>
      <c r="B787" s="25" t="s">
        <v>14</v>
      </c>
      <c r="C787" s="98"/>
      <c r="D787" s="99"/>
      <c r="E787" s="87">
        <f t="shared" si="105"/>
        <v>-13789</v>
      </c>
      <c r="G787" s="79"/>
      <c r="H787" s="63"/>
      <c r="I787" s="27"/>
      <c r="J787" s="28"/>
      <c r="K787" s="43"/>
      <c r="L787" s="29">
        <f t="shared" si="106"/>
        <v>9</v>
      </c>
      <c r="M787" s="29">
        <f t="shared" si="107"/>
        <v>8</v>
      </c>
      <c r="N787" s="29"/>
      <c r="O787" s="29"/>
    </row>
    <row r="788" spans="1:17" s="12" customFormat="1" hidden="1" outlineLevel="1">
      <c r="A788" s="95">
        <v>45884</v>
      </c>
      <c r="B788" s="25" t="s">
        <v>15</v>
      </c>
      <c r="C788" s="98"/>
      <c r="D788" s="99"/>
      <c r="E788" s="87">
        <f t="shared" si="105"/>
        <v>-13789</v>
      </c>
      <c r="G788" s="79"/>
      <c r="H788" s="63"/>
      <c r="I788" s="27"/>
      <c r="J788" s="28"/>
      <c r="K788" s="43"/>
      <c r="L788" s="29">
        <f t="shared" si="106"/>
        <v>9</v>
      </c>
      <c r="M788" s="29">
        <f t="shared" si="107"/>
        <v>8</v>
      </c>
      <c r="N788" s="29"/>
      <c r="O788" s="29"/>
    </row>
    <row r="789" spans="1:17" s="12" customFormat="1" hidden="1" outlineLevel="1">
      <c r="A789" s="95">
        <v>45885</v>
      </c>
      <c r="B789" s="25" t="s">
        <v>16</v>
      </c>
      <c r="C789" s="98"/>
      <c r="D789" s="99"/>
      <c r="E789" s="87">
        <f t="shared" si="105"/>
        <v>-13789</v>
      </c>
      <c r="G789" s="79"/>
      <c r="H789" s="63"/>
      <c r="I789" s="27"/>
      <c r="J789" s="28"/>
      <c r="K789" s="43"/>
      <c r="L789" s="29">
        <f t="shared" si="106"/>
        <v>9</v>
      </c>
      <c r="M789" s="29">
        <f t="shared" si="107"/>
        <v>8</v>
      </c>
      <c r="N789" s="29"/>
      <c r="O789" s="29"/>
    </row>
    <row r="790" spans="1:17" s="12" customFormat="1" hidden="1" outlineLevel="1">
      <c r="A790" s="95">
        <v>45886</v>
      </c>
      <c r="B790" s="25" t="s">
        <v>17</v>
      </c>
      <c r="C790" s="98"/>
      <c r="D790" s="99"/>
      <c r="E790" s="87">
        <f t="shared" si="105"/>
        <v>-13789</v>
      </c>
      <c r="G790" s="79"/>
      <c r="H790" s="63"/>
      <c r="I790" s="27"/>
      <c r="J790" s="28"/>
      <c r="K790" s="43"/>
      <c r="L790" s="29">
        <f t="shared" si="106"/>
        <v>9</v>
      </c>
      <c r="M790" s="29">
        <f t="shared" si="107"/>
        <v>8</v>
      </c>
      <c r="N790" s="29"/>
      <c r="O790" s="29"/>
    </row>
    <row r="791" spans="1:17" hidden="1" outlineLevel="1">
      <c r="A791" s="96">
        <v>45887</v>
      </c>
      <c r="B791" s="17" t="s">
        <v>18</v>
      </c>
      <c r="C791" s="101">
        <v>48</v>
      </c>
      <c r="D791" s="100"/>
      <c r="E791" s="22">
        <f t="shared" si="105"/>
        <v>-13837</v>
      </c>
      <c r="G791" s="78">
        <v>40</v>
      </c>
      <c r="H791" s="62">
        <f>C780</f>
        <v>56</v>
      </c>
      <c r="I791" s="20"/>
      <c r="J791" s="21"/>
      <c r="K791" s="57">
        <v>56</v>
      </c>
      <c r="L791" s="23">
        <f t="shared" si="106"/>
        <v>25</v>
      </c>
      <c r="M791" s="23">
        <f t="shared" si="107"/>
        <v>24</v>
      </c>
      <c r="N791" s="23"/>
      <c r="O791" s="23">
        <v>4</v>
      </c>
    </row>
    <row r="792" spans="1:17" hidden="1" outlineLevel="1">
      <c r="A792" s="96">
        <v>45888</v>
      </c>
      <c r="B792" s="17" t="s">
        <v>19</v>
      </c>
      <c r="C792" s="101">
        <v>48</v>
      </c>
      <c r="D792" s="100"/>
      <c r="E792" s="22">
        <f t="shared" si="105"/>
        <v>-13885</v>
      </c>
      <c r="G792" s="78">
        <v>64</v>
      </c>
      <c r="H792" s="62">
        <f>C781</f>
        <v>48</v>
      </c>
      <c r="I792" s="20"/>
      <c r="J792" s="21"/>
      <c r="K792" s="57">
        <v>48</v>
      </c>
      <c r="L792" s="23">
        <f t="shared" si="106"/>
        <v>9</v>
      </c>
      <c r="M792" s="23">
        <f t="shared" si="107"/>
        <v>8</v>
      </c>
      <c r="N792" s="23"/>
      <c r="O792" s="23">
        <v>10</v>
      </c>
    </row>
    <row r="793" spans="1:17" hidden="1" outlineLevel="1">
      <c r="A793" s="96">
        <v>45889</v>
      </c>
      <c r="B793" s="17" t="s">
        <v>20</v>
      </c>
      <c r="C793" s="101">
        <v>56</v>
      </c>
      <c r="D793" s="100"/>
      <c r="E793" s="22">
        <f t="shared" si="105"/>
        <v>-13941</v>
      </c>
      <c r="G793" s="78">
        <v>48</v>
      </c>
      <c r="H793" s="62">
        <f t="shared" ref="H793:H795" si="108">IF(C791&lt;&gt;"",C791+I793,IF(C789&lt;&gt;"",C789+I793,IF(C788&lt;&gt;"",C788+I793,IF(C787&lt;&gt;"",C787+I793,IF(C786&lt;&gt;"",C786+I793,IF(C785&lt;&gt;"",C785+I793))))))</f>
        <v>48</v>
      </c>
      <c r="I793" s="20"/>
      <c r="J793" s="21"/>
      <c r="K793" s="57">
        <v>48</v>
      </c>
      <c r="L793" s="23">
        <f t="shared" si="106"/>
        <v>9</v>
      </c>
      <c r="M793" s="23">
        <f t="shared" si="107"/>
        <v>8</v>
      </c>
      <c r="N793" s="23"/>
      <c r="O793" s="23">
        <v>12</v>
      </c>
    </row>
    <row r="794" spans="1:17" hidden="1" outlineLevel="1">
      <c r="A794" s="96">
        <v>45890</v>
      </c>
      <c r="B794" s="17" t="s">
        <v>14</v>
      </c>
      <c r="C794" s="101">
        <v>56</v>
      </c>
      <c r="D794" s="100"/>
      <c r="E794" s="22">
        <f t="shared" si="105"/>
        <v>-13997</v>
      </c>
      <c r="G794" s="78">
        <v>48</v>
      </c>
      <c r="H794" s="62">
        <f t="shared" si="108"/>
        <v>48</v>
      </c>
      <c r="I794" s="20"/>
      <c r="J794" s="21"/>
      <c r="K794" s="57">
        <v>48</v>
      </c>
      <c r="L794" s="23">
        <f t="shared" si="106"/>
        <v>9</v>
      </c>
      <c r="M794" s="23">
        <f t="shared" si="107"/>
        <v>8</v>
      </c>
      <c r="N794" s="23"/>
      <c r="O794" s="23">
        <f>12+3</f>
        <v>15</v>
      </c>
    </row>
    <row r="795" spans="1:17" hidden="1" outlineLevel="1">
      <c r="A795" s="96">
        <v>45891</v>
      </c>
      <c r="B795" s="17" t="s">
        <v>15</v>
      </c>
      <c r="C795" s="101">
        <v>64</v>
      </c>
      <c r="D795" s="100"/>
      <c r="E795" s="22">
        <f t="shared" si="105"/>
        <v>-14061</v>
      </c>
      <c r="G795" s="78">
        <v>48</v>
      </c>
      <c r="H795" s="62">
        <f t="shared" si="108"/>
        <v>56</v>
      </c>
      <c r="I795" s="20"/>
      <c r="J795" s="21"/>
      <c r="K795" s="57">
        <v>56</v>
      </c>
      <c r="L795" s="23">
        <f t="shared" si="106"/>
        <v>17</v>
      </c>
      <c r="M795" s="23">
        <f t="shared" si="107"/>
        <v>16</v>
      </c>
      <c r="N795" s="23"/>
      <c r="O795" s="303">
        <v>15</v>
      </c>
      <c r="Q795" s="1">
        <f>AVERAGE(G791:G795)</f>
        <v>49.6</v>
      </c>
    </row>
    <row r="796" spans="1:17" s="12" customFormat="1" hidden="1" outlineLevel="1">
      <c r="A796" s="95">
        <v>45892</v>
      </c>
      <c r="B796" s="25" t="s">
        <v>16</v>
      </c>
      <c r="C796" s="98"/>
      <c r="D796" s="99"/>
      <c r="E796" s="87">
        <f t="shared" si="105"/>
        <v>-14061</v>
      </c>
      <c r="G796" s="79"/>
      <c r="H796" s="63"/>
      <c r="I796" s="27"/>
      <c r="J796" s="28"/>
      <c r="K796" s="43"/>
      <c r="L796" s="29">
        <f t="shared" si="106"/>
        <v>17</v>
      </c>
      <c r="M796" s="29">
        <f t="shared" si="107"/>
        <v>16</v>
      </c>
      <c r="N796" s="29"/>
      <c r="O796" s="29"/>
    </row>
    <row r="797" spans="1:17" s="12" customFormat="1" hidden="1" outlineLevel="1" collapsed="1">
      <c r="A797" s="95">
        <v>45893</v>
      </c>
      <c r="B797" s="25" t="s">
        <v>17</v>
      </c>
      <c r="C797" s="98"/>
      <c r="D797" s="99"/>
      <c r="E797" s="87">
        <f t="shared" si="105"/>
        <v>-14061</v>
      </c>
      <c r="G797" s="79"/>
      <c r="H797" s="63"/>
      <c r="I797" s="27"/>
      <c r="J797" s="28"/>
      <c r="K797" s="43"/>
      <c r="L797" s="29">
        <f t="shared" si="106"/>
        <v>17</v>
      </c>
      <c r="M797" s="29">
        <f t="shared" si="107"/>
        <v>16</v>
      </c>
      <c r="N797" s="29"/>
      <c r="O797" s="29"/>
    </row>
    <row r="798" spans="1:17" hidden="1" outlineLevel="1">
      <c r="A798" s="96">
        <v>45894</v>
      </c>
      <c r="B798" s="17" t="s">
        <v>18</v>
      </c>
      <c r="C798" s="101">
        <v>56</v>
      </c>
      <c r="D798" s="100"/>
      <c r="E798" s="22">
        <f t="shared" si="105"/>
        <v>-14117</v>
      </c>
      <c r="G798" s="78">
        <v>8</v>
      </c>
      <c r="H798" s="62">
        <f t="shared" ref="H798:H802" si="109">IF(C796&lt;&gt;"",C796+I798,IF(C794&lt;&gt;"",C794+I798,IF(C793&lt;&gt;"",C793+I798,IF(C792&lt;&gt;"",C792+I798,IF(C791&lt;&gt;"",C791+I798,IF(C790&lt;&gt;"",C790+I798))))))</f>
        <v>56</v>
      </c>
      <c r="I798" s="20"/>
      <c r="J798" s="21"/>
      <c r="K798" s="57">
        <v>56</v>
      </c>
      <c r="L798" s="23">
        <f t="shared" si="106"/>
        <v>65</v>
      </c>
      <c r="M798" s="23">
        <f t="shared" si="107"/>
        <v>64</v>
      </c>
      <c r="N798" s="23"/>
      <c r="O798" s="23">
        <v>7</v>
      </c>
    </row>
    <row r="799" spans="1:17" hidden="1" outlineLevel="1">
      <c r="A799" s="96">
        <v>45895</v>
      </c>
      <c r="B799" s="17" t="s">
        <v>19</v>
      </c>
      <c r="C799" s="101">
        <v>56</v>
      </c>
      <c r="D799" s="100"/>
      <c r="E799" s="22">
        <f t="shared" si="105"/>
        <v>-14173</v>
      </c>
      <c r="G799" s="78">
        <v>64</v>
      </c>
      <c r="H799" s="62">
        <f t="shared" si="109"/>
        <v>64</v>
      </c>
      <c r="I799" s="20"/>
      <c r="J799" s="21"/>
      <c r="K799" s="57">
        <v>64</v>
      </c>
      <c r="L799" s="23">
        <f t="shared" si="106"/>
        <v>65</v>
      </c>
      <c r="M799" s="23">
        <f t="shared" si="107"/>
        <v>64</v>
      </c>
      <c r="N799" s="23"/>
      <c r="O799" s="23">
        <v>11</v>
      </c>
    </row>
    <row r="800" spans="1:17" hidden="1" outlineLevel="1">
      <c r="A800" s="96">
        <v>45896</v>
      </c>
      <c r="B800" s="17" t="s">
        <v>20</v>
      </c>
      <c r="C800" s="101">
        <v>56</v>
      </c>
      <c r="D800" s="100"/>
      <c r="E800" s="22">
        <f t="shared" si="105"/>
        <v>-14229</v>
      </c>
      <c r="G800" s="78">
        <v>72</v>
      </c>
      <c r="H800" s="62">
        <f t="shared" si="109"/>
        <v>56</v>
      </c>
      <c r="I800" s="20"/>
      <c r="J800" s="21"/>
      <c r="K800" s="57">
        <v>56</v>
      </c>
      <c r="L800" s="23">
        <f t="shared" si="106"/>
        <v>49</v>
      </c>
      <c r="M800" s="23">
        <f t="shared" si="107"/>
        <v>48</v>
      </c>
      <c r="N800" s="23"/>
      <c r="O800" s="23">
        <v>12</v>
      </c>
    </row>
    <row r="801" spans="1:17" hidden="1" outlineLevel="1">
      <c r="A801" s="96">
        <v>45897</v>
      </c>
      <c r="B801" s="17" t="s">
        <v>14</v>
      </c>
      <c r="C801" s="101">
        <v>56</v>
      </c>
      <c r="D801" s="100"/>
      <c r="E801" s="22">
        <f t="shared" si="105"/>
        <v>-14285</v>
      </c>
      <c r="G801" s="78">
        <v>56</v>
      </c>
      <c r="H801" s="62">
        <f t="shared" si="109"/>
        <v>56</v>
      </c>
      <c r="I801" s="20"/>
      <c r="J801" s="21"/>
      <c r="K801" s="57">
        <v>56</v>
      </c>
      <c r="L801" s="23">
        <f t="shared" si="106"/>
        <v>49</v>
      </c>
      <c r="M801" s="23">
        <f t="shared" si="107"/>
        <v>48</v>
      </c>
      <c r="N801" s="23"/>
      <c r="O801" s="23">
        <v>8</v>
      </c>
    </row>
    <row r="802" spans="1:17" hidden="1" outlineLevel="1">
      <c r="A802" s="96">
        <v>45898</v>
      </c>
      <c r="B802" s="17" t="s">
        <v>15</v>
      </c>
      <c r="C802" s="101">
        <v>56</v>
      </c>
      <c r="D802" s="100"/>
      <c r="E802" s="22">
        <f t="shared" si="105"/>
        <v>-14341</v>
      </c>
      <c r="G802" s="78">
        <v>72</v>
      </c>
      <c r="H802" s="62">
        <f t="shared" si="109"/>
        <v>56</v>
      </c>
      <c r="I802" s="20"/>
      <c r="J802" s="21"/>
      <c r="K802" s="57">
        <v>56</v>
      </c>
      <c r="L802" s="23">
        <f t="shared" si="106"/>
        <v>33</v>
      </c>
      <c r="M802" s="23">
        <f t="shared" si="107"/>
        <v>32</v>
      </c>
      <c r="N802" s="23"/>
      <c r="O802" s="23">
        <v>5</v>
      </c>
      <c r="Q802" s="1">
        <f>AVERAGE(G798:G802)</f>
        <v>54.4</v>
      </c>
    </row>
    <row r="803" spans="1:17" s="12" customFormat="1" hidden="1" outlineLevel="1">
      <c r="A803" s="95">
        <v>45899</v>
      </c>
      <c r="B803" s="25" t="s">
        <v>16</v>
      </c>
      <c r="C803" s="98"/>
      <c r="D803" s="99"/>
      <c r="E803" s="87">
        <f t="shared" si="105"/>
        <v>-14341</v>
      </c>
      <c r="G803" s="64"/>
      <c r="H803" s="63"/>
      <c r="I803" s="27"/>
      <c r="J803" s="28"/>
      <c r="K803" s="43"/>
      <c r="L803" s="29">
        <f t="shared" si="106"/>
        <v>33</v>
      </c>
      <c r="M803" s="29">
        <f t="shared" si="107"/>
        <v>32</v>
      </c>
      <c r="N803" s="29"/>
      <c r="O803" s="29"/>
    </row>
    <row r="804" spans="1:17" s="12" customFormat="1" hidden="1" outlineLevel="1" collapsed="1">
      <c r="A804" s="95">
        <v>45900</v>
      </c>
      <c r="B804" s="25" t="s">
        <v>17</v>
      </c>
      <c r="C804" s="98"/>
      <c r="D804" s="99"/>
      <c r="E804" s="87">
        <f t="shared" si="105"/>
        <v>-14341</v>
      </c>
      <c r="G804" s="64"/>
      <c r="H804" s="63"/>
      <c r="I804" s="27"/>
      <c r="J804" s="28"/>
      <c r="K804" s="43"/>
      <c r="L804" s="29">
        <f t="shared" si="106"/>
        <v>33</v>
      </c>
      <c r="M804" s="29">
        <f t="shared" si="107"/>
        <v>32</v>
      </c>
      <c r="N804" s="29"/>
      <c r="O804" s="29"/>
    </row>
    <row r="805" spans="1:17" hidden="1" outlineLevel="1">
      <c r="A805" s="96">
        <v>45901</v>
      </c>
      <c r="B805" s="17" t="s">
        <v>18</v>
      </c>
      <c r="C805" s="101">
        <v>64</v>
      </c>
      <c r="D805" s="100"/>
      <c r="E805" s="22">
        <f t="shared" si="105"/>
        <v>-14405</v>
      </c>
      <c r="G805" s="78">
        <v>56</v>
      </c>
      <c r="H805" s="62">
        <f t="shared" ref="H805:H809" si="110">IF(C803&lt;&gt;"",C803+I805,IF(C801&lt;&gt;"",C801+I805,IF(C800&lt;&gt;"",C800+I805,IF(C799&lt;&gt;"",C799+I805,IF(C798&lt;&gt;"",C798+I805,IF(C797&lt;&gt;"",C797+I805))))))</f>
        <v>56</v>
      </c>
      <c r="I805" s="20"/>
      <c r="J805" s="21"/>
      <c r="K805" s="57">
        <v>56</v>
      </c>
      <c r="L805" s="23">
        <f>L804-G805+K805-1</f>
        <v>32</v>
      </c>
      <c r="M805" s="23">
        <f t="shared" si="107"/>
        <v>32</v>
      </c>
      <c r="N805" s="23"/>
      <c r="O805" s="23">
        <v>11</v>
      </c>
    </row>
    <row r="806" spans="1:17" hidden="1" outlineLevel="1">
      <c r="A806" s="96">
        <v>45902</v>
      </c>
      <c r="B806" s="17" t="s">
        <v>19</v>
      </c>
      <c r="C806" s="101">
        <v>72</v>
      </c>
      <c r="D806" s="100"/>
      <c r="E806" s="22">
        <f t="shared" si="105"/>
        <v>-14477</v>
      </c>
      <c r="G806" s="78">
        <v>72</v>
      </c>
      <c r="H806" s="62">
        <f t="shared" si="110"/>
        <v>56</v>
      </c>
      <c r="I806" s="20"/>
      <c r="J806" s="21"/>
      <c r="K806" s="57">
        <v>56</v>
      </c>
      <c r="L806" s="23">
        <f t="shared" si="106"/>
        <v>16</v>
      </c>
      <c r="M806" s="23">
        <f t="shared" si="107"/>
        <v>16</v>
      </c>
      <c r="N806" s="23"/>
      <c r="O806" s="23">
        <v>8</v>
      </c>
    </row>
    <row r="807" spans="1:17" hidden="1" outlineLevel="1">
      <c r="A807" s="96">
        <v>45903</v>
      </c>
      <c r="B807" s="17" t="s">
        <v>20</v>
      </c>
      <c r="C807" s="101">
        <v>72</v>
      </c>
      <c r="D807" s="100"/>
      <c r="E807" s="22">
        <f t="shared" si="105"/>
        <v>-14549</v>
      </c>
      <c r="G807" s="78">
        <v>72</v>
      </c>
      <c r="H807" s="62">
        <f t="shared" si="110"/>
        <v>64</v>
      </c>
      <c r="I807" s="20"/>
      <c r="J807" s="21"/>
      <c r="K807" s="57">
        <v>64</v>
      </c>
      <c r="L807" s="23">
        <f t="shared" si="106"/>
        <v>8</v>
      </c>
      <c r="M807" s="23">
        <f t="shared" si="107"/>
        <v>8</v>
      </c>
      <c r="N807" s="23"/>
      <c r="O807" s="23">
        <v>14</v>
      </c>
    </row>
    <row r="808" spans="1:17" hidden="1" outlineLevel="1">
      <c r="A808" s="96">
        <v>45904</v>
      </c>
      <c r="B808" s="17" t="s">
        <v>14</v>
      </c>
      <c r="C808" s="101">
        <v>72</v>
      </c>
      <c r="D808" s="100"/>
      <c r="E808" s="22">
        <f t="shared" si="105"/>
        <v>-14621</v>
      </c>
      <c r="G808" s="78">
        <v>40</v>
      </c>
      <c r="H808" s="62">
        <f t="shared" si="110"/>
        <v>72</v>
      </c>
      <c r="I808" s="20"/>
      <c r="J808" s="21"/>
      <c r="K808" s="57">
        <v>72</v>
      </c>
      <c r="L808" s="23">
        <f t="shared" si="106"/>
        <v>40</v>
      </c>
      <c r="M808" s="23">
        <f t="shared" si="107"/>
        <v>40</v>
      </c>
      <c r="N808" s="23"/>
      <c r="O808" s="23">
        <f>1+11</f>
        <v>12</v>
      </c>
    </row>
    <row r="809" spans="1:17" hidden="1" outlineLevel="1">
      <c r="A809" s="96">
        <v>45905</v>
      </c>
      <c r="B809" s="17" t="s">
        <v>15</v>
      </c>
      <c r="C809" s="101">
        <f>72-72</f>
        <v>0</v>
      </c>
      <c r="D809" s="100"/>
      <c r="E809" s="22">
        <f t="shared" si="105"/>
        <v>-14621</v>
      </c>
      <c r="G809" s="78">
        <v>88</v>
      </c>
      <c r="H809" s="62">
        <f t="shared" si="110"/>
        <v>72</v>
      </c>
      <c r="I809" s="20"/>
      <c r="J809" s="21"/>
      <c r="K809" s="57">
        <f>40+32</f>
        <v>72</v>
      </c>
      <c r="L809" s="23">
        <f t="shared" si="106"/>
        <v>24</v>
      </c>
      <c r="M809" s="23">
        <f t="shared" si="107"/>
        <v>24</v>
      </c>
      <c r="N809" s="23"/>
      <c r="O809" s="23">
        <v>12</v>
      </c>
      <c r="Q809" s="1">
        <f>AVERAGE(G805:G809)</f>
        <v>65.599999999999994</v>
      </c>
    </row>
    <row r="810" spans="1:17" s="12" customFormat="1" hidden="1" outlineLevel="1">
      <c r="A810" s="95">
        <v>45906</v>
      </c>
      <c r="B810" s="25" t="s">
        <v>16</v>
      </c>
      <c r="C810" s="98"/>
      <c r="D810" s="99"/>
      <c r="E810" s="87">
        <f t="shared" si="105"/>
        <v>-14621</v>
      </c>
      <c r="G810" s="79"/>
      <c r="H810" s="63"/>
      <c r="I810" s="27"/>
      <c r="J810" s="28"/>
      <c r="K810" s="43"/>
      <c r="L810" s="29">
        <f t="shared" si="106"/>
        <v>24</v>
      </c>
      <c r="M810" s="29">
        <f t="shared" si="107"/>
        <v>24</v>
      </c>
      <c r="N810" s="29"/>
      <c r="O810" s="29"/>
    </row>
    <row r="811" spans="1:17" s="12" customFormat="1" hidden="1" outlineLevel="1" collapsed="1">
      <c r="A811" s="95">
        <v>45907</v>
      </c>
      <c r="B811" s="25" t="s">
        <v>17</v>
      </c>
      <c r="C811" s="98"/>
      <c r="D811" s="99"/>
      <c r="E811" s="87">
        <f t="shared" si="105"/>
        <v>-14621</v>
      </c>
      <c r="G811" s="79"/>
      <c r="H811" s="63"/>
      <c r="I811" s="27"/>
      <c r="J811" s="28"/>
      <c r="K811" s="43"/>
      <c r="L811" s="29">
        <f t="shared" si="106"/>
        <v>24</v>
      </c>
      <c r="M811" s="29">
        <f t="shared" si="107"/>
        <v>24</v>
      </c>
      <c r="N811" s="29"/>
      <c r="O811" s="29"/>
    </row>
    <row r="812" spans="1:17" hidden="1" outlineLevel="1">
      <c r="A812" s="96">
        <v>45908</v>
      </c>
      <c r="B812" s="17" t="s">
        <v>18</v>
      </c>
      <c r="C812" s="101">
        <f>56-56</f>
        <v>0</v>
      </c>
      <c r="D812" s="100"/>
      <c r="E812" s="22">
        <f t="shared" ref="E812:E837" si="111">E811-C812+D812</f>
        <v>-14621</v>
      </c>
      <c r="G812" s="78">
        <v>80</v>
      </c>
      <c r="H812" s="62">
        <f t="shared" ref="H812:H816" si="112">IF(C810&lt;&gt;"",C810+I812,IF(C808&lt;&gt;"",C808+I812,IF(C807&lt;&gt;"",C807+I812,IF(C806&lt;&gt;"",C806+I812,IF(C805&lt;&gt;"",C805+I812,IF(C804&lt;&gt;"",C804+I812))))))</f>
        <v>72</v>
      </c>
      <c r="I812" s="20"/>
      <c r="J812" s="21"/>
      <c r="K812" s="57">
        <v>72</v>
      </c>
      <c r="L812" s="23">
        <f t="shared" ref="L812:L837" si="113">L811-G812+K812</f>
        <v>16</v>
      </c>
      <c r="M812" s="23">
        <f t="shared" ref="M812:M837" si="114">M811-G812+H812</f>
        <v>16</v>
      </c>
      <c r="N812" s="23"/>
      <c r="O812" s="23">
        <f>1+7</f>
        <v>8</v>
      </c>
    </row>
    <row r="813" spans="1:17" hidden="1" outlineLevel="1">
      <c r="A813" s="96">
        <v>45909</v>
      </c>
      <c r="B813" s="17" t="s">
        <v>19</v>
      </c>
      <c r="C813" s="101">
        <f>56+8</f>
        <v>64</v>
      </c>
      <c r="D813" s="100"/>
      <c r="E813" s="22">
        <f t="shared" si="111"/>
        <v>-14685</v>
      </c>
      <c r="G813" s="78">
        <v>0</v>
      </c>
      <c r="H813" s="62">
        <f t="shared" si="112"/>
        <v>0</v>
      </c>
      <c r="I813" s="20"/>
      <c r="J813" s="21"/>
      <c r="K813" s="57">
        <v>0</v>
      </c>
      <c r="L813" s="23">
        <f t="shared" si="113"/>
        <v>16</v>
      </c>
      <c r="M813" s="23">
        <f t="shared" si="114"/>
        <v>16</v>
      </c>
      <c r="N813" s="23"/>
      <c r="O813" s="23">
        <v>10</v>
      </c>
    </row>
    <row r="814" spans="1:17" hidden="1" outlineLevel="1">
      <c r="A814" s="96">
        <v>45910</v>
      </c>
      <c r="B814" s="17" t="s">
        <v>20</v>
      </c>
      <c r="C814" s="101">
        <v>64</v>
      </c>
      <c r="D814" s="100"/>
      <c r="E814" s="22">
        <f t="shared" si="111"/>
        <v>-14749</v>
      </c>
      <c r="G814" s="203">
        <v>8</v>
      </c>
      <c r="H814" s="62">
        <f t="shared" si="112"/>
        <v>0</v>
      </c>
      <c r="I814" s="20"/>
      <c r="J814" s="21"/>
      <c r="K814" s="57">
        <v>0</v>
      </c>
      <c r="L814" s="23">
        <f t="shared" si="113"/>
        <v>8</v>
      </c>
      <c r="M814" s="23">
        <f t="shared" si="114"/>
        <v>8</v>
      </c>
      <c r="N814" s="23"/>
      <c r="O814" s="23">
        <f>4+16</f>
        <v>20</v>
      </c>
    </row>
    <row r="815" spans="1:17" hidden="1" outlineLevel="1">
      <c r="A815" s="96">
        <v>45911</v>
      </c>
      <c r="B815" s="17" t="s">
        <v>14</v>
      </c>
      <c r="C815" s="101">
        <f>64-8</f>
        <v>56</v>
      </c>
      <c r="D815" s="100"/>
      <c r="E815" s="22">
        <f t="shared" si="111"/>
        <v>-14805</v>
      </c>
      <c r="G815" s="314">
        <f>72</f>
        <v>72</v>
      </c>
      <c r="H815" s="62">
        <f t="shared" si="112"/>
        <v>64</v>
      </c>
      <c r="I815" s="20"/>
      <c r="J815" s="21"/>
      <c r="K815" s="57">
        <v>64</v>
      </c>
      <c r="L815" s="23">
        <f t="shared" si="113"/>
        <v>0</v>
      </c>
      <c r="M815" s="23">
        <f t="shared" si="114"/>
        <v>0</v>
      </c>
      <c r="N815" s="23"/>
      <c r="O815" s="23">
        <v>9</v>
      </c>
    </row>
    <row r="816" spans="1:17" hidden="1" outlineLevel="1">
      <c r="A816" s="96">
        <v>45912</v>
      </c>
      <c r="B816" s="17" t="s">
        <v>15</v>
      </c>
      <c r="C816" s="101">
        <f>64-8</f>
        <v>56</v>
      </c>
      <c r="D816" s="100"/>
      <c r="E816" s="22">
        <f t="shared" si="111"/>
        <v>-14861</v>
      </c>
      <c r="G816" s="203">
        <v>48</v>
      </c>
      <c r="H816" s="62">
        <f t="shared" si="112"/>
        <v>64</v>
      </c>
      <c r="I816" s="20"/>
      <c r="J816" s="21"/>
      <c r="K816" s="57">
        <v>64</v>
      </c>
      <c r="L816" s="23">
        <f t="shared" si="113"/>
        <v>16</v>
      </c>
      <c r="M816" s="23">
        <f t="shared" si="114"/>
        <v>16</v>
      </c>
      <c r="N816" s="23"/>
      <c r="O816" s="23">
        <v>6</v>
      </c>
      <c r="Q816" s="1">
        <f>AVERAGE(G812:G816)</f>
        <v>41.6</v>
      </c>
    </row>
    <row r="817" spans="1:17" s="12" customFormat="1" hidden="1" outlineLevel="1">
      <c r="A817" s="95">
        <v>45913</v>
      </c>
      <c r="B817" s="25" t="s">
        <v>16</v>
      </c>
      <c r="C817" s="98"/>
      <c r="D817" s="99"/>
      <c r="E817" s="87">
        <f t="shared" si="111"/>
        <v>-14861</v>
      </c>
      <c r="G817" s="300"/>
      <c r="H817" s="63"/>
      <c r="I817" s="27"/>
      <c r="J817" s="28"/>
      <c r="K817" s="43"/>
      <c r="L817" s="29">
        <f t="shared" si="113"/>
        <v>16</v>
      </c>
      <c r="M817" s="29">
        <f t="shared" si="114"/>
        <v>16</v>
      </c>
      <c r="N817" s="29"/>
      <c r="O817" s="29"/>
    </row>
    <row r="818" spans="1:17" s="12" customFormat="1" hidden="1" outlineLevel="1">
      <c r="A818" s="95">
        <v>45914</v>
      </c>
      <c r="B818" s="25" t="s">
        <v>17</v>
      </c>
      <c r="C818" s="98"/>
      <c r="D818" s="99"/>
      <c r="E818" s="87">
        <f t="shared" si="111"/>
        <v>-14861</v>
      </c>
      <c r="G818" s="300"/>
      <c r="H818" s="63"/>
      <c r="I818" s="27"/>
      <c r="J818" s="28"/>
      <c r="K818" s="43"/>
      <c r="L818" s="29">
        <f t="shared" si="113"/>
        <v>16</v>
      </c>
      <c r="M818" s="29">
        <f t="shared" si="114"/>
        <v>16</v>
      </c>
      <c r="N818" s="29"/>
      <c r="O818" s="29"/>
    </row>
    <row r="819" spans="1:17" s="12" customFormat="1" collapsed="1">
      <c r="A819" s="95">
        <v>45915</v>
      </c>
      <c r="B819" s="25" t="s">
        <v>18</v>
      </c>
      <c r="C819" s="98"/>
      <c r="D819" s="99"/>
      <c r="E819" s="87">
        <f t="shared" si="111"/>
        <v>-14861</v>
      </c>
      <c r="G819" s="300"/>
      <c r="H819" s="63"/>
      <c r="I819" s="27"/>
      <c r="J819" s="28"/>
      <c r="K819" s="43"/>
      <c r="L819" s="29">
        <f t="shared" si="113"/>
        <v>16</v>
      </c>
      <c r="M819" s="29">
        <f t="shared" si="114"/>
        <v>16</v>
      </c>
      <c r="N819" s="29"/>
      <c r="O819" s="29"/>
    </row>
    <row r="820" spans="1:17">
      <c r="A820" s="96">
        <v>45916</v>
      </c>
      <c r="B820" s="17" t="s">
        <v>19</v>
      </c>
      <c r="C820" s="101">
        <v>56</v>
      </c>
      <c r="D820" s="100"/>
      <c r="E820" s="22">
        <f t="shared" si="111"/>
        <v>-14917</v>
      </c>
      <c r="G820" s="203">
        <v>56</v>
      </c>
      <c r="H820" s="62">
        <f>C815</f>
        <v>56</v>
      </c>
      <c r="I820" s="20"/>
      <c r="J820" s="21"/>
      <c r="K820" s="57">
        <v>56</v>
      </c>
      <c r="L820" s="23">
        <f t="shared" si="113"/>
        <v>16</v>
      </c>
      <c r="M820" s="23">
        <f t="shared" si="114"/>
        <v>16</v>
      </c>
      <c r="N820" s="23"/>
      <c r="O820" s="23">
        <v>10</v>
      </c>
    </row>
    <row r="821" spans="1:17">
      <c r="A821" s="96">
        <v>45917</v>
      </c>
      <c r="B821" s="17" t="s">
        <v>20</v>
      </c>
      <c r="C821" s="101">
        <v>64</v>
      </c>
      <c r="D821" s="100"/>
      <c r="E821" s="22">
        <f t="shared" si="111"/>
        <v>-14981</v>
      </c>
      <c r="G821" s="203">
        <v>64</v>
      </c>
      <c r="H821" s="62">
        <f t="shared" ref="H821:H823" si="115">IF(C819&lt;&gt;"",C819+I821,IF(C817&lt;&gt;"",C817+I821,IF(C816&lt;&gt;"",C816+I821,IF(C815&lt;&gt;"",C815+I821,IF(C814&lt;&gt;"",C814+I821,IF(C813&lt;&gt;"",C813+I821))))))</f>
        <v>56</v>
      </c>
      <c r="I821" s="20"/>
      <c r="J821" s="21"/>
      <c r="K821" s="57">
        <v>56</v>
      </c>
      <c r="L821" s="23">
        <f t="shared" si="113"/>
        <v>8</v>
      </c>
      <c r="M821" s="23">
        <f t="shared" si="114"/>
        <v>8</v>
      </c>
      <c r="N821" s="23"/>
      <c r="O821" s="23">
        <v>11</v>
      </c>
    </row>
    <row r="822" spans="1:17">
      <c r="A822" s="96">
        <v>45918</v>
      </c>
      <c r="B822" s="17" t="s">
        <v>14</v>
      </c>
      <c r="C822" s="101">
        <v>56</v>
      </c>
      <c r="D822" s="100"/>
      <c r="E822" s="22">
        <f t="shared" si="111"/>
        <v>-15037</v>
      </c>
      <c r="G822" s="203">
        <v>56</v>
      </c>
      <c r="H822" s="62">
        <f t="shared" si="115"/>
        <v>56</v>
      </c>
      <c r="I822" s="20"/>
      <c r="J822" s="21"/>
      <c r="K822" s="57">
        <v>56</v>
      </c>
      <c r="L822" s="23">
        <f t="shared" si="113"/>
        <v>8</v>
      </c>
      <c r="M822" s="23">
        <f t="shared" si="114"/>
        <v>8</v>
      </c>
      <c r="N822" s="23"/>
      <c r="O822" s="23">
        <f>4+12</f>
        <v>16</v>
      </c>
    </row>
    <row r="823" spans="1:17">
      <c r="A823" s="96">
        <v>45919</v>
      </c>
      <c r="B823" s="17" t="s">
        <v>15</v>
      </c>
      <c r="C823" s="101">
        <v>56</v>
      </c>
      <c r="D823" s="100"/>
      <c r="E823" s="22">
        <f t="shared" si="111"/>
        <v>-15093</v>
      </c>
      <c r="G823" s="203">
        <v>64</v>
      </c>
      <c r="H823" s="62">
        <f t="shared" si="115"/>
        <v>64</v>
      </c>
      <c r="I823" s="20"/>
      <c r="J823" s="21"/>
      <c r="K823" s="57">
        <v>64</v>
      </c>
      <c r="L823" s="23">
        <f t="shared" si="113"/>
        <v>8</v>
      </c>
      <c r="M823" s="23">
        <f t="shared" si="114"/>
        <v>8</v>
      </c>
      <c r="N823" s="23"/>
      <c r="O823" s="23"/>
      <c r="Q823" s="1">
        <f>AVERAGE(G820:G823)</f>
        <v>60</v>
      </c>
    </row>
    <row r="824" spans="1:17" s="12" customFormat="1">
      <c r="A824" s="95">
        <v>45920</v>
      </c>
      <c r="B824" s="25" t="s">
        <v>16</v>
      </c>
      <c r="C824" s="98"/>
      <c r="D824" s="99"/>
      <c r="E824" s="87">
        <f t="shared" si="111"/>
        <v>-15093</v>
      </c>
      <c r="G824" s="300"/>
      <c r="H824" s="63"/>
      <c r="I824" s="27"/>
      <c r="J824" s="28"/>
      <c r="K824" s="43"/>
      <c r="L824" s="29">
        <f t="shared" si="113"/>
        <v>8</v>
      </c>
      <c r="M824" s="29">
        <f t="shared" si="114"/>
        <v>8</v>
      </c>
      <c r="N824" s="29"/>
      <c r="O824" s="29"/>
    </row>
    <row r="825" spans="1:17" s="12" customFormat="1">
      <c r="A825" s="95">
        <v>45921</v>
      </c>
      <c r="B825" s="25" t="s">
        <v>17</v>
      </c>
      <c r="C825" s="98"/>
      <c r="D825" s="99"/>
      <c r="E825" s="87">
        <f t="shared" si="111"/>
        <v>-15093</v>
      </c>
      <c r="G825" s="300"/>
      <c r="H825" s="63"/>
      <c r="I825" s="27"/>
      <c r="J825" s="28"/>
      <c r="K825" s="43"/>
      <c r="L825" s="29">
        <f t="shared" si="113"/>
        <v>8</v>
      </c>
      <c r="M825" s="29">
        <f t="shared" si="114"/>
        <v>8</v>
      </c>
      <c r="N825" s="29"/>
      <c r="O825" s="29"/>
    </row>
    <row r="826" spans="1:17">
      <c r="A826" s="96">
        <v>45922</v>
      </c>
      <c r="B826" s="17" t="s">
        <v>18</v>
      </c>
      <c r="C826" s="137">
        <v>56</v>
      </c>
      <c r="D826" s="100"/>
      <c r="E826" s="22">
        <f t="shared" si="111"/>
        <v>-15149</v>
      </c>
      <c r="G826" s="203">
        <v>48</v>
      </c>
      <c r="H826" s="62">
        <f t="shared" ref="H826:H830" si="116">IF(C824&lt;&gt;"",C824+I826,IF(C822&lt;&gt;"",C822+I826,IF(C821&lt;&gt;"",C821+I826,IF(C820&lt;&gt;"",C820+I826,IF(C819&lt;&gt;"",C819+I826,IF(C818&lt;&gt;"",C818+I826))))))</f>
        <v>56</v>
      </c>
      <c r="I826" s="20"/>
      <c r="J826" s="21"/>
      <c r="K826" s="57">
        <v>56</v>
      </c>
      <c r="L826" s="23">
        <f t="shared" si="113"/>
        <v>16</v>
      </c>
      <c r="M826" s="23">
        <f t="shared" si="114"/>
        <v>16</v>
      </c>
      <c r="N826" s="23"/>
      <c r="O826" s="23"/>
    </row>
    <row r="827" spans="1:17">
      <c r="A827" s="96">
        <v>45923</v>
      </c>
      <c r="B827" s="17" t="s">
        <v>19</v>
      </c>
      <c r="C827" s="137">
        <v>56</v>
      </c>
      <c r="D827" s="100"/>
      <c r="E827" s="22">
        <f t="shared" si="111"/>
        <v>-15205</v>
      </c>
      <c r="G827" s="203">
        <v>56</v>
      </c>
      <c r="H827" s="62">
        <f t="shared" si="116"/>
        <v>56</v>
      </c>
      <c r="I827" s="20"/>
      <c r="J827" s="21"/>
      <c r="K827" s="42"/>
      <c r="L827" s="23">
        <f t="shared" si="113"/>
        <v>-40</v>
      </c>
      <c r="M827" s="23">
        <f t="shared" si="114"/>
        <v>16</v>
      </c>
      <c r="N827" s="23"/>
      <c r="O827" s="23"/>
    </row>
    <row r="828" spans="1:17">
      <c r="A828" s="96">
        <v>45924</v>
      </c>
      <c r="B828" s="17" t="s">
        <v>20</v>
      </c>
      <c r="C828" s="137">
        <v>56</v>
      </c>
      <c r="D828" s="100"/>
      <c r="E828" s="22">
        <f t="shared" si="111"/>
        <v>-15261</v>
      </c>
      <c r="G828" s="78">
        <v>48</v>
      </c>
      <c r="H828" s="62">
        <f t="shared" si="116"/>
        <v>56</v>
      </c>
      <c r="I828" s="20"/>
      <c r="J828" s="21"/>
      <c r="K828" s="42"/>
      <c r="L828" s="23">
        <f t="shared" si="113"/>
        <v>-88</v>
      </c>
      <c r="M828" s="23">
        <f t="shared" si="114"/>
        <v>24</v>
      </c>
      <c r="N828" s="23"/>
      <c r="O828" s="23"/>
    </row>
    <row r="829" spans="1:17">
      <c r="A829" s="96">
        <v>45925</v>
      </c>
      <c r="B829" s="17" t="s">
        <v>14</v>
      </c>
      <c r="C829" s="137">
        <v>56</v>
      </c>
      <c r="D829" s="100"/>
      <c r="E829" s="22">
        <f t="shared" si="111"/>
        <v>-15317</v>
      </c>
      <c r="G829" s="78">
        <v>56</v>
      </c>
      <c r="H829" s="62">
        <f t="shared" si="116"/>
        <v>56</v>
      </c>
      <c r="I829" s="20"/>
      <c r="J829" s="21"/>
      <c r="K829" s="42"/>
      <c r="L829" s="23">
        <f t="shared" si="113"/>
        <v>-144</v>
      </c>
      <c r="M829" s="23">
        <f t="shared" si="114"/>
        <v>24</v>
      </c>
      <c r="N829" s="23"/>
      <c r="O829" s="23"/>
    </row>
    <row r="830" spans="1:17">
      <c r="A830" s="96">
        <v>45926</v>
      </c>
      <c r="B830" s="17" t="s">
        <v>15</v>
      </c>
      <c r="C830" s="137">
        <v>64</v>
      </c>
      <c r="D830" s="100"/>
      <c r="E830" s="22">
        <f t="shared" si="111"/>
        <v>-15381</v>
      </c>
      <c r="G830" s="78">
        <v>72</v>
      </c>
      <c r="H830" s="62">
        <f t="shared" si="116"/>
        <v>56</v>
      </c>
      <c r="I830" s="20"/>
      <c r="J830" s="21"/>
      <c r="K830" s="42"/>
      <c r="L830" s="23">
        <f t="shared" si="113"/>
        <v>-216</v>
      </c>
      <c r="M830" s="23">
        <f t="shared" si="114"/>
        <v>8</v>
      </c>
      <c r="N830" s="23"/>
      <c r="O830" s="23"/>
      <c r="Q830" s="1">
        <f>AVERAGE(G826:G830)</f>
        <v>56</v>
      </c>
    </row>
    <row r="831" spans="1:17" s="12" customFormat="1">
      <c r="A831" s="95">
        <v>45927</v>
      </c>
      <c r="B831" s="25" t="s">
        <v>16</v>
      </c>
      <c r="C831" s="98"/>
      <c r="D831" s="99"/>
      <c r="E831" s="87">
        <f t="shared" si="111"/>
        <v>-15381</v>
      </c>
      <c r="G831" s="79"/>
      <c r="H831" s="63"/>
      <c r="I831" s="27"/>
      <c r="J831" s="28"/>
      <c r="K831" s="43"/>
      <c r="L831" s="29">
        <f t="shared" si="113"/>
        <v>-216</v>
      </c>
      <c r="M831" s="29">
        <f t="shared" si="114"/>
        <v>8</v>
      </c>
      <c r="N831" s="29"/>
      <c r="O831" s="29"/>
    </row>
    <row r="832" spans="1:17" s="12" customFormat="1">
      <c r="A832" s="95">
        <v>45928</v>
      </c>
      <c r="B832" s="25" t="s">
        <v>17</v>
      </c>
      <c r="C832" s="98"/>
      <c r="D832" s="99"/>
      <c r="E832" s="87">
        <f t="shared" si="111"/>
        <v>-15381</v>
      </c>
      <c r="G832" s="79"/>
      <c r="H832" s="63"/>
      <c r="I832" s="27"/>
      <c r="J832" s="28"/>
      <c r="K832" s="43"/>
      <c r="L832" s="29">
        <f t="shared" si="113"/>
        <v>-216</v>
      </c>
      <c r="M832" s="29">
        <f t="shared" si="114"/>
        <v>8</v>
      </c>
      <c r="N832" s="29"/>
      <c r="O832" s="29"/>
    </row>
    <row r="833" spans="1:17">
      <c r="A833" s="96">
        <v>45929</v>
      </c>
      <c r="B833" s="17" t="s">
        <v>18</v>
      </c>
      <c r="C833" s="137">
        <v>64</v>
      </c>
      <c r="D833" s="100"/>
      <c r="E833" s="22">
        <f t="shared" si="111"/>
        <v>-15445</v>
      </c>
      <c r="G833" s="78">
        <v>48</v>
      </c>
      <c r="H833" s="62">
        <f t="shared" ref="H833:H837" si="117">IF(C831&lt;&gt;"",C831+I833,IF(C829&lt;&gt;"",C829+I833,IF(C828&lt;&gt;"",C828+I833,IF(C827&lt;&gt;"",C827+I833,IF(C826&lt;&gt;"",C826+I833,IF(C825&lt;&gt;"",C825+I833))))))</f>
        <v>56</v>
      </c>
      <c r="I833" s="20"/>
      <c r="J833" s="21"/>
      <c r="K833" s="42"/>
      <c r="L833" s="23">
        <f t="shared" si="113"/>
        <v>-264</v>
      </c>
      <c r="M833" s="23">
        <f t="shared" si="114"/>
        <v>16</v>
      </c>
      <c r="N833" s="23"/>
      <c r="O833" s="23"/>
    </row>
    <row r="834" spans="1:17">
      <c r="A834" s="96">
        <v>45930</v>
      </c>
      <c r="B834" s="17" t="s">
        <v>19</v>
      </c>
      <c r="C834" s="137">
        <v>64</v>
      </c>
      <c r="D834" s="100"/>
      <c r="E834" s="22">
        <f t="shared" si="111"/>
        <v>-15509</v>
      </c>
      <c r="G834" s="78">
        <v>72</v>
      </c>
      <c r="H834" s="62">
        <f t="shared" si="117"/>
        <v>64</v>
      </c>
      <c r="I834" s="20"/>
      <c r="J834" s="21"/>
      <c r="K834" s="42"/>
      <c r="L834" s="23">
        <f t="shared" si="113"/>
        <v>-336</v>
      </c>
      <c r="M834" s="23">
        <f t="shared" si="114"/>
        <v>8</v>
      </c>
      <c r="N834" s="23"/>
      <c r="O834" s="23"/>
    </row>
    <row r="835" spans="1:17">
      <c r="A835" s="96">
        <v>45931</v>
      </c>
      <c r="B835" s="17" t="s">
        <v>20</v>
      </c>
      <c r="C835" s="137">
        <v>64</v>
      </c>
      <c r="D835" s="100"/>
      <c r="E835" s="22">
        <f t="shared" si="111"/>
        <v>-15573</v>
      </c>
      <c r="G835" s="78">
        <v>72</v>
      </c>
      <c r="H835" s="62">
        <f t="shared" si="117"/>
        <v>64</v>
      </c>
      <c r="I835" s="20"/>
      <c r="J835" s="21"/>
      <c r="K835" s="42"/>
      <c r="L835" s="23">
        <f t="shared" si="113"/>
        <v>-408</v>
      </c>
      <c r="M835" s="23">
        <f t="shared" si="114"/>
        <v>0</v>
      </c>
      <c r="N835" s="23"/>
      <c r="O835" s="23"/>
    </row>
    <row r="836" spans="1:17">
      <c r="A836" s="96">
        <v>45932</v>
      </c>
      <c r="B836" s="17" t="s">
        <v>14</v>
      </c>
      <c r="C836" s="137">
        <v>64</v>
      </c>
      <c r="D836" s="100"/>
      <c r="E836" s="22">
        <f t="shared" si="111"/>
        <v>-15637</v>
      </c>
      <c r="G836" s="78">
        <v>48</v>
      </c>
      <c r="H836" s="62">
        <f t="shared" si="117"/>
        <v>64</v>
      </c>
      <c r="I836" s="20"/>
      <c r="J836" s="21"/>
      <c r="K836" s="42"/>
      <c r="L836" s="23">
        <f t="shared" si="113"/>
        <v>-456</v>
      </c>
      <c r="M836" s="23">
        <f t="shared" si="114"/>
        <v>16</v>
      </c>
      <c r="N836" s="23"/>
      <c r="O836" s="23"/>
    </row>
    <row r="837" spans="1:17">
      <c r="A837" s="96">
        <v>45933</v>
      </c>
      <c r="B837" s="17" t="s">
        <v>15</v>
      </c>
      <c r="C837" s="137">
        <v>64</v>
      </c>
      <c r="D837" s="100"/>
      <c r="E837" s="22">
        <f t="shared" si="111"/>
        <v>-15701</v>
      </c>
      <c r="G837" s="19">
        <v>72</v>
      </c>
      <c r="H837" s="62">
        <f t="shared" si="117"/>
        <v>64</v>
      </c>
      <c r="I837" s="20"/>
      <c r="J837" s="21"/>
      <c r="K837" s="42"/>
      <c r="L837" s="23">
        <f t="shared" si="113"/>
        <v>-528</v>
      </c>
      <c r="M837" s="23">
        <f t="shared" si="114"/>
        <v>8</v>
      </c>
      <c r="N837" s="23"/>
      <c r="O837" s="23"/>
      <c r="Q837" s="1">
        <f>AVERAGE(G833:G837)</f>
        <v>62.4</v>
      </c>
    </row>
    <row r="838" spans="1:17" s="12" customFormat="1">
      <c r="A838" s="95">
        <v>45934</v>
      </c>
      <c r="B838" s="25" t="s">
        <v>16</v>
      </c>
      <c r="C838" s="98"/>
      <c r="D838" s="99"/>
      <c r="E838" s="87">
        <f t="shared" ref="E838:E869" si="118">E837-C838+D838</f>
        <v>-15701</v>
      </c>
      <c r="G838" s="64"/>
      <c r="H838" s="63"/>
      <c r="I838" s="27"/>
      <c r="J838" s="28"/>
      <c r="K838" s="43"/>
      <c r="L838" s="29">
        <f t="shared" ref="L838:L869" si="119">L837-G838+K838</f>
        <v>-528</v>
      </c>
      <c r="M838" s="29">
        <f t="shared" ref="M838:M869" si="120">M837-G838+H838</f>
        <v>8</v>
      </c>
      <c r="N838" s="29"/>
      <c r="O838" s="29"/>
    </row>
    <row r="839" spans="1:17" s="12" customFormat="1">
      <c r="A839" s="95">
        <v>45935</v>
      </c>
      <c r="B839" s="25" t="s">
        <v>17</v>
      </c>
      <c r="C839" s="98"/>
      <c r="D839" s="99"/>
      <c r="E839" s="87">
        <f t="shared" si="118"/>
        <v>-15701</v>
      </c>
      <c r="G839" s="64"/>
      <c r="H839" s="63"/>
      <c r="I839" s="27"/>
      <c r="J839" s="28"/>
      <c r="K839" s="43"/>
      <c r="L839" s="29">
        <f t="shared" si="119"/>
        <v>-528</v>
      </c>
      <c r="M839" s="29">
        <f t="shared" si="120"/>
        <v>8</v>
      </c>
      <c r="N839" s="29"/>
      <c r="O839" s="29"/>
    </row>
    <row r="840" spans="1:17">
      <c r="A840" s="96">
        <v>45936</v>
      </c>
      <c r="B840" s="17" t="s">
        <v>18</v>
      </c>
      <c r="C840" s="101">
        <v>56</v>
      </c>
      <c r="D840" s="100"/>
      <c r="E840" s="22">
        <f t="shared" si="118"/>
        <v>-15757</v>
      </c>
      <c r="G840" s="19">
        <v>56</v>
      </c>
      <c r="H840" s="62">
        <f t="shared" ref="H840:H865" si="121">IF(C838&lt;&gt;"",C838+I840,IF(C836&lt;&gt;"",C836+I840,IF(C835&lt;&gt;"",C835+I840,IF(C834&lt;&gt;"",C834+I840,IF(C833&lt;&gt;"",C833+I840,IF(C832&lt;&gt;"",C832+I840))))))</f>
        <v>64</v>
      </c>
      <c r="I840" s="20"/>
      <c r="J840" s="21"/>
      <c r="K840" s="42"/>
      <c r="L840" s="23">
        <f t="shared" si="119"/>
        <v>-584</v>
      </c>
      <c r="M840" s="23">
        <f t="shared" si="120"/>
        <v>16</v>
      </c>
      <c r="N840" s="23"/>
      <c r="O840" s="23"/>
    </row>
    <row r="841" spans="1:17">
      <c r="A841" s="96">
        <v>45937</v>
      </c>
      <c r="B841" s="17" t="s">
        <v>19</v>
      </c>
      <c r="C841" s="101">
        <v>56</v>
      </c>
      <c r="D841" s="100"/>
      <c r="E841" s="22">
        <f t="shared" si="118"/>
        <v>-15813</v>
      </c>
      <c r="G841" s="19">
        <v>72</v>
      </c>
      <c r="H841" s="62">
        <f t="shared" si="121"/>
        <v>64</v>
      </c>
      <c r="I841" s="20"/>
      <c r="J841" s="21"/>
      <c r="K841" s="42"/>
      <c r="L841" s="23">
        <f t="shared" si="119"/>
        <v>-656</v>
      </c>
      <c r="M841" s="23">
        <f t="shared" si="120"/>
        <v>8</v>
      </c>
      <c r="N841" s="23"/>
      <c r="O841" s="23"/>
    </row>
    <row r="842" spans="1:17">
      <c r="A842" s="96">
        <v>45938</v>
      </c>
      <c r="B842" s="17" t="s">
        <v>20</v>
      </c>
      <c r="C842" s="101">
        <v>64</v>
      </c>
      <c r="D842" s="100"/>
      <c r="E842" s="22">
        <f t="shared" si="118"/>
        <v>-15877</v>
      </c>
      <c r="G842" s="19">
        <v>56</v>
      </c>
      <c r="H842" s="62">
        <f t="shared" si="121"/>
        <v>56</v>
      </c>
      <c r="I842" s="20"/>
      <c r="J842" s="21"/>
      <c r="K842" s="42"/>
      <c r="L842" s="23">
        <f t="shared" si="119"/>
        <v>-712</v>
      </c>
      <c r="M842" s="23">
        <f t="shared" si="120"/>
        <v>8</v>
      </c>
      <c r="N842" s="23"/>
      <c r="O842" s="23"/>
    </row>
    <row r="843" spans="1:17">
      <c r="A843" s="96">
        <v>45939</v>
      </c>
      <c r="B843" s="17" t="s">
        <v>14</v>
      </c>
      <c r="C843" s="101">
        <v>56</v>
      </c>
      <c r="D843" s="100"/>
      <c r="E843" s="22">
        <f t="shared" si="118"/>
        <v>-15933</v>
      </c>
      <c r="G843" s="19">
        <v>56</v>
      </c>
      <c r="H843" s="62">
        <f t="shared" si="121"/>
        <v>56</v>
      </c>
      <c r="I843" s="20"/>
      <c r="J843" s="21"/>
      <c r="K843" s="42"/>
      <c r="L843" s="23">
        <f t="shared" si="119"/>
        <v>-768</v>
      </c>
      <c r="M843" s="23">
        <f t="shared" si="120"/>
        <v>8</v>
      </c>
      <c r="N843" s="23"/>
      <c r="O843" s="23"/>
    </row>
    <row r="844" spans="1:17">
      <c r="A844" s="96">
        <v>45940</v>
      </c>
      <c r="B844" s="17" t="s">
        <v>15</v>
      </c>
      <c r="C844" s="101">
        <v>56</v>
      </c>
      <c r="D844" s="100"/>
      <c r="E844" s="22">
        <f t="shared" si="118"/>
        <v>-15989</v>
      </c>
      <c r="G844" s="19">
        <v>56</v>
      </c>
      <c r="H844" s="62">
        <f t="shared" si="121"/>
        <v>64</v>
      </c>
      <c r="I844" s="20"/>
      <c r="J844" s="21"/>
      <c r="K844" s="42"/>
      <c r="L844" s="23">
        <f t="shared" si="119"/>
        <v>-824</v>
      </c>
      <c r="M844" s="23">
        <f t="shared" si="120"/>
        <v>16</v>
      </c>
      <c r="N844" s="23"/>
      <c r="O844" s="23"/>
      <c r="Q844" s="1">
        <f>AVERAGE(G840:G844)</f>
        <v>59.2</v>
      </c>
    </row>
    <row r="845" spans="1:17" s="12" customFormat="1">
      <c r="A845" s="95">
        <v>45941</v>
      </c>
      <c r="B845" s="25" t="s">
        <v>16</v>
      </c>
      <c r="C845" s="98"/>
      <c r="D845" s="99"/>
      <c r="E845" s="87">
        <f t="shared" si="118"/>
        <v>-15989</v>
      </c>
      <c r="G845" s="64"/>
      <c r="H845" s="63"/>
      <c r="I845" s="27"/>
      <c r="J845" s="28"/>
      <c r="K845" s="43"/>
      <c r="L845" s="29">
        <f t="shared" si="119"/>
        <v>-824</v>
      </c>
      <c r="M845" s="29">
        <f t="shared" si="120"/>
        <v>16</v>
      </c>
      <c r="N845" s="29"/>
      <c r="O845" s="29"/>
    </row>
    <row r="846" spans="1:17" s="12" customFormat="1">
      <c r="A846" s="95">
        <v>45942</v>
      </c>
      <c r="B846" s="25" t="s">
        <v>17</v>
      </c>
      <c r="C846" s="98"/>
      <c r="D846" s="99"/>
      <c r="E846" s="87">
        <f t="shared" si="118"/>
        <v>-15989</v>
      </c>
      <c r="G846" s="64"/>
      <c r="H846" s="63"/>
      <c r="I846" s="27"/>
      <c r="J846" s="28"/>
      <c r="K846" s="43"/>
      <c r="L846" s="29">
        <f t="shared" si="119"/>
        <v>-824</v>
      </c>
      <c r="M846" s="29">
        <f t="shared" si="120"/>
        <v>16</v>
      </c>
      <c r="N846" s="29"/>
      <c r="O846" s="29"/>
    </row>
    <row r="847" spans="1:17" s="12" customFormat="1">
      <c r="A847" s="95">
        <v>45943</v>
      </c>
      <c r="B847" s="25" t="s">
        <v>18</v>
      </c>
      <c r="C847" s="98"/>
      <c r="D847" s="99"/>
      <c r="E847" s="87">
        <f t="shared" si="118"/>
        <v>-15989</v>
      </c>
      <c r="G847" s="64"/>
      <c r="H847" s="63"/>
      <c r="I847" s="27"/>
      <c r="J847" s="28"/>
      <c r="K847" s="43"/>
      <c r="L847" s="29">
        <f t="shared" si="119"/>
        <v>-824</v>
      </c>
      <c r="M847" s="29">
        <f t="shared" si="120"/>
        <v>16</v>
      </c>
      <c r="N847" s="29"/>
      <c r="O847" s="29"/>
    </row>
    <row r="848" spans="1:17">
      <c r="A848" s="96">
        <v>45944</v>
      </c>
      <c r="B848" s="17" t="s">
        <v>19</v>
      </c>
      <c r="C848" s="101">
        <v>64</v>
      </c>
      <c r="D848" s="100"/>
      <c r="E848" s="22">
        <f t="shared" si="118"/>
        <v>-16053</v>
      </c>
      <c r="G848" s="19">
        <v>72</v>
      </c>
      <c r="H848" s="62">
        <f>C843</f>
        <v>56</v>
      </c>
      <c r="I848" s="20"/>
      <c r="J848" s="21"/>
      <c r="K848" s="42"/>
      <c r="L848" s="23">
        <f t="shared" si="119"/>
        <v>-896</v>
      </c>
      <c r="M848" s="23">
        <f t="shared" si="120"/>
        <v>0</v>
      </c>
      <c r="N848" s="23"/>
      <c r="O848" s="23"/>
    </row>
    <row r="849" spans="1:17">
      <c r="A849" s="96">
        <v>45945</v>
      </c>
      <c r="B849" s="17" t="s">
        <v>20</v>
      </c>
      <c r="C849" s="101">
        <v>56</v>
      </c>
      <c r="D849" s="100"/>
      <c r="E849" s="22">
        <f t="shared" si="118"/>
        <v>-16109</v>
      </c>
      <c r="G849" s="19">
        <v>48</v>
      </c>
      <c r="H849" s="62">
        <f t="shared" si="121"/>
        <v>56</v>
      </c>
      <c r="I849" s="20"/>
      <c r="J849" s="21"/>
      <c r="K849" s="42"/>
      <c r="L849" s="23">
        <f t="shared" si="119"/>
        <v>-944</v>
      </c>
      <c r="M849" s="23">
        <f t="shared" si="120"/>
        <v>8</v>
      </c>
      <c r="N849" s="23"/>
      <c r="O849" s="23"/>
    </row>
    <row r="850" spans="1:17">
      <c r="A850" s="96">
        <v>45946</v>
      </c>
      <c r="B850" s="17" t="s">
        <v>14</v>
      </c>
      <c r="C850" s="101">
        <v>56</v>
      </c>
      <c r="D850" s="100"/>
      <c r="E850" s="22">
        <f t="shared" si="118"/>
        <v>-16165</v>
      </c>
      <c r="G850" s="19">
        <v>56</v>
      </c>
      <c r="H850" s="62">
        <f t="shared" si="121"/>
        <v>64</v>
      </c>
      <c r="I850" s="20"/>
      <c r="J850" s="21"/>
      <c r="K850" s="42"/>
      <c r="L850" s="23">
        <f t="shared" si="119"/>
        <v>-1000</v>
      </c>
      <c r="M850" s="23">
        <f t="shared" si="120"/>
        <v>16</v>
      </c>
      <c r="N850" s="23"/>
      <c r="O850" s="23"/>
    </row>
    <row r="851" spans="1:17">
      <c r="A851" s="96">
        <v>45947</v>
      </c>
      <c r="B851" s="17" t="s">
        <v>15</v>
      </c>
      <c r="C851" s="101">
        <v>56</v>
      </c>
      <c r="D851" s="100"/>
      <c r="E851" s="22">
        <f t="shared" si="118"/>
        <v>-16221</v>
      </c>
      <c r="G851" s="19">
        <v>56</v>
      </c>
      <c r="H851" s="62">
        <f t="shared" si="121"/>
        <v>56</v>
      </c>
      <c r="I851" s="20"/>
      <c r="J851" s="21"/>
      <c r="K851" s="42"/>
      <c r="L851" s="23">
        <f t="shared" si="119"/>
        <v>-1056</v>
      </c>
      <c r="M851" s="23">
        <f t="shared" si="120"/>
        <v>16</v>
      </c>
      <c r="N851" s="23"/>
      <c r="O851" s="23"/>
      <c r="Q851" s="1">
        <f>AVERAGE(G848:G851)</f>
        <v>58</v>
      </c>
    </row>
    <row r="852" spans="1:17" s="12" customFormat="1">
      <c r="A852" s="95">
        <v>45948</v>
      </c>
      <c r="B852" s="25" t="s">
        <v>16</v>
      </c>
      <c r="C852" s="98"/>
      <c r="D852" s="99"/>
      <c r="E852" s="87">
        <f t="shared" si="118"/>
        <v>-16221</v>
      </c>
      <c r="G852" s="64"/>
      <c r="H852" s="63"/>
      <c r="I852" s="27"/>
      <c r="J852" s="28"/>
      <c r="K852" s="43"/>
      <c r="L852" s="29">
        <f t="shared" si="119"/>
        <v>-1056</v>
      </c>
      <c r="M852" s="29">
        <f t="shared" si="120"/>
        <v>16</v>
      </c>
      <c r="N852" s="29"/>
      <c r="O852" s="29"/>
    </row>
    <row r="853" spans="1:17" s="12" customFormat="1">
      <c r="A853" s="95">
        <v>45949</v>
      </c>
      <c r="B853" s="25" t="s">
        <v>17</v>
      </c>
      <c r="C853" s="98"/>
      <c r="D853" s="99"/>
      <c r="E853" s="87">
        <f t="shared" si="118"/>
        <v>-16221</v>
      </c>
      <c r="G853" s="64"/>
      <c r="H853" s="63"/>
      <c r="I853" s="27"/>
      <c r="J853" s="28"/>
      <c r="K853" s="43"/>
      <c r="L853" s="29">
        <f t="shared" si="119"/>
        <v>-1056</v>
      </c>
      <c r="M853" s="29">
        <f t="shared" si="120"/>
        <v>16</v>
      </c>
      <c r="N853" s="29"/>
      <c r="O853" s="29"/>
    </row>
    <row r="854" spans="1:17">
      <c r="A854" s="96">
        <v>45950</v>
      </c>
      <c r="B854" s="17" t="s">
        <v>18</v>
      </c>
      <c r="C854" s="101">
        <v>64</v>
      </c>
      <c r="D854" s="100"/>
      <c r="E854" s="22">
        <f t="shared" si="118"/>
        <v>-16285</v>
      </c>
      <c r="G854" s="19">
        <v>48</v>
      </c>
      <c r="H854" s="62">
        <f t="shared" si="121"/>
        <v>56</v>
      </c>
      <c r="I854" s="20"/>
      <c r="J854" s="21"/>
      <c r="K854" s="42"/>
      <c r="L854" s="23">
        <f t="shared" si="119"/>
        <v>-1104</v>
      </c>
      <c r="M854" s="23">
        <f t="shared" si="120"/>
        <v>24</v>
      </c>
      <c r="N854" s="23"/>
      <c r="O854" s="23"/>
    </row>
    <row r="855" spans="1:17">
      <c r="A855" s="96">
        <v>45951</v>
      </c>
      <c r="B855" s="17" t="s">
        <v>19</v>
      </c>
      <c r="C855" s="101">
        <v>64</v>
      </c>
      <c r="D855" s="100"/>
      <c r="E855" s="22">
        <f t="shared" si="118"/>
        <v>-16349</v>
      </c>
      <c r="G855" s="19">
        <v>72</v>
      </c>
      <c r="H855" s="62">
        <f t="shared" si="121"/>
        <v>56</v>
      </c>
      <c r="I855" s="20"/>
      <c r="J855" s="21"/>
      <c r="K855" s="42"/>
      <c r="L855" s="23">
        <f t="shared" si="119"/>
        <v>-1176</v>
      </c>
      <c r="M855" s="23">
        <f t="shared" si="120"/>
        <v>8</v>
      </c>
      <c r="N855" s="23"/>
      <c r="O855" s="23"/>
    </row>
    <row r="856" spans="1:17">
      <c r="A856" s="96">
        <v>45952</v>
      </c>
      <c r="B856" s="17" t="s">
        <v>20</v>
      </c>
      <c r="C856" s="101">
        <v>64</v>
      </c>
      <c r="D856" s="100"/>
      <c r="E856" s="22">
        <f t="shared" si="118"/>
        <v>-16413</v>
      </c>
      <c r="G856" s="19">
        <v>72</v>
      </c>
      <c r="H856" s="62">
        <f t="shared" si="121"/>
        <v>64</v>
      </c>
      <c r="I856" s="20"/>
      <c r="J856" s="21"/>
      <c r="K856" s="42"/>
      <c r="L856" s="23">
        <f t="shared" si="119"/>
        <v>-1248</v>
      </c>
      <c r="M856" s="23">
        <f t="shared" si="120"/>
        <v>0</v>
      </c>
      <c r="N856" s="23"/>
      <c r="O856" s="23"/>
    </row>
    <row r="857" spans="1:17">
      <c r="A857" s="96">
        <v>45953</v>
      </c>
      <c r="B857" s="17" t="s">
        <v>14</v>
      </c>
      <c r="C857" s="101">
        <v>56</v>
      </c>
      <c r="D857" s="100"/>
      <c r="E857" s="22">
        <f t="shared" si="118"/>
        <v>-16469</v>
      </c>
      <c r="G857" s="19">
        <v>48</v>
      </c>
      <c r="H857" s="62">
        <f t="shared" si="121"/>
        <v>64</v>
      </c>
      <c r="I857" s="20"/>
      <c r="J857" s="21"/>
      <c r="K857" s="42"/>
      <c r="L857" s="23">
        <f t="shared" si="119"/>
        <v>-1296</v>
      </c>
      <c r="M857" s="23">
        <f t="shared" si="120"/>
        <v>16</v>
      </c>
      <c r="N857" s="23"/>
      <c r="O857" s="23"/>
    </row>
    <row r="858" spans="1:17">
      <c r="A858" s="96">
        <v>45954</v>
      </c>
      <c r="B858" s="17" t="s">
        <v>15</v>
      </c>
      <c r="C858" s="101">
        <v>56</v>
      </c>
      <c r="D858" s="100"/>
      <c r="E858" s="22">
        <f t="shared" si="118"/>
        <v>-16525</v>
      </c>
      <c r="G858" s="19">
        <v>72</v>
      </c>
      <c r="H858" s="62">
        <f t="shared" si="121"/>
        <v>64</v>
      </c>
      <c r="I858" s="20"/>
      <c r="J858" s="21"/>
      <c r="K858" s="42"/>
      <c r="L858" s="23">
        <f t="shared" si="119"/>
        <v>-1368</v>
      </c>
      <c r="M858" s="23">
        <f t="shared" si="120"/>
        <v>8</v>
      </c>
      <c r="N858" s="23"/>
      <c r="O858" s="23"/>
      <c r="Q858" s="1">
        <f>AVERAGE(G854:G858)</f>
        <v>62.4</v>
      </c>
    </row>
    <row r="859" spans="1:17" s="12" customFormat="1">
      <c r="A859" s="95">
        <v>45955</v>
      </c>
      <c r="B859" s="25" t="s">
        <v>16</v>
      </c>
      <c r="C859" s="98"/>
      <c r="D859" s="99"/>
      <c r="E859" s="87">
        <f t="shared" si="118"/>
        <v>-16525</v>
      </c>
      <c r="G859" s="64"/>
      <c r="H859" s="63"/>
      <c r="I859" s="27"/>
      <c r="J859" s="28"/>
      <c r="K859" s="43"/>
      <c r="L859" s="29">
        <f t="shared" si="119"/>
        <v>-1368</v>
      </c>
      <c r="M859" s="29">
        <f t="shared" si="120"/>
        <v>8</v>
      </c>
      <c r="N859" s="29"/>
      <c r="O859" s="29"/>
    </row>
    <row r="860" spans="1:17" s="12" customFormat="1">
      <c r="A860" s="95">
        <v>45956</v>
      </c>
      <c r="B860" s="25" t="s">
        <v>17</v>
      </c>
      <c r="C860" s="98"/>
      <c r="D860" s="99"/>
      <c r="E860" s="87">
        <f t="shared" si="118"/>
        <v>-16525</v>
      </c>
      <c r="G860" s="64"/>
      <c r="H860" s="63"/>
      <c r="I860" s="27"/>
      <c r="J860" s="28"/>
      <c r="K860" s="43"/>
      <c r="L860" s="29">
        <f t="shared" si="119"/>
        <v>-1368</v>
      </c>
      <c r="M860" s="29">
        <f t="shared" si="120"/>
        <v>8</v>
      </c>
      <c r="N860" s="29"/>
      <c r="O860" s="29"/>
    </row>
    <row r="861" spans="1:17">
      <c r="A861" s="96">
        <v>45957</v>
      </c>
      <c r="B861" s="17" t="s">
        <v>18</v>
      </c>
      <c r="C861" s="101">
        <v>56</v>
      </c>
      <c r="D861" s="100"/>
      <c r="E861" s="22">
        <f t="shared" si="118"/>
        <v>-16581</v>
      </c>
      <c r="G861" s="19">
        <v>48</v>
      </c>
      <c r="H861" s="62">
        <f t="shared" si="121"/>
        <v>56</v>
      </c>
      <c r="I861" s="20"/>
      <c r="J861" s="21"/>
      <c r="K861" s="42"/>
      <c r="L861" s="23">
        <f t="shared" si="119"/>
        <v>-1416</v>
      </c>
      <c r="M861" s="23">
        <f t="shared" si="120"/>
        <v>16</v>
      </c>
      <c r="N861" s="23"/>
      <c r="O861" s="23"/>
    </row>
    <row r="862" spans="1:17">
      <c r="A862" s="96">
        <v>45958</v>
      </c>
      <c r="B862" s="17" t="s">
        <v>19</v>
      </c>
      <c r="C862" s="101">
        <v>56</v>
      </c>
      <c r="D862" s="100"/>
      <c r="E862" s="22">
        <f t="shared" si="118"/>
        <v>-16637</v>
      </c>
      <c r="G862" s="19">
        <v>56</v>
      </c>
      <c r="H862" s="62">
        <f t="shared" si="121"/>
        <v>56</v>
      </c>
      <c r="I862" s="20"/>
      <c r="J862" s="21"/>
      <c r="K862" s="42"/>
      <c r="L862" s="23">
        <f t="shared" si="119"/>
        <v>-1472</v>
      </c>
      <c r="M862" s="23">
        <f t="shared" si="120"/>
        <v>16</v>
      </c>
      <c r="N862" s="23"/>
      <c r="O862" s="23"/>
    </row>
    <row r="863" spans="1:17">
      <c r="A863" s="96">
        <v>45959</v>
      </c>
      <c r="B863" s="17" t="s">
        <v>20</v>
      </c>
      <c r="C863" s="101">
        <v>56</v>
      </c>
      <c r="D863" s="100"/>
      <c r="E863" s="22">
        <f t="shared" si="118"/>
        <v>-16693</v>
      </c>
      <c r="G863" s="19">
        <v>56</v>
      </c>
      <c r="H863" s="62">
        <f t="shared" si="121"/>
        <v>56</v>
      </c>
      <c r="I863" s="20"/>
      <c r="J863" s="21"/>
      <c r="K863" s="42"/>
      <c r="L863" s="23">
        <f t="shared" si="119"/>
        <v>-1528</v>
      </c>
      <c r="M863" s="23">
        <f t="shared" si="120"/>
        <v>16</v>
      </c>
      <c r="N863" s="23"/>
      <c r="O863" s="23"/>
    </row>
    <row r="864" spans="1:17">
      <c r="A864" s="96">
        <v>45960</v>
      </c>
      <c r="B864" s="17" t="s">
        <v>14</v>
      </c>
      <c r="C864" s="101">
        <v>56</v>
      </c>
      <c r="D864" s="100"/>
      <c r="E864" s="22">
        <f t="shared" si="118"/>
        <v>-16749</v>
      </c>
      <c r="G864" s="19">
        <v>56</v>
      </c>
      <c r="H864" s="62">
        <f t="shared" si="121"/>
        <v>56</v>
      </c>
      <c r="I864" s="20"/>
      <c r="J864" s="21"/>
      <c r="K864" s="42"/>
      <c r="L864" s="23">
        <f t="shared" si="119"/>
        <v>-1584</v>
      </c>
      <c r="M864" s="23">
        <f t="shared" si="120"/>
        <v>16</v>
      </c>
      <c r="N864" s="23"/>
      <c r="O864" s="23"/>
    </row>
    <row r="865" spans="1:17">
      <c r="A865" s="96">
        <v>45961</v>
      </c>
      <c r="B865" s="17" t="s">
        <v>15</v>
      </c>
      <c r="C865" s="101">
        <v>64</v>
      </c>
      <c r="D865" s="100"/>
      <c r="E865" s="22">
        <f t="shared" si="118"/>
        <v>-16813</v>
      </c>
      <c r="G865" s="19">
        <v>56</v>
      </c>
      <c r="H865" s="62">
        <f t="shared" si="121"/>
        <v>56</v>
      </c>
      <c r="I865" s="20"/>
      <c r="J865" s="21"/>
      <c r="K865" s="42"/>
      <c r="L865" s="23">
        <f t="shared" si="119"/>
        <v>-1640</v>
      </c>
      <c r="M865" s="23">
        <f t="shared" si="120"/>
        <v>16</v>
      </c>
      <c r="N865" s="23"/>
      <c r="O865" s="23"/>
      <c r="Q865" s="1">
        <f>AVERAGE(G861:G865)</f>
        <v>54.4</v>
      </c>
    </row>
    <row r="866" spans="1:17" s="12" customFormat="1">
      <c r="A866" s="95">
        <v>45962</v>
      </c>
      <c r="B866" s="25" t="s">
        <v>16</v>
      </c>
      <c r="C866" s="98"/>
      <c r="D866" s="99"/>
      <c r="E866" s="87">
        <f t="shared" si="118"/>
        <v>-16813</v>
      </c>
      <c r="G866" s="64"/>
      <c r="H866" s="63"/>
      <c r="I866" s="27"/>
      <c r="J866" s="28"/>
      <c r="K866" s="43"/>
      <c r="L866" s="29">
        <f t="shared" si="119"/>
        <v>-1640</v>
      </c>
      <c r="M866" s="29">
        <f t="shared" si="120"/>
        <v>16</v>
      </c>
      <c r="N866" s="29"/>
      <c r="O866" s="29"/>
    </row>
    <row r="867" spans="1:17" s="12" customFormat="1">
      <c r="A867" s="95">
        <v>45963</v>
      </c>
      <c r="B867" s="25" t="s">
        <v>17</v>
      </c>
      <c r="C867" s="98"/>
      <c r="D867" s="99"/>
      <c r="E867" s="87">
        <f t="shared" si="118"/>
        <v>-16813</v>
      </c>
      <c r="G867" s="64"/>
      <c r="H867" s="63"/>
      <c r="I867" s="27"/>
      <c r="J867" s="28"/>
      <c r="K867" s="43"/>
      <c r="L867" s="29">
        <f t="shared" si="119"/>
        <v>-1640</v>
      </c>
      <c r="M867" s="29">
        <f t="shared" si="120"/>
        <v>16</v>
      </c>
      <c r="N867" s="29"/>
      <c r="O867" s="29"/>
    </row>
    <row r="868" spans="1:17" s="12" customFormat="1">
      <c r="A868" s="95">
        <v>45964</v>
      </c>
      <c r="B868" s="25" t="s">
        <v>18</v>
      </c>
      <c r="C868" s="98"/>
      <c r="D868" s="99"/>
      <c r="E868" s="87">
        <f t="shared" si="118"/>
        <v>-16813</v>
      </c>
      <c r="G868" s="64"/>
      <c r="H868" s="63"/>
      <c r="I868" s="27"/>
      <c r="J868" s="28"/>
      <c r="K868" s="43"/>
      <c r="L868" s="29">
        <f t="shared" si="119"/>
        <v>-1640</v>
      </c>
      <c r="M868" s="29">
        <f t="shared" si="120"/>
        <v>16</v>
      </c>
      <c r="N868" s="29"/>
      <c r="O868" s="29"/>
    </row>
    <row r="869" spans="1:17">
      <c r="A869" s="96">
        <v>45965</v>
      </c>
      <c r="B869" s="17" t="s">
        <v>19</v>
      </c>
      <c r="C869" s="101">
        <v>56</v>
      </c>
      <c r="D869" s="100"/>
      <c r="E869" s="22">
        <f t="shared" si="118"/>
        <v>-16869</v>
      </c>
      <c r="G869" s="19">
        <v>56</v>
      </c>
      <c r="H869" s="62">
        <f>C864</f>
        <v>56</v>
      </c>
      <c r="I869" s="20"/>
      <c r="J869" s="21"/>
      <c r="K869" s="42"/>
      <c r="L869" s="23">
        <f t="shared" si="119"/>
        <v>-1696</v>
      </c>
      <c r="M869" s="23">
        <f t="shared" si="120"/>
        <v>16</v>
      </c>
      <c r="N869" s="23"/>
      <c r="O869" s="23"/>
    </row>
    <row r="870" spans="1:17">
      <c r="A870" s="96">
        <v>45966</v>
      </c>
      <c r="B870" s="17" t="s">
        <v>20</v>
      </c>
      <c r="C870" s="101">
        <v>56</v>
      </c>
      <c r="D870" s="100"/>
      <c r="E870" s="22">
        <f t="shared" ref="E870:E901" si="122">E869-C870+D870</f>
        <v>-16925</v>
      </c>
      <c r="G870" s="19">
        <v>56</v>
      </c>
      <c r="H870" s="62">
        <f t="shared" ref="H870:H901" si="123">IF(C868&lt;&gt;"",C868+I870,IF(C866&lt;&gt;"",C866+I870,IF(C865&lt;&gt;"",C865+I870,IF(C864&lt;&gt;"",C864+I870,IF(C863&lt;&gt;"",C863+I870,IF(C862&lt;&gt;"",C862+I870))))))</f>
        <v>64</v>
      </c>
      <c r="I870" s="20"/>
      <c r="J870" s="21"/>
      <c r="K870" s="42"/>
      <c r="L870" s="23">
        <f t="shared" ref="L870:L901" si="124">L869-G870+K870</f>
        <v>-1752</v>
      </c>
      <c r="M870" s="23">
        <f t="shared" ref="M870:M901" si="125">M869-G870+H870</f>
        <v>24</v>
      </c>
      <c r="N870" s="23"/>
      <c r="O870" s="23"/>
    </row>
    <row r="871" spans="1:17">
      <c r="A871" s="96">
        <v>45967</v>
      </c>
      <c r="B871" s="17" t="s">
        <v>14</v>
      </c>
      <c r="C871" s="101">
        <v>56</v>
      </c>
      <c r="D871" s="100"/>
      <c r="E871" s="22">
        <f t="shared" si="122"/>
        <v>-16981</v>
      </c>
      <c r="G871" s="19">
        <v>56</v>
      </c>
      <c r="H871" s="62">
        <f t="shared" si="123"/>
        <v>56</v>
      </c>
      <c r="I871" s="20"/>
      <c r="J871" s="21"/>
      <c r="K871" s="42"/>
      <c r="L871" s="23">
        <f t="shared" si="124"/>
        <v>-1808</v>
      </c>
      <c r="M871" s="23">
        <f t="shared" si="125"/>
        <v>24</v>
      </c>
      <c r="N871" s="23"/>
      <c r="O871" s="23"/>
    </row>
    <row r="872" spans="1:17">
      <c r="A872" s="96">
        <v>45968</v>
      </c>
      <c r="B872" s="17" t="s">
        <v>15</v>
      </c>
      <c r="C872" s="101">
        <v>56</v>
      </c>
      <c r="D872" s="100"/>
      <c r="E872" s="22">
        <f t="shared" si="122"/>
        <v>-17037</v>
      </c>
      <c r="G872" s="19">
        <v>56</v>
      </c>
      <c r="H872" s="62">
        <f t="shared" si="123"/>
        <v>56</v>
      </c>
      <c r="I872" s="20"/>
      <c r="J872" s="21"/>
      <c r="K872" s="42"/>
      <c r="L872" s="23">
        <f t="shared" si="124"/>
        <v>-1864</v>
      </c>
      <c r="M872" s="23">
        <f t="shared" si="125"/>
        <v>24</v>
      </c>
      <c r="N872" s="23"/>
      <c r="O872" s="23"/>
    </row>
    <row r="873" spans="1:17" s="12" customFormat="1">
      <c r="A873" s="95">
        <v>45969</v>
      </c>
      <c r="B873" s="25" t="s">
        <v>16</v>
      </c>
      <c r="C873" s="98"/>
      <c r="D873" s="99"/>
      <c r="E873" s="87">
        <f t="shared" si="122"/>
        <v>-17037</v>
      </c>
      <c r="G873" s="64"/>
      <c r="H873" s="63"/>
      <c r="I873" s="27"/>
      <c r="J873" s="28"/>
      <c r="K873" s="43"/>
      <c r="L873" s="29">
        <f t="shared" si="124"/>
        <v>-1864</v>
      </c>
      <c r="M873" s="29">
        <f t="shared" si="125"/>
        <v>24</v>
      </c>
      <c r="N873" s="29"/>
      <c r="O873" s="29"/>
    </row>
    <row r="874" spans="1:17" s="12" customFormat="1">
      <c r="A874" s="95">
        <v>45970</v>
      </c>
      <c r="B874" s="25" t="s">
        <v>17</v>
      </c>
      <c r="C874" s="98"/>
      <c r="D874" s="99"/>
      <c r="E874" s="87">
        <f t="shared" si="122"/>
        <v>-17037</v>
      </c>
      <c r="G874" s="64"/>
      <c r="H874" s="63"/>
      <c r="I874" s="27"/>
      <c r="J874" s="28"/>
      <c r="K874" s="43"/>
      <c r="L874" s="29">
        <f t="shared" si="124"/>
        <v>-1864</v>
      </c>
      <c r="M874" s="29">
        <f t="shared" si="125"/>
        <v>24</v>
      </c>
      <c r="N874" s="29"/>
      <c r="O874" s="29"/>
    </row>
    <row r="875" spans="1:17">
      <c r="A875" s="96">
        <v>45971</v>
      </c>
      <c r="B875" s="17" t="s">
        <v>18</v>
      </c>
      <c r="C875" s="101">
        <v>56</v>
      </c>
      <c r="D875" s="100"/>
      <c r="E875" s="22">
        <f t="shared" si="122"/>
        <v>-17093</v>
      </c>
      <c r="G875" s="19">
        <v>56</v>
      </c>
      <c r="H875" s="62">
        <f t="shared" si="123"/>
        <v>56</v>
      </c>
      <c r="I875" s="20"/>
      <c r="J875" s="21"/>
      <c r="K875" s="42"/>
      <c r="L875" s="23">
        <f t="shared" si="124"/>
        <v>-1920</v>
      </c>
      <c r="M875" s="23">
        <f t="shared" si="125"/>
        <v>24</v>
      </c>
      <c r="N875" s="23"/>
      <c r="O875" s="23"/>
    </row>
    <row r="876" spans="1:17">
      <c r="A876" s="96">
        <v>45972</v>
      </c>
      <c r="B876" s="17" t="s">
        <v>19</v>
      </c>
      <c r="C876" s="101">
        <v>56</v>
      </c>
      <c r="D876" s="100"/>
      <c r="E876" s="22">
        <f t="shared" si="122"/>
        <v>-17149</v>
      </c>
      <c r="G876" s="19">
        <v>64</v>
      </c>
      <c r="H876" s="62">
        <f t="shared" si="123"/>
        <v>56</v>
      </c>
      <c r="I876" s="20"/>
      <c r="J876" s="21"/>
      <c r="K876" s="42"/>
      <c r="L876" s="23">
        <f t="shared" si="124"/>
        <v>-1984</v>
      </c>
      <c r="M876" s="23">
        <f t="shared" si="125"/>
        <v>16</v>
      </c>
      <c r="N876" s="23"/>
      <c r="O876" s="23"/>
    </row>
    <row r="877" spans="1:17">
      <c r="A877" s="96">
        <v>45973</v>
      </c>
      <c r="B877" s="17" t="s">
        <v>20</v>
      </c>
      <c r="C877" s="101">
        <v>56</v>
      </c>
      <c r="D877" s="100"/>
      <c r="E877" s="22">
        <f t="shared" si="122"/>
        <v>-17205</v>
      </c>
      <c r="G877" s="19">
        <v>56</v>
      </c>
      <c r="H877" s="62">
        <f t="shared" si="123"/>
        <v>56</v>
      </c>
      <c r="I877" s="20"/>
      <c r="J877" s="21"/>
      <c r="K877" s="42"/>
      <c r="L877" s="23">
        <f t="shared" si="124"/>
        <v>-2040</v>
      </c>
      <c r="M877" s="23">
        <f t="shared" si="125"/>
        <v>16</v>
      </c>
      <c r="N877" s="23"/>
      <c r="O877" s="23"/>
    </row>
    <row r="878" spans="1:17">
      <c r="A878" s="96">
        <v>45974</v>
      </c>
      <c r="B878" s="17" t="s">
        <v>14</v>
      </c>
      <c r="C878" s="101">
        <v>64</v>
      </c>
      <c r="D878" s="100"/>
      <c r="E878" s="22">
        <f t="shared" si="122"/>
        <v>-17269</v>
      </c>
      <c r="G878" s="19">
        <v>56</v>
      </c>
      <c r="H878" s="62">
        <f t="shared" si="123"/>
        <v>56</v>
      </c>
      <c r="I878" s="20"/>
      <c r="J878" s="21"/>
      <c r="K878" s="42"/>
      <c r="L878" s="23">
        <f t="shared" si="124"/>
        <v>-2096</v>
      </c>
      <c r="M878" s="23">
        <f t="shared" si="125"/>
        <v>16</v>
      </c>
      <c r="N878" s="23"/>
      <c r="O878" s="23"/>
    </row>
    <row r="879" spans="1:17">
      <c r="A879" s="96">
        <v>45975</v>
      </c>
      <c r="B879" s="17" t="s">
        <v>15</v>
      </c>
      <c r="C879" s="101">
        <v>56</v>
      </c>
      <c r="D879" s="100"/>
      <c r="E879" s="22">
        <f t="shared" si="122"/>
        <v>-17325</v>
      </c>
      <c r="G879" s="19">
        <v>64</v>
      </c>
      <c r="H879" s="62">
        <f t="shared" si="123"/>
        <v>56</v>
      </c>
      <c r="I879" s="20"/>
      <c r="J879" s="21"/>
      <c r="K879" s="42"/>
      <c r="L879" s="23">
        <f t="shared" si="124"/>
        <v>-2160</v>
      </c>
      <c r="M879" s="23">
        <f t="shared" si="125"/>
        <v>8</v>
      </c>
      <c r="N879" s="23"/>
      <c r="O879" s="23"/>
    </row>
    <row r="880" spans="1:17" s="12" customFormat="1">
      <c r="A880" s="95">
        <v>45976</v>
      </c>
      <c r="B880" s="25" t="s">
        <v>16</v>
      </c>
      <c r="C880" s="98"/>
      <c r="D880" s="99"/>
      <c r="E880" s="87">
        <f t="shared" si="122"/>
        <v>-17325</v>
      </c>
      <c r="G880" s="64"/>
      <c r="H880" s="63"/>
      <c r="I880" s="27"/>
      <c r="J880" s="28"/>
      <c r="K880" s="43"/>
      <c r="L880" s="29">
        <f t="shared" si="124"/>
        <v>-2160</v>
      </c>
      <c r="M880" s="29">
        <f t="shared" si="125"/>
        <v>8</v>
      </c>
      <c r="N880" s="29"/>
      <c r="O880" s="29"/>
    </row>
    <row r="881" spans="1:15" s="12" customFormat="1">
      <c r="A881" s="95">
        <v>45977</v>
      </c>
      <c r="B881" s="25" t="s">
        <v>17</v>
      </c>
      <c r="C881" s="98"/>
      <c r="D881" s="99"/>
      <c r="E881" s="87">
        <f t="shared" si="122"/>
        <v>-17325</v>
      </c>
      <c r="G881" s="64"/>
      <c r="H881" s="63"/>
      <c r="I881" s="27"/>
      <c r="J881" s="28"/>
      <c r="K881" s="43"/>
      <c r="L881" s="29">
        <f t="shared" si="124"/>
        <v>-2160</v>
      </c>
      <c r="M881" s="29">
        <f t="shared" si="125"/>
        <v>8</v>
      </c>
      <c r="N881" s="29"/>
      <c r="O881" s="29"/>
    </row>
    <row r="882" spans="1:15">
      <c r="A882" s="96">
        <v>45978</v>
      </c>
      <c r="B882" s="17" t="s">
        <v>18</v>
      </c>
      <c r="C882" s="101">
        <v>64</v>
      </c>
      <c r="D882" s="100"/>
      <c r="E882" s="22">
        <f t="shared" si="122"/>
        <v>-17389</v>
      </c>
      <c r="G882" s="19">
        <v>56</v>
      </c>
      <c r="H882" s="62">
        <f t="shared" si="123"/>
        <v>64</v>
      </c>
      <c r="I882" s="20"/>
      <c r="J882" s="21"/>
      <c r="K882" s="42"/>
      <c r="L882" s="23">
        <f t="shared" si="124"/>
        <v>-2216</v>
      </c>
      <c r="M882" s="23">
        <f t="shared" si="125"/>
        <v>16</v>
      </c>
      <c r="N882" s="23"/>
      <c r="O882" s="23"/>
    </row>
    <row r="883" spans="1:15">
      <c r="A883" s="96">
        <v>45979</v>
      </c>
      <c r="B883" s="17" t="s">
        <v>19</v>
      </c>
      <c r="C883" s="101">
        <v>64</v>
      </c>
      <c r="D883" s="100"/>
      <c r="E883" s="22">
        <f t="shared" si="122"/>
        <v>-17453</v>
      </c>
      <c r="G883" s="19">
        <v>64</v>
      </c>
      <c r="H883" s="62">
        <f t="shared" si="123"/>
        <v>56</v>
      </c>
      <c r="I883" s="20"/>
      <c r="J883" s="21"/>
      <c r="K883" s="42"/>
      <c r="L883" s="23">
        <f t="shared" si="124"/>
        <v>-2280</v>
      </c>
      <c r="M883" s="23">
        <f t="shared" si="125"/>
        <v>8</v>
      </c>
      <c r="N883" s="23"/>
      <c r="O883" s="23"/>
    </row>
    <row r="884" spans="1:15">
      <c r="A884" s="96">
        <v>45980</v>
      </c>
      <c r="B884" s="17" t="s">
        <v>20</v>
      </c>
      <c r="C884" s="101">
        <v>56</v>
      </c>
      <c r="D884" s="100"/>
      <c r="E884" s="22">
        <f t="shared" si="122"/>
        <v>-17509</v>
      </c>
      <c r="G884" s="19">
        <v>56</v>
      </c>
      <c r="H884" s="62">
        <f t="shared" si="123"/>
        <v>64</v>
      </c>
      <c r="I884" s="20"/>
      <c r="J884" s="21"/>
      <c r="K884" s="42"/>
      <c r="L884" s="23">
        <f t="shared" si="124"/>
        <v>-2336</v>
      </c>
      <c r="M884" s="23">
        <f t="shared" si="125"/>
        <v>16</v>
      </c>
      <c r="N884" s="23"/>
      <c r="O884" s="23"/>
    </row>
    <row r="885" spans="1:15">
      <c r="A885" s="96">
        <v>45981</v>
      </c>
      <c r="B885" s="17" t="s">
        <v>14</v>
      </c>
      <c r="C885" s="101">
        <v>56</v>
      </c>
      <c r="D885" s="100"/>
      <c r="E885" s="22">
        <f t="shared" si="122"/>
        <v>-17565</v>
      </c>
      <c r="G885" s="19">
        <v>80</v>
      </c>
      <c r="H885" s="62">
        <f t="shared" si="123"/>
        <v>64</v>
      </c>
      <c r="I885" s="20"/>
      <c r="J885" s="21"/>
      <c r="K885" s="42"/>
      <c r="L885" s="23">
        <f t="shared" si="124"/>
        <v>-2416</v>
      </c>
      <c r="M885" s="23">
        <f t="shared" si="125"/>
        <v>0</v>
      </c>
      <c r="N885" s="23"/>
      <c r="O885" s="23"/>
    </row>
    <row r="886" spans="1:15">
      <c r="A886" s="96">
        <v>45982</v>
      </c>
      <c r="B886" s="17" t="s">
        <v>15</v>
      </c>
      <c r="C886" s="101">
        <v>56</v>
      </c>
      <c r="D886" s="100"/>
      <c r="E886" s="22">
        <f t="shared" si="122"/>
        <v>-17621</v>
      </c>
      <c r="G886" s="19">
        <v>0</v>
      </c>
      <c r="H886" s="62">
        <f t="shared" si="123"/>
        <v>56</v>
      </c>
      <c r="I886" s="20"/>
      <c r="J886" s="21"/>
      <c r="K886" s="42"/>
      <c r="L886" s="23">
        <f t="shared" si="124"/>
        <v>-2416</v>
      </c>
      <c r="M886" s="23">
        <f t="shared" si="125"/>
        <v>56</v>
      </c>
      <c r="N886" s="23"/>
      <c r="O886" s="23"/>
    </row>
    <row r="887" spans="1:15" s="12" customFormat="1">
      <c r="A887" s="95">
        <v>45983</v>
      </c>
      <c r="B887" s="25" t="s">
        <v>16</v>
      </c>
      <c r="C887" s="98"/>
      <c r="D887" s="99"/>
      <c r="E887" s="87">
        <f t="shared" si="122"/>
        <v>-17621</v>
      </c>
      <c r="G887" s="64"/>
      <c r="H887" s="63"/>
      <c r="I887" s="27"/>
      <c r="J887" s="28"/>
      <c r="K887" s="43"/>
      <c r="L887" s="29">
        <f t="shared" si="124"/>
        <v>-2416</v>
      </c>
      <c r="M887" s="29">
        <f t="shared" si="125"/>
        <v>56</v>
      </c>
      <c r="N887" s="29"/>
      <c r="O887" s="29"/>
    </row>
    <row r="888" spans="1:15" s="12" customFormat="1">
      <c r="A888" s="95">
        <v>45984</v>
      </c>
      <c r="B888" s="25" t="s">
        <v>17</v>
      </c>
      <c r="C888" s="98"/>
      <c r="D888" s="99"/>
      <c r="E888" s="87">
        <f t="shared" si="122"/>
        <v>-17621</v>
      </c>
      <c r="G888" s="64"/>
      <c r="H888" s="63"/>
      <c r="I888" s="27"/>
      <c r="J888" s="28"/>
      <c r="K888" s="43"/>
      <c r="L888" s="29">
        <f t="shared" si="124"/>
        <v>-2416</v>
      </c>
      <c r="M888" s="29">
        <f t="shared" si="125"/>
        <v>56</v>
      </c>
      <c r="N888" s="29"/>
      <c r="O888" s="29"/>
    </row>
    <row r="889" spans="1:15">
      <c r="A889" s="96">
        <v>45985</v>
      </c>
      <c r="B889" s="17" t="s">
        <v>18</v>
      </c>
      <c r="C889" s="101">
        <v>56</v>
      </c>
      <c r="D889" s="100"/>
      <c r="E889" s="22">
        <f t="shared" si="122"/>
        <v>-17677</v>
      </c>
      <c r="G889" s="19">
        <v>40</v>
      </c>
      <c r="H889" s="62">
        <f t="shared" si="123"/>
        <v>56</v>
      </c>
      <c r="I889" s="20"/>
      <c r="J889" s="21"/>
      <c r="K889" s="42"/>
      <c r="L889" s="23">
        <f t="shared" si="124"/>
        <v>-2456</v>
      </c>
      <c r="M889" s="23">
        <f t="shared" si="125"/>
        <v>72</v>
      </c>
      <c r="N889" s="23"/>
      <c r="O889" s="23"/>
    </row>
    <row r="890" spans="1:15">
      <c r="A890" s="96">
        <v>45986</v>
      </c>
      <c r="B890" s="17" t="s">
        <v>19</v>
      </c>
      <c r="C890" s="101">
        <v>56</v>
      </c>
      <c r="D890" s="100"/>
      <c r="E890" s="22">
        <f t="shared" si="122"/>
        <v>-17733</v>
      </c>
      <c r="G890" s="19">
        <v>56</v>
      </c>
      <c r="H890" s="62">
        <f t="shared" si="123"/>
        <v>56</v>
      </c>
      <c r="I890" s="20"/>
      <c r="J890" s="21"/>
      <c r="K890" s="42"/>
      <c r="L890" s="23">
        <f t="shared" si="124"/>
        <v>-2512</v>
      </c>
      <c r="M890" s="23">
        <f t="shared" si="125"/>
        <v>72</v>
      </c>
      <c r="N890" s="23"/>
      <c r="O890" s="23"/>
    </row>
    <row r="891" spans="1:15">
      <c r="A891" s="96">
        <v>45987</v>
      </c>
      <c r="B891" s="17" t="s">
        <v>20</v>
      </c>
      <c r="C891" s="101">
        <v>56</v>
      </c>
      <c r="D891" s="100"/>
      <c r="E891" s="22">
        <f t="shared" si="122"/>
        <v>-17789</v>
      </c>
      <c r="G891" s="19">
        <v>56</v>
      </c>
      <c r="H891" s="62">
        <f t="shared" si="123"/>
        <v>56</v>
      </c>
      <c r="I891" s="20"/>
      <c r="J891" s="21"/>
      <c r="K891" s="42"/>
      <c r="L891" s="23">
        <f t="shared" si="124"/>
        <v>-2568</v>
      </c>
      <c r="M891" s="23">
        <f t="shared" si="125"/>
        <v>72</v>
      </c>
      <c r="N891" s="23"/>
      <c r="O891" s="23"/>
    </row>
    <row r="892" spans="1:15">
      <c r="A892" s="96">
        <v>45988</v>
      </c>
      <c r="B892" s="17" t="s">
        <v>14</v>
      </c>
      <c r="C892" s="101">
        <v>56</v>
      </c>
      <c r="D892" s="100"/>
      <c r="E892" s="22">
        <f t="shared" si="122"/>
        <v>-17845</v>
      </c>
      <c r="G892" s="19">
        <v>56</v>
      </c>
      <c r="H892" s="62">
        <f t="shared" si="123"/>
        <v>56</v>
      </c>
      <c r="I892" s="20"/>
      <c r="J892" s="21"/>
      <c r="K892" s="42"/>
      <c r="L892" s="23">
        <f t="shared" si="124"/>
        <v>-2624</v>
      </c>
      <c r="M892" s="23">
        <f t="shared" si="125"/>
        <v>72</v>
      </c>
      <c r="N892" s="23"/>
      <c r="O892" s="23"/>
    </row>
    <row r="893" spans="1:15">
      <c r="A893" s="96">
        <v>45989</v>
      </c>
      <c r="B893" s="17" t="s">
        <v>15</v>
      </c>
      <c r="C893" s="101">
        <v>56</v>
      </c>
      <c r="D893" s="100"/>
      <c r="E893" s="22">
        <f t="shared" si="122"/>
        <v>-17901</v>
      </c>
      <c r="G893" s="19">
        <v>0</v>
      </c>
      <c r="H893" s="62">
        <f t="shared" si="123"/>
        <v>56</v>
      </c>
      <c r="I893" s="20"/>
      <c r="J893" s="21"/>
      <c r="K893" s="42"/>
      <c r="L893" s="23">
        <f t="shared" si="124"/>
        <v>-2624</v>
      </c>
      <c r="M893" s="23">
        <f t="shared" si="125"/>
        <v>128</v>
      </c>
      <c r="N893" s="23"/>
      <c r="O893" s="23"/>
    </row>
    <row r="894" spans="1:15" s="12" customFormat="1">
      <c r="A894" s="95">
        <v>45990</v>
      </c>
      <c r="B894" s="25" t="s">
        <v>16</v>
      </c>
      <c r="C894" s="98"/>
      <c r="D894" s="99"/>
      <c r="E894" s="87">
        <f t="shared" si="122"/>
        <v>-17901</v>
      </c>
      <c r="G894" s="64"/>
      <c r="H894" s="63"/>
      <c r="I894" s="27"/>
      <c r="J894" s="28"/>
      <c r="K894" s="43"/>
      <c r="L894" s="29">
        <f t="shared" si="124"/>
        <v>-2624</v>
      </c>
      <c r="M894" s="29">
        <f t="shared" si="125"/>
        <v>128</v>
      </c>
      <c r="N894" s="29"/>
      <c r="O894" s="29"/>
    </row>
    <row r="895" spans="1:15" s="12" customFormat="1">
      <c r="A895" s="95">
        <v>45991</v>
      </c>
      <c r="B895" s="25" t="s">
        <v>17</v>
      </c>
      <c r="C895" s="98"/>
      <c r="D895" s="99"/>
      <c r="E895" s="87">
        <f t="shared" si="122"/>
        <v>-17901</v>
      </c>
      <c r="G895" s="64"/>
      <c r="H895" s="63"/>
      <c r="I895" s="27"/>
      <c r="J895" s="28"/>
      <c r="K895" s="43"/>
      <c r="L895" s="29">
        <f t="shared" si="124"/>
        <v>-2624</v>
      </c>
      <c r="M895" s="29">
        <f t="shared" si="125"/>
        <v>128</v>
      </c>
      <c r="N895" s="29"/>
      <c r="O895" s="29"/>
    </row>
    <row r="896" spans="1:15">
      <c r="A896" s="96">
        <v>45992</v>
      </c>
      <c r="B896" s="17" t="s">
        <v>18</v>
      </c>
      <c r="C896" s="101">
        <v>56</v>
      </c>
      <c r="D896" s="100"/>
      <c r="E896" s="22">
        <f t="shared" si="122"/>
        <v>-17957</v>
      </c>
      <c r="G896" s="19"/>
      <c r="H896" s="62">
        <f t="shared" si="123"/>
        <v>56</v>
      </c>
      <c r="I896" s="20"/>
      <c r="J896" s="21"/>
      <c r="K896" s="42"/>
      <c r="L896" s="23">
        <f t="shared" si="124"/>
        <v>-2624</v>
      </c>
      <c r="M896" s="23">
        <f t="shared" si="125"/>
        <v>184</v>
      </c>
      <c r="N896" s="23"/>
      <c r="O896" s="23"/>
    </row>
    <row r="897" spans="1:15">
      <c r="A897" s="96">
        <v>45993</v>
      </c>
      <c r="B897" s="17" t="s">
        <v>19</v>
      </c>
      <c r="C897" s="101">
        <v>56</v>
      </c>
      <c r="D897" s="100"/>
      <c r="E897" s="22">
        <f t="shared" si="122"/>
        <v>-18013</v>
      </c>
      <c r="G897" s="19"/>
      <c r="H897" s="62">
        <f t="shared" si="123"/>
        <v>56</v>
      </c>
      <c r="I897" s="20"/>
      <c r="J897" s="21"/>
      <c r="K897" s="42"/>
      <c r="L897" s="23">
        <f t="shared" si="124"/>
        <v>-2624</v>
      </c>
      <c r="M897" s="23">
        <f t="shared" si="125"/>
        <v>240</v>
      </c>
      <c r="N897" s="23"/>
      <c r="O897" s="23"/>
    </row>
    <row r="898" spans="1:15">
      <c r="A898" s="96">
        <v>45994</v>
      </c>
      <c r="B898" s="17" t="s">
        <v>20</v>
      </c>
      <c r="C898" s="101">
        <v>56</v>
      </c>
      <c r="D898" s="100"/>
      <c r="E898" s="22">
        <f t="shared" si="122"/>
        <v>-18069</v>
      </c>
      <c r="G898" s="19"/>
      <c r="H898" s="62">
        <f t="shared" si="123"/>
        <v>56</v>
      </c>
      <c r="I898" s="20"/>
      <c r="J898" s="21"/>
      <c r="K898" s="42"/>
      <c r="L898" s="23">
        <f t="shared" si="124"/>
        <v>-2624</v>
      </c>
      <c r="M898" s="23">
        <f t="shared" si="125"/>
        <v>296</v>
      </c>
      <c r="N898" s="23"/>
      <c r="O898" s="23"/>
    </row>
    <row r="899" spans="1:15">
      <c r="A899" s="96">
        <v>45995</v>
      </c>
      <c r="B899" s="17" t="s">
        <v>14</v>
      </c>
      <c r="C899" s="101">
        <v>56</v>
      </c>
      <c r="D899" s="100"/>
      <c r="E899" s="22">
        <f t="shared" si="122"/>
        <v>-18125</v>
      </c>
      <c r="G899" s="19"/>
      <c r="H899" s="62">
        <f t="shared" si="123"/>
        <v>56</v>
      </c>
      <c r="I899" s="20"/>
      <c r="J899" s="21"/>
      <c r="K899" s="42"/>
      <c r="L899" s="23">
        <f t="shared" si="124"/>
        <v>-2624</v>
      </c>
      <c r="M899" s="23">
        <f t="shared" si="125"/>
        <v>352</v>
      </c>
      <c r="N899" s="23"/>
      <c r="O899" s="23"/>
    </row>
    <row r="900" spans="1:15">
      <c r="A900" s="96">
        <v>45996</v>
      </c>
      <c r="B900" s="17" t="s">
        <v>15</v>
      </c>
      <c r="C900" s="101">
        <v>56</v>
      </c>
      <c r="D900" s="100"/>
      <c r="E900" s="22">
        <f t="shared" si="122"/>
        <v>-18181</v>
      </c>
      <c r="G900" s="19"/>
      <c r="H900" s="62">
        <f t="shared" si="123"/>
        <v>56</v>
      </c>
      <c r="I900" s="20"/>
      <c r="J900" s="21"/>
      <c r="K900" s="42"/>
      <c r="L900" s="23">
        <f t="shared" si="124"/>
        <v>-2624</v>
      </c>
      <c r="M900" s="23">
        <f t="shared" si="125"/>
        <v>408</v>
      </c>
      <c r="N900" s="23"/>
      <c r="O900" s="23"/>
    </row>
    <row r="901" spans="1:15" s="12" customFormat="1">
      <c r="A901" s="95">
        <v>45997</v>
      </c>
      <c r="B901" s="25" t="s">
        <v>16</v>
      </c>
      <c r="C901" s="98"/>
      <c r="D901" s="99"/>
      <c r="E901" s="87">
        <f t="shared" si="122"/>
        <v>-18181</v>
      </c>
      <c r="G901" s="64"/>
      <c r="H901" s="63">
        <f t="shared" si="123"/>
        <v>56</v>
      </c>
      <c r="I901" s="27"/>
      <c r="J901" s="28"/>
      <c r="K901" s="43"/>
      <c r="L901" s="29">
        <f t="shared" si="124"/>
        <v>-2624</v>
      </c>
      <c r="M901" s="29">
        <f t="shared" si="125"/>
        <v>464</v>
      </c>
      <c r="N901" s="29"/>
      <c r="O901" s="29"/>
    </row>
    <row r="902" spans="1:15">
      <c r="A902" s="96"/>
      <c r="B902" s="17"/>
      <c r="C902" s="101"/>
      <c r="D902" s="100"/>
      <c r="E902" s="22"/>
      <c r="G902" s="19"/>
      <c r="H902" s="62"/>
      <c r="I902" s="20"/>
      <c r="J902" s="21"/>
      <c r="K902" s="42"/>
      <c r="L902" s="23"/>
      <c r="M902" s="23"/>
      <c r="N902" s="23"/>
      <c r="O902" s="23"/>
    </row>
    <row r="904" spans="1:15">
      <c r="D904" s="1" t="s">
        <v>48</v>
      </c>
    </row>
    <row r="905" spans="1:15">
      <c r="A905" s="2" t="s">
        <v>44</v>
      </c>
      <c r="B905" s="1">
        <v>22</v>
      </c>
      <c r="C905" s="208">
        <v>1056</v>
      </c>
      <c r="D905" s="210">
        <f t="shared" ref="D905:D911" si="126">C905/B905</f>
        <v>48</v>
      </c>
    </row>
    <row r="906" spans="1:15">
      <c r="A906" s="2" t="s">
        <v>45</v>
      </c>
      <c r="B906" s="1">
        <v>22</v>
      </c>
      <c r="C906" s="208">
        <v>1376</v>
      </c>
      <c r="D906" s="210">
        <f t="shared" si="126"/>
        <v>62.545454545454547</v>
      </c>
    </row>
    <row r="907" spans="1:15">
      <c r="A907" s="2" t="s">
        <v>46</v>
      </c>
      <c r="B907" s="1">
        <v>21</v>
      </c>
      <c r="C907" s="208">
        <v>1096</v>
      </c>
      <c r="D907" s="210">
        <f t="shared" si="126"/>
        <v>52.19047619047619</v>
      </c>
    </row>
    <row r="908" spans="1:15">
      <c r="A908" s="2" t="s">
        <v>47</v>
      </c>
      <c r="B908" s="1">
        <v>20</v>
      </c>
      <c r="C908" s="208">
        <v>968</v>
      </c>
      <c r="D908" s="210">
        <f t="shared" si="126"/>
        <v>48.4</v>
      </c>
    </row>
    <row r="909" spans="1:15">
      <c r="A909" s="2" t="s">
        <v>71</v>
      </c>
      <c r="B909" s="1">
        <v>20</v>
      </c>
      <c r="C909" s="208">
        <v>1232</v>
      </c>
      <c r="D909" s="210">
        <f t="shared" si="126"/>
        <v>61.6</v>
      </c>
    </row>
    <row r="910" spans="1:15">
      <c r="A910" s="2" t="s">
        <v>72</v>
      </c>
      <c r="B910" s="1">
        <v>21</v>
      </c>
      <c r="C910" s="208">
        <v>1176</v>
      </c>
      <c r="D910" s="210">
        <f t="shared" si="126"/>
        <v>56</v>
      </c>
    </row>
    <row r="911" spans="1:15">
      <c r="A911" s="2" t="s">
        <v>73</v>
      </c>
      <c r="B911" s="1">
        <v>22</v>
      </c>
      <c r="C911" s="208">
        <v>1312</v>
      </c>
      <c r="D911" s="210">
        <f t="shared" si="126"/>
        <v>59.636363636363633</v>
      </c>
    </row>
    <row r="912" spans="1:15">
      <c r="A912" s="2" t="s">
        <v>74</v>
      </c>
      <c r="B912" s="1">
        <v>19</v>
      </c>
      <c r="C912" s="208">
        <v>1176</v>
      </c>
      <c r="D912" s="210">
        <f t="shared" ref="D912:D914" si="127">C912/B912</f>
        <v>61.89473684210526</v>
      </c>
    </row>
    <row r="913" spans="1:4">
      <c r="A913" s="2" t="s">
        <v>75</v>
      </c>
      <c r="B913" s="1">
        <v>19</v>
      </c>
      <c r="C913" s="208">
        <v>968</v>
      </c>
      <c r="D913" s="210">
        <f t="shared" si="127"/>
        <v>50.94736842105263</v>
      </c>
    </row>
    <row r="914" spans="1:4">
      <c r="A914" s="2" t="s">
        <v>76</v>
      </c>
      <c r="B914" s="1">
        <v>21</v>
      </c>
      <c r="C914" s="208">
        <v>1200</v>
      </c>
      <c r="D914" s="210">
        <f t="shared" si="127"/>
        <v>57.142857142857146</v>
      </c>
    </row>
  </sheetData>
  <customSheetViews>
    <customSheetView guid="{0F97D042-C15F-481A-A24D-94F15C0648A1}" scale="85" hiddenRows="1">
      <pane xSplit="1" ySplit="697" topLeftCell="B715" activePane="bottomRight" state="frozenSplit"/>
      <selection pane="bottomRight" activeCell="K731" sqref="K731"/>
      <pageMargins left="0.7" right="0.7" top="0.75" bottom="0.75" header="0.3" footer="0.3"/>
      <pageSetup paperSize="9" orientation="portrait" r:id="rId1"/>
    </customSheetView>
    <customSheetView guid="{67AA7247-9969-44D1-A312-CE29558EF448}" scale="70" hiddenRows="1">
      <pane xSplit="2" ySplit="31" topLeftCell="C321" activePane="bottomRight" state="frozenSplit"/>
      <selection pane="bottomRight"/>
      <pageMargins left="0.7" right="0.7" top="0.75" bottom="0.75" header="0.3" footer="0.3"/>
      <pageSetup paperSize="9" orientation="portrait" r:id="rId2"/>
    </customSheetView>
    <customSheetView guid="{71D64ACB-0C5A-4845-B610-45B8D3A5CAD0}" scale="85" hiddenRows="1">
      <pane xSplit="2" ySplit="31" topLeftCell="C351" activePane="bottomRight" state="frozenSplit"/>
      <selection pane="bottomRight" activeCell="O354" sqref="O354"/>
      <pageMargins left="0.7" right="0.7" top="0.75" bottom="0.75" header="0.3" footer="0.3"/>
      <pageSetup paperSize="9" orientation="portrait" r:id="rId3"/>
    </customSheetView>
    <customSheetView guid="{48C6E8DD-1D04-4B0D-86CF-B8ECBCB979B9}" hiddenRows="1">
      <pane xSplit="2" ySplit="94" topLeftCell="C177" activePane="bottomRight" state="frozenSplit"/>
      <selection pane="bottomRight" activeCell="E187" sqref="E187"/>
      <pageMargins left="0.7" right="0.7" top="0.75" bottom="0.75" header="0.3" footer="0.3"/>
      <pageSetup paperSize="9" orientation="portrait" r:id="rId4"/>
    </customSheetView>
    <customSheetView guid="{7E11D236-C3AC-4177-91D6-AE97935356F8}" scale="85" hiddenRows="1">
      <pane xSplit="2" ySplit="31" topLeftCell="C351" activePane="bottomRight" state="frozenSplit"/>
      <selection pane="bottomRight" activeCell="O354" sqref="O354"/>
      <pageMargins left="0.7" right="0.7" top="0.75" bottom="0.75" header="0.3" footer="0.3"/>
      <pageSetup paperSize="9" orientation="portrait" r:id="rId5"/>
    </customSheetView>
    <customSheetView guid="{DF7FFCE6-325C-4337-ACE2-63AB5F5E5D7C}" scale="85" hiddenRows="1">
      <pane xSplit="1" ySplit="31" topLeftCell="C682" activePane="bottomRight" state="frozenSplit"/>
      <selection pane="bottomRight" activeCell="K695" sqref="K695"/>
      <pageMargins left="0.7" right="0.7" top="0.75" bottom="0.75" header="0.3" footer="0.3"/>
      <pageSetup paperSize="9" orientation="portrait" r:id="rId6"/>
    </customSheetView>
    <customSheetView guid="{0F0ED987-057D-4D51-B464-C7C0C85EB14F}" scale="85" hiddenRows="1">
      <pane xSplit="2" ySplit="395" topLeftCell="C751" activePane="bottomRight" state="frozenSplit"/>
      <selection pane="bottomRight" activeCell="W765" sqref="W765"/>
      <pageMargins left="0.7" right="0.7" top="0.75" bottom="0.75" header="0.3" footer="0.3"/>
      <pageSetup paperSize="9" orientation="portrait" r:id="rId7"/>
    </customSheetView>
    <customSheetView guid="{D886DC16-62E0-4EAA-A787-2FA2A24DFCFE}" scale="85" hiddenRows="1">
      <pane xSplit="1" ySplit="697" topLeftCell="B798" activePane="bottomRight" state="frozenSplit"/>
      <selection pane="bottomRight" activeCell="S825" sqref="S825"/>
      <pageMargins left="0.7" right="0.7" top="0.75" bottom="0.75" header="0.3" footer="0.3"/>
      <pageSetup paperSize="9" orientation="portrait" r:id="rId8"/>
    </customSheetView>
    <customSheetView guid="{811078A9-B23B-425F-A62A-22C4D8EF8733}" scale="85" hiddenRows="1">
      <pane xSplit="1" ySplit="31" topLeftCell="B661" activePane="bottomRight" state="frozenSplit"/>
      <selection pane="bottomRight" activeCell="H689" sqref="H689:H748"/>
      <pageMargins left="0.7" right="0.7" top="0.75" bottom="0.75" header="0.3" footer="0.3"/>
      <pageSetup paperSize="9" orientation="portrait" r:id="rId9"/>
    </customSheetView>
    <customSheetView guid="{7F9E5EBC-BEB4-4E3F-8F40-CA3D4F534F5B}" scale="85" hiddenRows="1">
      <selection activeCell="H827" sqref="H827"/>
      <pageMargins left="0.7" right="0.7" top="0.75" bottom="0.75" header="0.3" footer="0.3"/>
      <pageSetup paperSize="9" orientation="portrait" r:id="rId10"/>
    </customSheetView>
  </customSheetViews>
  <mergeCells count="1">
    <mergeCell ref="I2:J2"/>
  </mergeCells>
  <phoneticPr fontId="1"/>
  <pageMargins left="0.7" right="0.7" top="0.75" bottom="0.75" header="0.3" footer="0.3"/>
  <pageSetup paperSize="9" orientation="portrait" r:id="rId11"/>
  <drawing r:id="rId12"/>
  <legacy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B58ED-6C78-4BCA-B6AC-AC75374D8A13}">
  <sheetPr codeName="Sheet137"/>
  <dimension ref="A1:Z914"/>
  <sheetViews>
    <sheetView zoomScale="85" zoomScaleNormal="85" workbookViewId="0">
      <pane xSplit="2" ySplit="818" topLeftCell="C819" activePane="bottomRight" state="frozenSplit"/>
      <selection pane="topRight" activeCell="C1" sqref="C1"/>
      <selection pane="bottomLeft" activeCell="A819" sqref="A819"/>
      <selection pane="bottomRight" activeCell="H829" sqref="H829"/>
    </sheetView>
  </sheetViews>
  <sheetFormatPr defaultColWidth="9" defaultRowHeight="18.75" outlineLevelRow="1"/>
  <cols>
    <col min="1" max="1" width="11.875" style="2" customWidth="1"/>
    <col min="2" max="2" width="3.375" style="1" bestFit="1" customWidth="1"/>
    <col min="3" max="5" width="9" style="1"/>
    <col min="6" max="6" width="3.25" style="1" customWidth="1"/>
    <col min="7" max="7" width="10.25" customWidth="1"/>
    <col min="8" max="8" width="13.125" customWidth="1"/>
    <col min="9" max="10" width="4.875" customWidth="1"/>
    <col min="11" max="11" width="10.25" customWidth="1"/>
    <col min="12" max="13" width="10.5" customWidth="1"/>
    <col min="14" max="14" width="2.375" customWidth="1"/>
    <col min="15" max="15" width="7.375" style="1" customWidth="1"/>
    <col min="16" max="16" width="2.5" style="1" customWidth="1"/>
    <col min="17" max="18" width="9" style="1"/>
    <col min="19" max="19" width="9.25" style="1" bestFit="1" customWidth="1"/>
    <col min="20" max="16384" width="9" style="1"/>
  </cols>
  <sheetData>
    <row r="1" spans="1:19" ht="26.25" thickBot="1">
      <c r="A1" s="3" t="s">
        <v>7</v>
      </c>
      <c r="E1" s="1">
        <v>3304</v>
      </c>
      <c r="G1" s="217" t="s">
        <v>60</v>
      </c>
      <c r="Q1" s="1" t="s">
        <v>57</v>
      </c>
    </row>
    <row r="2" spans="1:19" ht="55.5" customHeight="1" thickTop="1">
      <c r="A2" s="13" t="s">
        <v>61</v>
      </c>
      <c r="B2" s="4"/>
      <c r="C2" s="67" t="s">
        <v>0</v>
      </c>
      <c r="D2" s="73" t="s">
        <v>1</v>
      </c>
      <c r="E2" s="70" t="s">
        <v>2</v>
      </c>
      <c r="F2" s="30"/>
      <c r="G2" s="36" t="s">
        <v>11</v>
      </c>
      <c r="H2" s="37" t="s">
        <v>13</v>
      </c>
      <c r="I2" s="321" t="s">
        <v>10</v>
      </c>
      <c r="J2" s="322"/>
      <c r="K2" s="38" t="s">
        <v>12</v>
      </c>
      <c r="L2" s="38" t="s">
        <v>9</v>
      </c>
      <c r="M2" s="38" t="s">
        <v>21</v>
      </c>
      <c r="O2" s="39" t="s">
        <v>8</v>
      </c>
    </row>
    <row r="3" spans="1:19" hidden="1" outlineLevel="1">
      <c r="A3" s="16">
        <v>45099</v>
      </c>
      <c r="B3" s="40" t="s">
        <v>14</v>
      </c>
      <c r="C3" s="94">
        <v>64</v>
      </c>
      <c r="D3" s="74">
        <v>72</v>
      </c>
      <c r="E3" s="71">
        <f>D3-C3</f>
        <v>8</v>
      </c>
      <c r="F3" s="2"/>
      <c r="G3" s="19">
        <v>56</v>
      </c>
      <c r="H3" s="62"/>
      <c r="I3" s="20"/>
      <c r="J3" s="21"/>
      <c r="K3" s="57">
        <v>64</v>
      </c>
      <c r="L3" s="23">
        <v>-312</v>
      </c>
      <c r="M3" s="23">
        <f>L3</f>
        <v>-312</v>
      </c>
      <c r="O3" s="23">
        <v>8</v>
      </c>
    </row>
    <row r="4" spans="1:19" hidden="1" outlineLevel="1">
      <c r="A4" s="16">
        <v>45100</v>
      </c>
      <c r="B4" s="40" t="s">
        <v>15</v>
      </c>
      <c r="C4" s="94">
        <v>72</v>
      </c>
      <c r="D4" s="74">
        <v>96</v>
      </c>
      <c r="E4" s="71">
        <f>D4-C4+E3</f>
        <v>32</v>
      </c>
      <c r="F4" s="2"/>
      <c r="G4" s="19">
        <v>80</v>
      </c>
      <c r="H4" s="62">
        <v>72</v>
      </c>
      <c r="I4" s="20"/>
      <c r="J4" s="21"/>
      <c r="K4" s="57">
        <v>72</v>
      </c>
      <c r="L4" s="23">
        <f t="shared" ref="L4:L35" si="0">L3-G4+K4</f>
        <v>-320</v>
      </c>
      <c r="M4" s="23">
        <f t="shared" ref="M4:M67" si="1">M3-G4+H4</f>
        <v>-320</v>
      </c>
      <c r="O4" s="23">
        <v>6</v>
      </c>
    </row>
    <row r="5" spans="1:19" s="12" customFormat="1" hidden="1" outlineLevel="1">
      <c r="A5" s="24">
        <v>45101</v>
      </c>
      <c r="B5" s="41" t="s">
        <v>16</v>
      </c>
      <c r="C5" s="80">
        <v>0</v>
      </c>
      <c r="D5" s="75"/>
      <c r="E5" s="72">
        <f t="shared" ref="E5:E68" si="2">D5-C5+E4</f>
        <v>32</v>
      </c>
      <c r="F5" s="10"/>
      <c r="G5" s="64">
        <v>0</v>
      </c>
      <c r="H5" s="63"/>
      <c r="I5" s="27"/>
      <c r="J5" s="28"/>
      <c r="K5" s="57"/>
      <c r="L5" s="29">
        <f t="shared" si="0"/>
        <v>-320</v>
      </c>
      <c r="M5" s="29">
        <f t="shared" si="1"/>
        <v>-320</v>
      </c>
      <c r="N5" s="11"/>
      <c r="O5" s="29"/>
    </row>
    <row r="6" spans="1:19" s="12" customFormat="1" hidden="1" outlineLevel="1">
      <c r="A6" s="24">
        <v>45102</v>
      </c>
      <c r="B6" s="41" t="s">
        <v>17</v>
      </c>
      <c r="C6" s="80">
        <v>0</v>
      </c>
      <c r="D6" s="75"/>
      <c r="E6" s="72">
        <f t="shared" si="2"/>
        <v>32</v>
      </c>
      <c r="F6" s="10"/>
      <c r="G6" s="64">
        <v>0</v>
      </c>
      <c r="H6" s="63"/>
      <c r="I6" s="27"/>
      <c r="J6" s="28"/>
      <c r="K6" s="57"/>
      <c r="L6" s="29">
        <f t="shared" si="0"/>
        <v>-320</v>
      </c>
      <c r="M6" s="29">
        <f t="shared" si="1"/>
        <v>-320</v>
      </c>
      <c r="N6" s="11"/>
      <c r="O6" s="29"/>
    </row>
    <row r="7" spans="1:19" hidden="1" outlineLevel="1">
      <c r="A7" s="16">
        <v>45103</v>
      </c>
      <c r="B7" s="40" t="s">
        <v>18</v>
      </c>
      <c r="C7" s="94">
        <v>80</v>
      </c>
      <c r="D7" s="74">
        <v>88</v>
      </c>
      <c r="E7" s="71">
        <f t="shared" si="2"/>
        <v>40</v>
      </c>
      <c r="F7" s="2"/>
      <c r="G7" s="19">
        <v>72</v>
      </c>
      <c r="H7" s="62">
        <f>C3+I7</f>
        <v>64</v>
      </c>
      <c r="I7" s="20"/>
      <c r="J7" s="21"/>
      <c r="K7" s="57">
        <v>64</v>
      </c>
      <c r="L7" s="23">
        <f t="shared" si="0"/>
        <v>-328</v>
      </c>
      <c r="M7" s="23">
        <f t="shared" si="1"/>
        <v>-328</v>
      </c>
      <c r="O7" s="23">
        <v>8</v>
      </c>
    </row>
    <row r="8" spans="1:19" hidden="1" outlineLevel="1">
      <c r="A8" s="16">
        <v>45104</v>
      </c>
      <c r="B8" s="40" t="s">
        <v>19</v>
      </c>
      <c r="C8" s="94">
        <v>72</v>
      </c>
      <c r="D8" s="74">
        <v>88</v>
      </c>
      <c r="E8" s="71">
        <f t="shared" si="2"/>
        <v>56</v>
      </c>
      <c r="F8" s="2"/>
      <c r="G8" s="19">
        <v>16</v>
      </c>
      <c r="H8" s="62">
        <f>C4+I8</f>
        <v>72</v>
      </c>
      <c r="I8" s="20"/>
      <c r="J8" s="21"/>
      <c r="K8" s="57">
        <v>72</v>
      </c>
      <c r="L8" s="23">
        <f t="shared" si="0"/>
        <v>-272</v>
      </c>
      <c r="M8" s="23">
        <f t="shared" si="1"/>
        <v>-272</v>
      </c>
      <c r="O8" s="23">
        <v>9</v>
      </c>
      <c r="S8" s="85">
        <f>IF(K8="","",SUM($D$3:D6)-SUM($K$5:K8))</f>
        <v>32</v>
      </c>
    </row>
    <row r="9" spans="1:19" hidden="1" outlineLevel="1">
      <c r="A9" s="16">
        <v>45105</v>
      </c>
      <c r="B9" s="40" t="s">
        <v>20</v>
      </c>
      <c r="C9" s="94">
        <v>80</v>
      </c>
      <c r="D9" s="74">
        <v>80</v>
      </c>
      <c r="E9" s="71">
        <f t="shared" si="2"/>
        <v>56</v>
      </c>
      <c r="F9" s="2"/>
      <c r="G9" s="19">
        <v>56</v>
      </c>
      <c r="H9" s="62">
        <f>C7+I9</f>
        <v>80</v>
      </c>
      <c r="I9" s="20"/>
      <c r="J9" s="21"/>
      <c r="K9" s="57">
        <v>80</v>
      </c>
      <c r="L9" s="23">
        <f t="shared" si="0"/>
        <v>-248</v>
      </c>
      <c r="M9" s="23">
        <f t="shared" si="1"/>
        <v>-248</v>
      </c>
      <c r="O9" s="23">
        <v>8</v>
      </c>
      <c r="S9" s="85">
        <f>IF(K9="","",SUM($D$3:D7)-SUM($K$5:K9))</f>
        <v>40</v>
      </c>
    </row>
    <row r="10" spans="1:19" hidden="1" outlineLevel="1">
      <c r="A10" s="16">
        <v>45106</v>
      </c>
      <c r="B10" s="40" t="s">
        <v>14</v>
      </c>
      <c r="C10" s="94">
        <v>72</v>
      </c>
      <c r="D10" s="74">
        <v>80</v>
      </c>
      <c r="E10" s="71">
        <f t="shared" si="2"/>
        <v>64</v>
      </c>
      <c r="F10" s="2"/>
      <c r="G10" s="19">
        <v>88</v>
      </c>
      <c r="H10" s="62">
        <v>128</v>
      </c>
      <c r="I10" s="20"/>
      <c r="J10" s="21"/>
      <c r="K10" s="57">
        <v>128</v>
      </c>
      <c r="L10" s="23">
        <f t="shared" si="0"/>
        <v>-208</v>
      </c>
      <c r="M10" s="23">
        <f t="shared" si="1"/>
        <v>-208</v>
      </c>
      <c r="O10" s="23">
        <v>9</v>
      </c>
      <c r="S10" s="85">
        <f>IF(K10="","",SUM($D$3:D8)-SUM($K$5:K10))</f>
        <v>0</v>
      </c>
    </row>
    <row r="11" spans="1:19" hidden="1" outlineLevel="1">
      <c r="A11" s="16">
        <v>45107</v>
      </c>
      <c r="B11" s="40" t="s">
        <v>15</v>
      </c>
      <c r="C11" s="94">
        <v>72</v>
      </c>
      <c r="D11" s="74">
        <v>88</v>
      </c>
      <c r="E11" s="71">
        <f t="shared" si="2"/>
        <v>80</v>
      </c>
      <c r="F11" s="2"/>
      <c r="G11" s="19">
        <v>56</v>
      </c>
      <c r="H11" s="62">
        <f>C9+I11</f>
        <v>80</v>
      </c>
      <c r="I11" s="20"/>
      <c r="J11" s="21"/>
      <c r="K11" s="57">
        <v>80</v>
      </c>
      <c r="L11" s="23">
        <f t="shared" si="0"/>
        <v>-184</v>
      </c>
      <c r="M11" s="23">
        <f t="shared" si="1"/>
        <v>-184</v>
      </c>
      <c r="O11" s="23">
        <v>10</v>
      </c>
      <c r="Q11" s="1">
        <f>SUM(G7:G11)/5</f>
        <v>57.6</v>
      </c>
      <c r="S11" s="85">
        <f>IF(K11="","",SUM($D$3:D9)-SUM($K$5:K11))</f>
        <v>0</v>
      </c>
    </row>
    <row r="12" spans="1:19" s="12" customFormat="1" hidden="1" outlineLevel="1">
      <c r="A12" s="24">
        <v>45108</v>
      </c>
      <c r="B12" s="41" t="s">
        <v>16</v>
      </c>
      <c r="C12" s="80">
        <v>0</v>
      </c>
      <c r="D12" s="75"/>
      <c r="E12" s="72">
        <f t="shared" si="2"/>
        <v>80</v>
      </c>
      <c r="F12" s="10"/>
      <c r="G12" s="64">
        <v>0</v>
      </c>
      <c r="H12" s="63"/>
      <c r="I12" s="27"/>
      <c r="J12" s="28"/>
      <c r="K12" s="57"/>
      <c r="L12" s="29">
        <f t="shared" si="0"/>
        <v>-184</v>
      </c>
      <c r="M12" s="29">
        <f t="shared" si="1"/>
        <v>-184</v>
      </c>
      <c r="N12" s="11"/>
      <c r="O12" s="29"/>
      <c r="S12" s="86" t="str">
        <f>IF(K12="","",SUM($D$3:D10)-SUM($K$5:K12))</f>
        <v/>
      </c>
    </row>
    <row r="13" spans="1:19" s="12" customFormat="1" hidden="1" outlineLevel="1">
      <c r="A13" s="24">
        <v>45109</v>
      </c>
      <c r="B13" s="41" t="s">
        <v>17</v>
      </c>
      <c r="C13" s="80">
        <v>0</v>
      </c>
      <c r="D13" s="75"/>
      <c r="E13" s="72">
        <f t="shared" si="2"/>
        <v>80</v>
      </c>
      <c r="F13" s="10"/>
      <c r="G13" s="64">
        <v>0</v>
      </c>
      <c r="H13" s="63"/>
      <c r="I13" s="27"/>
      <c r="J13" s="28"/>
      <c r="K13" s="57"/>
      <c r="L13" s="29">
        <f t="shared" si="0"/>
        <v>-184</v>
      </c>
      <c r="M13" s="29">
        <f t="shared" si="1"/>
        <v>-184</v>
      </c>
      <c r="N13" s="11"/>
      <c r="O13" s="29"/>
      <c r="S13" s="86" t="str">
        <f>IF(K13="","",SUM($D$3:D11)-SUM($K$5:K13))</f>
        <v/>
      </c>
    </row>
    <row r="14" spans="1:19" s="12" customFormat="1" hidden="1" outlineLevel="1">
      <c r="A14" s="24">
        <v>45110</v>
      </c>
      <c r="B14" s="41" t="s">
        <v>18</v>
      </c>
      <c r="C14" s="80">
        <v>80</v>
      </c>
      <c r="D14" s="76">
        <v>80</v>
      </c>
      <c r="E14" s="72">
        <f t="shared" si="2"/>
        <v>80</v>
      </c>
      <c r="F14" s="10"/>
      <c r="G14" s="64">
        <v>0</v>
      </c>
      <c r="H14" s="63">
        <f>C10+I14</f>
        <v>72</v>
      </c>
      <c r="I14" s="27"/>
      <c r="J14" s="28"/>
      <c r="K14" s="57">
        <v>72</v>
      </c>
      <c r="L14" s="29">
        <f t="shared" si="0"/>
        <v>-112</v>
      </c>
      <c r="M14" s="29">
        <f t="shared" si="1"/>
        <v>-112</v>
      </c>
      <c r="N14" s="11"/>
      <c r="O14" s="29">
        <v>8</v>
      </c>
      <c r="S14" s="86">
        <f>IF(K14="","",SUM($D$3:D12)-SUM($K$5:K14))</f>
        <v>96</v>
      </c>
    </row>
    <row r="15" spans="1:19" hidden="1" outlineLevel="1">
      <c r="A15" s="16">
        <v>45111</v>
      </c>
      <c r="B15" s="40" t="s">
        <v>19</v>
      </c>
      <c r="C15" s="94">
        <v>72</v>
      </c>
      <c r="D15" s="74">
        <v>80</v>
      </c>
      <c r="E15" s="71">
        <f t="shared" si="2"/>
        <v>88</v>
      </c>
      <c r="F15" s="2"/>
      <c r="G15" s="83">
        <v>88</v>
      </c>
      <c r="H15" s="62">
        <f>C11+I15</f>
        <v>72</v>
      </c>
      <c r="I15" s="20"/>
      <c r="J15" s="21"/>
      <c r="K15" s="57">
        <v>72</v>
      </c>
      <c r="L15" s="23">
        <f t="shared" si="0"/>
        <v>-128</v>
      </c>
      <c r="M15" s="23">
        <f t="shared" si="1"/>
        <v>-128</v>
      </c>
      <c r="O15" s="23">
        <v>8</v>
      </c>
      <c r="S15" s="85">
        <f>IF(K15="","",SUM($D$3:D13)-SUM($K$5:K15))</f>
        <v>24</v>
      </c>
    </row>
    <row r="16" spans="1:19" hidden="1" outlineLevel="1">
      <c r="A16" s="16">
        <v>45112</v>
      </c>
      <c r="B16" s="40" t="s">
        <v>20</v>
      </c>
      <c r="C16" s="94">
        <v>80</v>
      </c>
      <c r="D16" s="74">
        <v>88</v>
      </c>
      <c r="E16" s="71">
        <f t="shared" si="2"/>
        <v>96</v>
      </c>
      <c r="F16" s="2"/>
      <c r="G16" s="83">
        <v>40</v>
      </c>
      <c r="H16" s="62">
        <f>C14+I16</f>
        <v>80</v>
      </c>
      <c r="I16" s="20"/>
      <c r="J16" s="21"/>
      <c r="K16" s="57">
        <v>80</v>
      </c>
      <c r="L16" s="23">
        <f t="shared" si="0"/>
        <v>-88</v>
      </c>
      <c r="M16" s="23">
        <f t="shared" si="1"/>
        <v>-88</v>
      </c>
      <c r="O16" s="23">
        <v>10</v>
      </c>
      <c r="P16" s="1">
        <v>32</v>
      </c>
      <c r="Q16" s="1" t="s">
        <v>22</v>
      </c>
      <c r="S16" s="85">
        <f>IF(K16="","",SUM($D$3:D14)-SUM($K$5:K16))</f>
        <v>24</v>
      </c>
    </row>
    <row r="17" spans="1:19" hidden="1" outlineLevel="1">
      <c r="A17" s="16">
        <v>45113</v>
      </c>
      <c r="B17" s="40" t="s">
        <v>14</v>
      </c>
      <c r="C17" s="94">
        <v>72</v>
      </c>
      <c r="D17" s="74">
        <v>88</v>
      </c>
      <c r="E17" s="71">
        <f t="shared" si="2"/>
        <v>112</v>
      </c>
      <c r="F17" s="2"/>
      <c r="G17" s="83">
        <v>24</v>
      </c>
      <c r="H17" s="62">
        <f>C15+I17</f>
        <v>72</v>
      </c>
      <c r="I17" s="20"/>
      <c r="J17" s="21"/>
      <c r="K17" s="57">
        <v>72</v>
      </c>
      <c r="L17" s="23">
        <f t="shared" si="0"/>
        <v>-40</v>
      </c>
      <c r="M17" s="23">
        <f t="shared" si="1"/>
        <v>-40</v>
      </c>
      <c r="O17" s="23">
        <v>0</v>
      </c>
      <c r="S17" s="85">
        <f>IF(K17="","",SUM($D$3:D15)-SUM($K$5:K17))</f>
        <v>32</v>
      </c>
    </row>
    <row r="18" spans="1:19" hidden="1" outlineLevel="1">
      <c r="A18" s="16">
        <v>45114</v>
      </c>
      <c r="B18" s="40" t="s">
        <v>15</v>
      </c>
      <c r="C18" s="94">
        <v>72</v>
      </c>
      <c r="D18" s="74">
        <v>80</v>
      </c>
      <c r="E18" s="71">
        <f t="shared" si="2"/>
        <v>120</v>
      </c>
      <c r="F18" s="2"/>
      <c r="G18" s="83">
        <v>80</v>
      </c>
      <c r="H18" s="62">
        <f>C16+I18</f>
        <v>80</v>
      </c>
      <c r="I18" s="20"/>
      <c r="J18" s="21"/>
      <c r="K18" s="57">
        <v>80</v>
      </c>
      <c r="L18" s="23">
        <f t="shared" si="0"/>
        <v>-40</v>
      </c>
      <c r="M18" s="23">
        <f t="shared" si="1"/>
        <v>-40</v>
      </c>
      <c r="O18" s="23">
        <v>15</v>
      </c>
      <c r="Q18" s="1">
        <f>SUM(G15:G18)/4</f>
        <v>58</v>
      </c>
      <c r="S18" s="85">
        <f>IF(K18="","",SUM($D$3:D16)-SUM($K$5:K18))</f>
        <v>40</v>
      </c>
    </row>
    <row r="19" spans="1:19" s="12" customFormat="1" hidden="1" outlineLevel="1">
      <c r="A19" s="24">
        <v>45115</v>
      </c>
      <c r="B19" s="41" t="s">
        <v>16</v>
      </c>
      <c r="C19" s="80">
        <v>0</v>
      </c>
      <c r="D19" s="75"/>
      <c r="E19" s="72">
        <f t="shared" si="2"/>
        <v>120</v>
      </c>
      <c r="F19" s="10"/>
      <c r="G19" s="64">
        <v>0</v>
      </c>
      <c r="H19" s="63"/>
      <c r="I19" s="27"/>
      <c r="J19" s="28"/>
      <c r="K19" s="43"/>
      <c r="L19" s="29">
        <f t="shared" si="0"/>
        <v>-40</v>
      </c>
      <c r="M19" s="29">
        <f t="shared" si="1"/>
        <v>-40</v>
      </c>
      <c r="N19" s="11"/>
      <c r="O19" s="29"/>
      <c r="S19" s="86" t="str">
        <f>IF(K19="","",SUM($D$3:D17)-SUM($K$5:K19))</f>
        <v/>
      </c>
    </row>
    <row r="20" spans="1:19" s="12" customFormat="1" hidden="1" outlineLevel="1">
      <c r="A20" s="24">
        <v>45116</v>
      </c>
      <c r="B20" s="41" t="s">
        <v>17</v>
      </c>
      <c r="C20" s="80">
        <v>0</v>
      </c>
      <c r="D20" s="75"/>
      <c r="E20" s="72">
        <f t="shared" si="2"/>
        <v>120</v>
      </c>
      <c r="F20" s="10"/>
      <c r="G20" s="64">
        <v>0</v>
      </c>
      <c r="H20" s="63"/>
      <c r="I20" s="27"/>
      <c r="J20" s="28"/>
      <c r="K20" s="43"/>
      <c r="L20" s="29">
        <f t="shared" si="0"/>
        <v>-40</v>
      </c>
      <c r="M20" s="29">
        <f t="shared" si="1"/>
        <v>-40</v>
      </c>
      <c r="N20" s="11"/>
      <c r="O20" s="29"/>
      <c r="S20" s="86" t="str">
        <f>IF(K20="","",SUM($D$3:D18)-SUM($K$5:K20))</f>
        <v/>
      </c>
    </row>
    <row r="21" spans="1:19" hidden="1" outlineLevel="1">
      <c r="A21" s="16">
        <v>45117</v>
      </c>
      <c r="B21" s="40" t="s">
        <v>18</v>
      </c>
      <c r="C21" s="94">
        <v>80</v>
      </c>
      <c r="D21" s="74">
        <v>80</v>
      </c>
      <c r="E21" s="71">
        <f t="shared" si="2"/>
        <v>120</v>
      </c>
      <c r="F21" s="2"/>
      <c r="G21" s="83">
        <v>56</v>
      </c>
      <c r="H21" s="62">
        <f>C17+I21</f>
        <v>72</v>
      </c>
      <c r="I21" s="20"/>
      <c r="J21" s="21"/>
      <c r="K21" s="57">
        <v>72</v>
      </c>
      <c r="L21" s="23">
        <f t="shared" si="0"/>
        <v>-24</v>
      </c>
      <c r="M21" s="23">
        <f t="shared" si="1"/>
        <v>-24</v>
      </c>
      <c r="O21" s="23">
        <v>15</v>
      </c>
      <c r="S21" s="85">
        <f>IF(K21="","",SUM($D$3:D19)-SUM($K$5:K21))</f>
        <v>136</v>
      </c>
    </row>
    <row r="22" spans="1:19" hidden="1" outlineLevel="1">
      <c r="A22" s="16">
        <v>45118</v>
      </c>
      <c r="B22" s="40" t="s">
        <v>19</v>
      </c>
      <c r="C22" s="94">
        <v>72</v>
      </c>
      <c r="D22" s="74">
        <v>80</v>
      </c>
      <c r="E22" s="71">
        <f t="shared" si="2"/>
        <v>128</v>
      </c>
      <c r="F22" s="2"/>
      <c r="G22" s="83">
        <v>128</v>
      </c>
      <c r="H22" s="62">
        <f>C18+I22</f>
        <v>72</v>
      </c>
      <c r="I22" s="20"/>
      <c r="J22" s="21"/>
      <c r="K22" s="57">
        <v>72</v>
      </c>
      <c r="L22" s="23">
        <f t="shared" si="0"/>
        <v>-80</v>
      </c>
      <c r="M22" s="23">
        <f t="shared" si="1"/>
        <v>-80</v>
      </c>
      <c r="O22" s="23">
        <v>6</v>
      </c>
      <c r="S22" s="85">
        <f>IF(K22="","",SUM($D$3:D20)-SUM($K$5:K22))</f>
        <v>64</v>
      </c>
    </row>
    <row r="23" spans="1:19" hidden="1" outlineLevel="1">
      <c r="A23" s="16">
        <v>45119</v>
      </c>
      <c r="B23" s="40" t="s">
        <v>20</v>
      </c>
      <c r="C23" s="94">
        <v>80</v>
      </c>
      <c r="D23" s="74">
        <v>80</v>
      </c>
      <c r="E23" s="71">
        <f t="shared" si="2"/>
        <v>128</v>
      </c>
      <c r="F23" s="2"/>
      <c r="G23" s="83">
        <v>64</v>
      </c>
      <c r="H23" s="62">
        <f>C21+I23</f>
        <v>80</v>
      </c>
      <c r="I23" s="20"/>
      <c r="J23" s="21"/>
      <c r="K23" s="57">
        <v>80</v>
      </c>
      <c r="L23" s="23">
        <f t="shared" si="0"/>
        <v>-64</v>
      </c>
      <c r="M23" s="23">
        <f t="shared" si="1"/>
        <v>-64</v>
      </c>
      <c r="O23" s="23">
        <v>9</v>
      </c>
      <c r="S23" s="85">
        <f>IF(K23="","",SUM($D$3:D21)-SUM($K$5:K23))</f>
        <v>64</v>
      </c>
    </row>
    <row r="24" spans="1:19" hidden="1" outlineLevel="1">
      <c r="A24" s="16">
        <v>45120</v>
      </c>
      <c r="B24" s="40" t="s">
        <v>14</v>
      </c>
      <c r="C24" s="94">
        <v>72</v>
      </c>
      <c r="D24" s="74">
        <v>80</v>
      </c>
      <c r="E24" s="71">
        <f t="shared" si="2"/>
        <v>136</v>
      </c>
      <c r="F24" s="2"/>
      <c r="G24" s="83">
        <v>72</v>
      </c>
      <c r="H24" s="62">
        <f t="shared" ref="H24:H25" si="3">C22+I24</f>
        <v>72</v>
      </c>
      <c r="I24" s="20"/>
      <c r="J24" s="21"/>
      <c r="K24" s="57">
        <v>72</v>
      </c>
      <c r="L24" s="23">
        <f t="shared" si="0"/>
        <v>-64</v>
      </c>
      <c r="M24" s="23">
        <f t="shared" si="1"/>
        <v>-64</v>
      </c>
      <c r="O24" s="23">
        <v>19</v>
      </c>
      <c r="S24" s="85">
        <f>IF(K24="","",SUM($D$3:D22)-SUM($K$5:K24))</f>
        <v>72</v>
      </c>
    </row>
    <row r="25" spans="1:19" hidden="1" outlineLevel="1">
      <c r="A25" s="16">
        <v>45121</v>
      </c>
      <c r="B25" s="40" t="s">
        <v>15</v>
      </c>
      <c r="C25" s="94">
        <v>72</v>
      </c>
      <c r="D25" s="74">
        <v>72</v>
      </c>
      <c r="E25" s="71">
        <f>D25-C25+E24</f>
        <v>136</v>
      </c>
      <c r="F25" s="2"/>
      <c r="G25" s="83">
        <v>64</v>
      </c>
      <c r="H25" s="62">
        <f t="shared" si="3"/>
        <v>80</v>
      </c>
      <c r="I25" s="20"/>
      <c r="J25" s="21"/>
      <c r="K25" s="57">
        <v>80</v>
      </c>
      <c r="L25" s="23">
        <f t="shared" si="0"/>
        <v>-48</v>
      </c>
      <c r="M25" s="23">
        <f t="shared" si="1"/>
        <v>-48</v>
      </c>
      <c r="O25" s="23">
        <v>4</v>
      </c>
      <c r="Q25" s="1">
        <f>SUM(G21:G25)/5</f>
        <v>76.8</v>
      </c>
      <c r="S25" s="85">
        <f>IF(K25="","",SUM($D$3:D23)-SUM($K$5:K25))</f>
        <v>72</v>
      </c>
    </row>
    <row r="26" spans="1:19" s="12" customFormat="1" hidden="1" outlineLevel="1">
      <c r="A26" s="24">
        <v>45122</v>
      </c>
      <c r="B26" s="41" t="s">
        <v>16</v>
      </c>
      <c r="C26" s="80">
        <v>0</v>
      </c>
      <c r="D26" s="75"/>
      <c r="E26" s="72">
        <f t="shared" si="2"/>
        <v>136</v>
      </c>
      <c r="F26" s="10"/>
      <c r="G26" s="64">
        <v>0</v>
      </c>
      <c r="H26" s="63"/>
      <c r="I26" s="27"/>
      <c r="J26" s="28"/>
      <c r="K26" s="43"/>
      <c r="L26" s="29">
        <f t="shared" si="0"/>
        <v>-48</v>
      </c>
      <c r="M26" s="29">
        <f t="shared" si="1"/>
        <v>-48</v>
      </c>
      <c r="N26" s="11"/>
      <c r="O26" s="29"/>
      <c r="S26" s="86" t="str">
        <f>IF(K26="","",SUM($D$3:D24)-SUM($K$5:K26))</f>
        <v/>
      </c>
    </row>
    <row r="27" spans="1:19" s="12" customFormat="1" hidden="1" outlineLevel="1">
      <c r="A27" s="24">
        <v>45123</v>
      </c>
      <c r="B27" s="41" t="s">
        <v>17</v>
      </c>
      <c r="C27" s="80">
        <v>0</v>
      </c>
      <c r="D27" s="75"/>
      <c r="E27" s="72">
        <f t="shared" si="2"/>
        <v>136</v>
      </c>
      <c r="F27" s="10"/>
      <c r="G27" s="64">
        <v>0</v>
      </c>
      <c r="H27" s="63"/>
      <c r="I27" s="27"/>
      <c r="J27" s="28"/>
      <c r="K27" s="43"/>
      <c r="L27" s="29">
        <f t="shared" si="0"/>
        <v>-48</v>
      </c>
      <c r="M27" s="29">
        <f t="shared" si="1"/>
        <v>-48</v>
      </c>
      <c r="N27" s="11"/>
      <c r="O27" s="29"/>
      <c r="S27" s="86" t="str">
        <f>IF(K27="","",SUM($D$3:D25)-SUM($K$5:K27))</f>
        <v/>
      </c>
    </row>
    <row r="28" spans="1:19" s="12" customFormat="1" hidden="1" outlineLevel="1">
      <c r="A28" s="24">
        <v>45124</v>
      </c>
      <c r="B28" s="41" t="s">
        <v>18</v>
      </c>
      <c r="C28" s="80">
        <v>0</v>
      </c>
      <c r="D28" s="75"/>
      <c r="E28" s="72">
        <f t="shared" si="2"/>
        <v>136</v>
      </c>
      <c r="F28" s="10"/>
      <c r="G28" s="64">
        <v>0</v>
      </c>
      <c r="H28" s="63">
        <v>0</v>
      </c>
      <c r="I28" s="27"/>
      <c r="J28" s="28"/>
      <c r="K28" s="57">
        <v>0</v>
      </c>
      <c r="L28" s="29">
        <f t="shared" si="0"/>
        <v>-48</v>
      </c>
      <c r="M28" s="29">
        <f t="shared" si="1"/>
        <v>-48</v>
      </c>
      <c r="N28" s="11"/>
      <c r="O28" s="29"/>
      <c r="S28" s="86">
        <f>IF(K28="","",SUM($D$3:D26)-SUM($K$5:K28))</f>
        <v>224</v>
      </c>
    </row>
    <row r="29" spans="1:19" hidden="1" outlineLevel="1">
      <c r="A29" s="16">
        <v>45125</v>
      </c>
      <c r="B29" s="40" t="s">
        <v>19</v>
      </c>
      <c r="C29" s="94">
        <v>72</v>
      </c>
      <c r="D29" s="74">
        <v>48</v>
      </c>
      <c r="E29" s="71">
        <f t="shared" si="2"/>
        <v>112</v>
      </c>
      <c r="F29" s="2">
        <v>16</v>
      </c>
      <c r="G29" s="83">
        <v>72</v>
      </c>
      <c r="H29" s="62">
        <f>C24+I29</f>
        <v>72</v>
      </c>
      <c r="I29" s="20"/>
      <c r="J29" s="21"/>
      <c r="K29" s="57">
        <v>72</v>
      </c>
      <c r="L29" s="23">
        <f t="shared" si="0"/>
        <v>-48</v>
      </c>
      <c r="M29" s="23">
        <f t="shared" si="1"/>
        <v>-48</v>
      </c>
      <c r="O29" s="23">
        <v>0</v>
      </c>
      <c r="S29" s="85">
        <f>IF(K29="","",SUM($D$3:D27)-SUM($K$5:K29))</f>
        <v>152</v>
      </c>
    </row>
    <row r="30" spans="1:19" hidden="1" outlineLevel="1">
      <c r="A30" s="16">
        <v>45126</v>
      </c>
      <c r="B30" s="40" t="s">
        <v>20</v>
      </c>
      <c r="C30" s="94">
        <v>72</v>
      </c>
      <c r="D30" s="74">
        <v>48</v>
      </c>
      <c r="E30" s="71">
        <f t="shared" si="2"/>
        <v>88</v>
      </c>
      <c r="F30" s="2"/>
      <c r="G30" s="83">
        <v>56</v>
      </c>
      <c r="H30" s="62">
        <f>C25+I30</f>
        <v>72</v>
      </c>
      <c r="I30" s="20"/>
      <c r="J30" s="21"/>
      <c r="K30" s="57">
        <v>72</v>
      </c>
      <c r="L30" s="23">
        <f t="shared" si="0"/>
        <v>-32</v>
      </c>
      <c r="M30" s="23">
        <f>M29-G30+H30</f>
        <v>-32</v>
      </c>
      <c r="O30" s="23">
        <v>8</v>
      </c>
      <c r="P30" s="88" t="s">
        <v>24</v>
      </c>
      <c r="R30" s="84"/>
      <c r="S30" s="85">
        <f>IF(K30="","",SUM($D$3:D28)-SUM($K$5:K30))</f>
        <v>80</v>
      </c>
    </row>
    <row r="31" spans="1:19" hidden="1" outlineLevel="1">
      <c r="A31" s="16">
        <v>45127</v>
      </c>
      <c r="B31" s="40" t="s">
        <v>14</v>
      </c>
      <c r="C31" s="94">
        <v>72</v>
      </c>
      <c r="D31" s="74">
        <v>72</v>
      </c>
      <c r="E31" s="71">
        <f t="shared" si="2"/>
        <v>88</v>
      </c>
      <c r="F31" s="2"/>
      <c r="G31" s="83">
        <v>48</v>
      </c>
      <c r="H31" s="62">
        <f>C29+I31</f>
        <v>72</v>
      </c>
      <c r="I31" s="20"/>
      <c r="J31" s="21"/>
      <c r="K31" s="57">
        <v>72</v>
      </c>
      <c r="L31" s="23">
        <f t="shared" si="0"/>
        <v>-8</v>
      </c>
      <c r="M31" s="23">
        <f t="shared" si="1"/>
        <v>-8</v>
      </c>
      <c r="O31" s="23">
        <v>7</v>
      </c>
      <c r="R31" s="84"/>
      <c r="S31" s="85">
        <f>IF(K31="","",SUM($D$3:D29)-SUM($K$5:K31))</f>
        <v>56</v>
      </c>
    </row>
    <row r="32" spans="1:19" hidden="1" outlineLevel="1">
      <c r="A32" s="16">
        <v>45128</v>
      </c>
      <c r="B32" s="40" t="s">
        <v>15</v>
      </c>
      <c r="C32" s="94">
        <v>72</v>
      </c>
      <c r="D32" s="74">
        <v>64</v>
      </c>
      <c r="E32" s="71">
        <f t="shared" si="2"/>
        <v>80</v>
      </c>
      <c r="F32" s="2"/>
      <c r="G32" s="83">
        <v>80</v>
      </c>
      <c r="H32" s="62">
        <f t="shared" ref="H32" si="4">C30+I32</f>
        <v>72</v>
      </c>
      <c r="I32" s="20"/>
      <c r="J32" s="21"/>
      <c r="K32" s="57">
        <v>72</v>
      </c>
      <c r="L32" s="23">
        <f t="shared" si="0"/>
        <v>-16</v>
      </c>
      <c r="M32" s="23">
        <f t="shared" si="1"/>
        <v>-16</v>
      </c>
      <c r="O32" s="23">
        <v>9</v>
      </c>
      <c r="Q32" s="1">
        <f>SUM(G29:G32)/4</f>
        <v>64</v>
      </c>
      <c r="S32" s="85">
        <f>IF(K32="","",SUM($D$3:D30)-SUM($K$5:K32))</f>
        <v>32</v>
      </c>
    </row>
    <row r="33" spans="1:19" s="12" customFormat="1" hidden="1" outlineLevel="1">
      <c r="A33" s="24">
        <v>45129</v>
      </c>
      <c r="B33" s="41" t="s">
        <v>16</v>
      </c>
      <c r="C33" s="80">
        <v>0</v>
      </c>
      <c r="D33" s="75"/>
      <c r="E33" s="72">
        <f t="shared" si="2"/>
        <v>80</v>
      </c>
      <c r="F33" s="10"/>
      <c r="G33" s="79">
        <v>0</v>
      </c>
      <c r="H33" s="63"/>
      <c r="I33" s="27"/>
      <c r="J33" s="28"/>
      <c r="K33" s="43"/>
      <c r="L33" s="29">
        <f t="shared" si="0"/>
        <v>-16</v>
      </c>
      <c r="M33" s="29">
        <f t="shared" si="1"/>
        <v>-16</v>
      </c>
      <c r="N33" s="11"/>
      <c r="O33" s="29"/>
      <c r="S33" s="86" t="str">
        <f>IF(K33="","",SUM($D$3:D31)-SUM($K$5:K33))</f>
        <v/>
      </c>
    </row>
    <row r="34" spans="1:19" s="12" customFormat="1" hidden="1" outlineLevel="1">
      <c r="A34" s="24">
        <v>45130</v>
      </c>
      <c r="B34" s="41" t="s">
        <v>17</v>
      </c>
      <c r="C34" s="80">
        <v>0</v>
      </c>
      <c r="D34" s="75"/>
      <c r="E34" s="72">
        <f t="shared" si="2"/>
        <v>80</v>
      </c>
      <c r="F34" s="10"/>
      <c r="G34" s="79">
        <v>0</v>
      </c>
      <c r="H34" s="63"/>
      <c r="I34" s="27"/>
      <c r="J34" s="28"/>
      <c r="K34" s="43"/>
      <c r="L34" s="29">
        <f t="shared" si="0"/>
        <v>-16</v>
      </c>
      <c r="M34" s="29">
        <f t="shared" si="1"/>
        <v>-16</v>
      </c>
      <c r="N34" s="11"/>
      <c r="O34" s="29"/>
      <c r="S34" s="86" t="str">
        <f>IF(K34="","",SUM($D$3:D32)-SUM($K$5:K34))</f>
        <v/>
      </c>
    </row>
    <row r="35" spans="1:19" hidden="1" outlineLevel="1">
      <c r="A35" s="16">
        <v>45131</v>
      </c>
      <c r="B35" s="40" t="s">
        <v>18</v>
      </c>
      <c r="C35" s="94">
        <v>56</v>
      </c>
      <c r="D35" s="74">
        <v>56</v>
      </c>
      <c r="E35" s="71">
        <f t="shared" si="2"/>
        <v>80</v>
      </c>
      <c r="F35" s="2"/>
      <c r="G35" s="78"/>
      <c r="H35" s="62">
        <f>C31+I35</f>
        <v>72</v>
      </c>
      <c r="I35" s="20"/>
      <c r="J35" s="21"/>
      <c r="K35" s="57">
        <v>72</v>
      </c>
      <c r="L35" s="23">
        <f t="shared" si="0"/>
        <v>56</v>
      </c>
      <c r="M35" s="23">
        <f t="shared" si="1"/>
        <v>56</v>
      </c>
      <c r="O35" s="23">
        <v>8</v>
      </c>
      <c r="S35" s="85">
        <f>IF(K35="","",SUM($D$3:D33)-SUM($K$5:K35))</f>
        <v>96</v>
      </c>
    </row>
    <row r="36" spans="1:19" hidden="1" outlineLevel="1">
      <c r="A36" s="16">
        <v>45132</v>
      </c>
      <c r="B36" s="40" t="s">
        <v>19</v>
      </c>
      <c r="C36" s="94">
        <v>56</v>
      </c>
      <c r="D36" s="74">
        <v>56</v>
      </c>
      <c r="E36" s="71">
        <f t="shared" si="2"/>
        <v>80</v>
      </c>
      <c r="F36" s="2"/>
      <c r="G36" s="78">
        <v>56</v>
      </c>
      <c r="H36" s="62">
        <f>C32+I36</f>
        <v>72</v>
      </c>
      <c r="I36" s="20"/>
      <c r="J36" s="21"/>
      <c r="K36" s="57">
        <v>72</v>
      </c>
      <c r="L36" s="23">
        <f t="shared" ref="L36:L99" si="5">L35-G36+K36</f>
        <v>72</v>
      </c>
      <c r="M36" s="23">
        <f t="shared" si="1"/>
        <v>72</v>
      </c>
      <c r="O36" s="23">
        <v>10</v>
      </c>
      <c r="S36" s="85">
        <f>IF(K36="","",SUM($D$3:D34)-SUM($K$5:K36))</f>
        <v>24</v>
      </c>
    </row>
    <row r="37" spans="1:19" hidden="1" outlineLevel="1">
      <c r="A37" s="16">
        <v>45133</v>
      </c>
      <c r="B37" s="40" t="s">
        <v>20</v>
      </c>
      <c r="C37" s="94">
        <v>56</v>
      </c>
      <c r="D37" s="74">
        <v>56</v>
      </c>
      <c r="E37" s="71">
        <f t="shared" si="2"/>
        <v>80</v>
      </c>
      <c r="F37" s="2"/>
      <c r="G37" s="78">
        <v>80</v>
      </c>
      <c r="H37" s="62">
        <f>C35+I37</f>
        <v>56</v>
      </c>
      <c r="I37" s="20"/>
      <c r="J37" s="21"/>
      <c r="K37" s="57">
        <v>56</v>
      </c>
      <c r="L37" s="23">
        <f t="shared" si="5"/>
        <v>48</v>
      </c>
      <c r="M37" s="23">
        <f t="shared" si="1"/>
        <v>48</v>
      </c>
      <c r="O37" s="23">
        <v>7</v>
      </c>
      <c r="S37" s="85">
        <f>IF(K37="","",SUM($D$3:D35)-SUM($K$5:K37))</f>
        <v>24</v>
      </c>
    </row>
    <row r="38" spans="1:19" hidden="1" outlineLevel="1">
      <c r="A38" s="16">
        <v>45134</v>
      </c>
      <c r="B38" s="40" t="s">
        <v>14</v>
      </c>
      <c r="C38" s="94">
        <v>64</v>
      </c>
      <c r="D38" s="74">
        <v>56</v>
      </c>
      <c r="E38" s="71">
        <f t="shared" si="2"/>
        <v>72</v>
      </c>
      <c r="F38" s="2"/>
      <c r="G38" s="78">
        <v>56</v>
      </c>
      <c r="H38" s="62">
        <f t="shared" ref="H38:H39" si="6">C36+I38</f>
        <v>56</v>
      </c>
      <c r="I38" s="20"/>
      <c r="J38" s="21"/>
      <c r="K38" s="57">
        <v>56</v>
      </c>
      <c r="L38" s="23">
        <f t="shared" si="5"/>
        <v>48</v>
      </c>
      <c r="M38" s="23">
        <f t="shared" si="1"/>
        <v>48</v>
      </c>
      <c r="O38" s="23">
        <v>7</v>
      </c>
      <c r="S38" s="85">
        <f>IF(K38="","",SUM($D$3:D36)-SUM($K$5:K38))</f>
        <v>24</v>
      </c>
    </row>
    <row r="39" spans="1:19" hidden="1" outlineLevel="1">
      <c r="A39" s="16">
        <v>45135</v>
      </c>
      <c r="B39" s="40" t="s">
        <v>15</v>
      </c>
      <c r="C39" s="94">
        <v>64</v>
      </c>
      <c r="D39" s="74">
        <v>56</v>
      </c>
      <c r="E39" s="71">
        <f t="shared" si="2"/>
        <v>64</v>
      </c>
      <c r="F39" s="2"/>
      <c r="G39" s="78">
        <v>80</v>
      </c>
      <c r="H39" s="62">
        <f t="shared" si="6"/>
        <v>56</v>
      </c>
      <c r="I39" s="20"/>
      <c r="J39" s="21"/>
      <c r="K39" s="57">
        <v>56</v>
      </c>
      <c r="L39" s="23">
        <f t="shared" si="5"/>
        <v>24</v>
      </c>
      <c r="M39" s="23">
        <f t="shared" si="1"/>
        <v>24</v>
      </c>
      <c r="O39" s="23">
        <v>7</v>
      </c>
      <c r="Q39" s="1">
        <f>SUM(G35:G39)/5</f>
        <v>54.4</v>
      </c>
      <c r="S39" s="85">
        <f>IF(K39="","",SUM($D$3:D37)-SUM($K$5:K39))</f>
        <v>24</v>
      </c>
    </row>
    <row r="40" spans="1:19" s="12" customFormat="1" hidden="1" outlineLevel="1">
      <c r="A40" s="24">
        <v>45136</v>
      </c>
      <c r="B40" s="41" t="s">
        <v>16</v>
      </c>
      <c r="C40" s="69">
        <v>0</v>
      </c>
      <c r="D40" s="75"/>
      <c r="E40" s="72">
        <f t="shared" si="2"/>
        <v>64</v>
      </c>
      <c r="F40" s="10"/>
      <c r="G40" s="79">
        <v>0</v>
      </c>
      <c r="H40" s="63"/>
      <c r="I40" s="27"/>
      <c r="J40" s="28"/>
      <c r="K40" s="43"/>
      <c r="L40" s="29">
        <f t="shared" si="5"/>
        <v>24</v>
      </c>
      <c r="M40" s="29">
        <f t="shared" si="1"/>
        <v>24</v>
      </c>
      <c r="N40" s="11"/>
      <c r="O40" s="29"/>
      <c r="S40" s="86" t="str">
        <f>IF(K40="","",SUM($D$3:D38)-SUM($K$5:K40))</f>
        <v/>
      </c>
    </row>
    <row r="41" spans="1:19" s="12" customFormat="1" hidden="1" outlineLevel="1">
      <c r="A41" s="24">
        <v>45137</v>
      </c>
      <c r="B41" s="41" t="s">
        <v>17</v>
      </c>
      <c r="C41" s="69">
        <v>0</v>
      </c>
      <c r="D41" s="75"/>
      <c r="E41" s="72">
        <f t="shared" si="2"/>
        <v>64</v>
      </c>
      <c r="F41" s="10"/>
      <c r="G41" s="79">
        <v>0</v>
      </c>
      <c r="H41" s="63"/>
      <c r="I41" s="27"/>
      <c r="J41" s="28"/>
      <c r="K41" s="43"/>
      <c r="L41" s="29">
        <f t="shared" si="5"/>
        <v>24</v>
      </c>
      <c r="M41" s="29">
        <f t="shared" si="1"/>
        <v>24</v>
      </c>
      <c r="N41" s="11"/>
      <c r="O41" s="29"/>
      <c r="S41" s="86" t="str">
        <f>IF(K41="","",SUM($D$3:D39)-SUM($K$5:K41))</f>
        <v/>
      </c>
    </row>
    <row r="42" spans="1:19" hidden="1" outlineLevel="1">
      <c r="A42" s="16">
        <v>45138</v>
      </c>
      <c r="B42" s="40" t="s">
        <v>18</v>
      </c>
      <c r="C42" s="94">
        <v>64</v>
      </c>
      <c r="D42" s="74">
        <v>56</v>
      </c>
      <c r="E42" s="71">
        <f t="shared" si="2"/>
        <v>56</v>
      </c>
      <c r="F42" s="2"/>
      <c r="G42" s="78">
        <v>64</v>
      </c>
      <c r="H42" s="62">
        <f>C38+I42</f>
        <v>64</v>
      </c>
      <c r="I42" s="20"/>
      <c r="J42" s="21"/>
      <c r="K42" s="57">
        <v>64</v>
      </c>
      <c r="L42" s="23">
        <f t="shared" si="5"/>
        <v>24</v>
      </c>
      <c r="M42" s="23">
        <f t="shared" si="1"/>
        <v>24</v>
      </c>
      <c r="O42" s="23">
        <v>5</v>
      </c>
      <c r="S42" s="85">
        <f>IF(K42="","",SUM($D$3:D40)-SUM($K$5:K42))</f>
        <v>72</v>
      </c>
    </row>
    <row r="43" spans="1:19" hidden="1" outlineLevel="1">
      <c r="A43" s="16">
        <v>45139</v>
      </c>
      <c r="B43" s="40" t="s">
        <v>19</v>
      </c>
      <c r="C43" s="94">
        <v>72</v>
      </c>
      <c r="D43" s="74">
        <v>64</v>
      </c>
      <c r="E43" s="71">
        <f t="shared" si="2"/>
        <v>48</v>
      </c>
      <c r="F43" s="2"/>
      <c r="G43" s="78">
        <v>80</v>
      </c>
      <c r="H43" s="62">
        <f>C39+I43</f>
        <v>64</v>
      </c>
      <c r="I43" s="20"/>
      <c r="J43" s="21"/>
      <c r="K43" s="57">
        <v>64</v>
      </c>
      <c r="L43" s="23">
        <f t="shared" si="5"/>
        <v>8</v>
      </c>
      <c r="M43" s="23">
        <f t="shared" si="1"/>
        <v>8</v>
      </c>
      <c r="O43" s="23">
        <v>11</v>
      </c>
      <c r="S43" s="85">
        <f>IF(K43="","",SUM($D$3:D41)-SUM($K$5:K43))</f>
        <v>8</v>
      </c>
    </row>
    <row r="44" spans="1:19" hidden="1" outlineLevel="1">
      <c r="A44" s="16">
        <v>45140</v>
      </c>
      <c r="B44" s="40" t="s">
        <v>20</v>
      </c>
      <c r="C44" s="104">
        <v>0</v>
      </c>
      <c r="D44" s="74">
        <v>64</v>
      </c>
      <c r="E44" s="71">
        <f t="shared" si="2"/>
        <v>112</v>
      </c>
      <c r="F44" s="2"/>
      <c r="G44" s="78">
        <v>56</v>
      </c>
      <c r="H44" s="62">
        <f>C42+I44</f>
        <v>64</v>
      </c>
      <c r="I44" s="20"/>
      <c r="J44" s="21"/>
      <c r="K44" s="57">
        <v>64</v>
      </c>
      <c r="L44" s="23">
        <f t="shared" si="5"/>
        <v>16</v>
      </c>
      <c r="M44" s="23">
        <f t="shared" si="1"/>
        <v>16</v>
      </c>
      <c r="O44" s="23">
        <v>7</v>
      </c>
      <c r="S44" s="85">
        <f>IF(K44="","",SUM($D$3:D42)-SUM($K$5:K44))</f>
        <v>0</v>
      </c>
    </row>
    <row r="45" spans="1:19" hidden="1" outlineLevel="1">
      <c r="A45" s="16">
        <v>45141</v>
      </c>
      <c r="B45" s="40" t="s">
        <v>14</v>
      </c>
      <c r="C45" s="104">
        <v>0</v>
      </c>
      <c r="D45" s="74">
        <v>0</v>
      </c>
      <c r="E45" s="71">
        <f t="shared" si="2"/>
        <v>112</v>
      </c>
      <c r="F45" s="2"/>
      <c r="G45" s="78">
        <v>64</v>
      </c>
      <c r="H45" s="62">
        <f t="shared" ref="H45:H46" si="7">C43+I45</f>
        <v>72</v>
      </c>
      <c r="I45" s="20"/>
      <c r="J45" s="21"/>
      <c r="K45" s="57">
        <v>72</v>
      </c>
      <c r="L45" s="23">
        <f t="shared" si="5"/>
        <v>24</v>
      </c>
      <c r="M45" s="23">
        <f t="shared" si="1"/>
        <v>24</v>
      </c>
      <c r="O45" s="23">
        <v>0</v>
      </c>
      <c r="S45" s="85">
        <f>IF(K45="","",SUM($D$3:D43)-SUM($K$5:K45))</f>
        <v>-8</v>
      </c>
    </row>
    <row r="46" spans="1:19" hidden="1" outlineLevel="1">
      <c r="A46" s="16">
        <v>45142</v>
      </c>
      <c r="B46" s="40" t="s">
        <v>15</v>
      </c>
      <c r="C46" s="94">
        <v>64</v>
      </c>
      <c r="D46" s="74">
        <v>64</v>
      </c>
      <c r="E46" s="71">
        <f t="shared" si="2"/>
        <v>112</v>
      </c>
      <c r="F46" s="2"/>
      <c r="G46" s="78">
        <v>80</v>
      </c>
      <c r="H46" s="102">
        <f t="shared" si="7"/>
        <v>0</v>
      </c>
      <c r="I46" s="20"/>
      <c r="J46" s="21"/>
      <c r="K46" s="57">
        <v>0</v>
      </c>
      <c r="L46" s="23">
        <f t="shared" si="5"/>
        <v>-56</v>
      </c>
      <c r="M46" s="23">
        <f t="shared" si="1"/>
        <v>-56</v>
      </c>
      <c r="O46" s="23">
        <v>7</v>
      </c>
      <c r="Q46" s="1">
        <f>SUM(G42:G46)/5</f>
        <v>68.8</v>
      </c>
      <c r="S46" s="85">
        <f>IF(K46="","",SUM($D$3:D44)-SUM($K$5:K46))</f>
        <v>56</v>
      </c>
    </row>
    <row r="47" spans="1:19" s="12" customFormat="1" hidden="1" outlineLevel="1">
      <c r="A47" s="24">
        <v>45143</v>
      </c>
      <c r="B47" s="41" t="s">
        <v>16</v>
      </c>
      <c r="C47" s="69">
        <v>0</v>
      </c>
      <c r="D47" s="75"/>
      <c r="E47" s="72">
        <f t="shared" si="2"/>
        <v>112</v>
      </c>
      <c r="F47" s="10"/>
      <c r="G47" s="79">
        <v>0</v>
      </c>
      <c r="H47" s="63"/>
      <c r="I47" s="27"/>
      <c r="J47" s="28"/>
      <c r="K47" s="43"/>
      <c r="L47" s="29">
        <f t="shared" si="5"/>
        <v>-56</v>
      </c>
      <c r="M47" s="29">
        <f t="shared" si="1"/>
        <v>-56</v>
      </c>
      <c r="N47" s="11"/>
      <c r="O47" s="29"/>
      <c r="S47" s="86" t="str">
        <f>IF(K47="","",SUM($D$3:D45)-SUM($K$5:K47))</f>
        <v/>
      </c>
    </row>
    <row r="48" spans="1:19" s="12" customFormat="1" hidden="1" outlineLevel="1">
      <c r="A48" s="24">
        <v>45144</v>
      </c>
      <c r="B48" s="41" t="s">
        <v>17</v>
      </c>
      <c r="C48" s="69">
        <v>0</v>
      </c>
      <c r="D48" s="75"/>
      <c r="E48" s="72">
        <f t="shared" si="2"/>
        <v>112</v>
      </c>
      <c r="F48" s="10"/>
      <c r="G48" s="79">
        <v>0</v>
      </c>
      <c r="H48" s="63"/>
      <c r="I48" s="27"/>
      <c r="J48" s="28"/>
      <c r="K48" s="43"/>
      <c r="L48" s="29">
        <f t="shared" si="5"/>
        <v>-56</v>
      </c>
      <c r="M48" s="29">
        <f t="shared" si="1"/>
        <v>-56</v>
      </c>
      <c r="N48" s="11"/>
      <c r="O48" s="29"/>
      <c r="S48" s="86" t="str">
        <f>IF(K48="","",SUM($D$3:D46)-SUM($K$5:K48))</f>
        <v/>
      </c>
    </row>
    <row r="49" spans="1:19" hidden="1" outlineLevel="1">
      <c r="A49" s="16">
        <v>45145</v>
      </c>
      <c r="B49" s="40" t="s">
        <v>18</v>
      </c>
      <c r="C49" s="68">
        <v>80</v>
      </c>
      <c r="D49" s="74">
        <v>64</v>
      </c>
      <c r="E49" s="71">
        <f t="shared" si="2"/>
        <v>96</v>
      </c>
      <c r="F49" s="2"/>
      <c r="G49" s="78">
        <v>56</v>
      </c>
      <c r="H49" s="102">
        <f>C45+I49</f>
        <v>0</v>
      </c>
      <c r="I49" s="20"/>
      <c r="J49" s="21"/>
      <c r="K49" s="57">
        <v>0</v>
      </c>
      <c r="L49" s="23">
        <f t="shared" si="5"/>
        <v>-112</v>
      </c>
      <c r="M49" s="23">
        <f t="shared" si="1"/>
        <v>-112</v>
      </c>
      <c r="O49" s="23">
        <v>0</v>
      </c>
      <c r="S49" s="85">
        <f>IF(K49="","",SUM($D$3:D47)-SUM($K$5:K49))</f>
        <v>120</v>
      </c>
    </row>
    <row r="50" spans="1:19" hidden="1" outlineLevel="1">
      <c r="A50" s="16">
        <v>45146</v>
      </c>
      <c r="B50" s="40" t="s">
        <v>19</v>
      </c>
      <c r="C50" s="68">
        <v>72</v>
      </c>
      <c r="D50" s="74">
        <v>64</v>
      </c>
      <c r="E50" s="71">
        <f t="shared" si="2"/>
        <v>88</v>
      </c>
      <c r="F50" s="2"/>
      <c r="G50" s="78">
        <v>8</v>
      </c>
      <c r="H50" s="62">
        <f>C46+I50</f>
        <v>64</v>
      </c>
      <c r="I50" s="20"/>
      <c r="J50" s="21"/>
      <c r="K50" s="57">
        <v>64</v>
      </c>
      <c r="L50" s="23">
        <f t="shared" si="5"/>
        <v>-56</v>
      </c>
      <c r="M50" s="23">
        <f t="shared" si="1"/>
        <v>-56</v>
      </c>
      <c r="O50" s="23">
        <v>0</v>
      </c>
      <c r="S50" s="85">
        <f>IF(K50="","",SUM($D$3:D48)-SUM($K$5:K50))</f>
        <v>56</v>
      </c>
    </row>
    <row r="51" spans="1:19" hidden="1" outlineLevel="1">
      <c r="A51" s="16">
        <v>45147</v>
      </c>
      <c r="B51" s="40" t="s">
        <v>20</v>
      </c>
      <c r="C51" s="68">
        <v>72</v>
      </c>
      <c r="D51" s="74">
        <v>64</v>
      </c>
      <c r="E51" s="71">
        <f t="shared" si="2"/>
        <v>80</v>
      </c>
      <c r="F51" s="2"/>
      <c r="G51" s="78">
        <v>72</v>
      </c>
      <c r="H51" s="62">
        <f>C49+I51</f>
        <v>80</v>
      </c>
      <c r="I51" s="20"/>
      <c r="J51" s="21"/>
      <c r="K51" s="57">
        <v>80</v>
      </c>
      <c r="L51" s="23">
        <f t="shared" si="5"/>
        <v>-48</v>
      </c>
      <c r="M51" s="23">
        <f t="shared" si="1"/>
        <v>-48</v>
      </c>
      <c r="O51" s="23">
        <v>0</v>
      </c>
      <c r="Q51" s="97">
        <f>SUM(G49:G51)/3</f>
        <v>45.333333333333336</v>
      </c>
      <c r="S51" s="85">
        <f>IF(K51="","",SUM($D$3:D49)-SUM($K$5:K51))</f>
        <v>40</v>
      </c>
    </row>
    <row r="52" spans="1:19" s="12" customFormat="1" hidden="1" outlineLevel="1">
      <c r="A52" s="24">
        <v>45148</v>
      </c>
      <c r="B52" s="41" t="s">
        <v>14</v>
      </c>
      <c r="C52" s="69">
        <v>0</v>
      </c>
      <c r="D52" s="75"/>
      <c r="E52" s="72">
        <f t="shared" si="2"/>
        <v>80</v>
      </c>
      <c r="F52" s="10"/>
      <c r="G52" s="79">
        <v>0</v>
      </c>
      <c r="H52" s="63"/>
      <c r="I52" s="27"/>
      <c r="J52" s="28"/>
      <c r="K52" s="43"/>
      <c r="L52" s="29">
        <f t="shared" si="5"/>
        <v>-48</v>
      </c>
      <c r="M52" s="29">
        <f t="shared" si="1"/>
        <v>-48</v>
      </c>
      <c r="N52" s="11"/>
      <c r="O52" s="29">
        <v>15</v>
      </c>
    </row>
    <row r="53" spans="1:19" s="12" customFormat="1" hidden="1" outlineLevel="1">
      <c r="A53" s="24">
        <v>45149</v>
      </c>
      <c r="B53" s="41" t="s">
        <v>15</v>
      </c>
      <c r="C53" s="69">
        <v>0</v>
      </c>
      <c r="D53" s="75"/>
      <c r="E53" s="72">
        <f t="shared" si="2"/>
        <v>80</v>
      </c>
      <c r="F53" s="10"/>
      <c r="G53" s="79">
        <v>0</v>
      </c>
      <c r="H53" s="63"/>
      <c r="I53" s="27"/>
      <c r="J53" s="28"/>
      <c r="K53" s="43"/>
      <c r="L53" s="29">
        <f t="shared" si="5"/>
        <v>-48</v>
      </c>
      <c r="M53" s="29">
        <f t="shared" si="1"/>
        <v>-48</v>
      </c>
      <c r="N53" s="11"/>
      <c r="O53" s="29"/>
    </row>
    <row r="54" spans="1:19" s="12" customFormat="1" hidden="1" outlineLevel="1">
      <c r="A54" s="24">
        <v>45150</v>
      </c>
      <c r="B54" s="41" t="s">
        <v>16</v>
      </c>
      <c r="C54" s="69">
        <v>0</v>
      </c>
      <c r="D54" s="75"/>
      <c r="E54" s="72">
        <f t="shared" si="2"/>
        <v>80</v>
      </c>
      <c r="F54" s="10"/>
      <c r="G54" s="79">
        <v>0</v>
      </c>
      <c r="H54" s="63"/>
      <c r="I54" s="27"/>
      <c r="J54" s="28"/>
      <c r="K54" s="43"/>
      <c r="L54" s="29">
        <f t="shared" si="5"/>
        <v>-48</v>
      </c>
      <c r="M54" s="29">
        <f t="shared" si="1"/>
        <v>-48</v>
      </c>
      <c r="N54" s="11"/>
      <c r="O54" s="29"/>
    </row>
    <row r="55" spans="1:19" s="12" customFormat="1" hidden="1" outlineLevel="1">
      <c r="A55" s="24">
        <v>45151</v>
      </c>
      <c r="B55" s="41" t="s">
        <v>17</v>
      </c>
      <c r="C55" s="69">
        <v>0</v>
      </c>
      <c r="D55" s="75"/>
      <c r="E55" s="72">
        <f t="shared" si="2"/>
        <v>80</v>
      </c>
      <c r="F55" s="10"/>
      <c r="G55" s="79">
        <v>0</v>
      </c>
      <c r="H55" s="63"/>
      <c r="I55" s="27"/>
      <c r="J55" s="28"/>
      <c r="K55" s="43"/>
      <c r="L55" s="29">
        <f t="shared" si="5"/>
        <v>-48</v>
      </c>
      <c r="M55" s="29">
        <f t="shared" si="1"/>
        <v>-48</v>
      </c>
      <c r="N55" s="11"/>
      <c r="O55" s="29"/>
    </row>
    <row r="56" spans="1:19" s="12" customFormat="1" hidden="1" outlineLevel="1">
      <c r="A56" s="24">
        <v>45152</v>
      </c>
      <c r="B56" s="41" t="s">
        <v>18</v>
      </c>
      <c r="C56" s="69">
        <v>0</v>
      </c>
      <c r="D56" s="75"/>
      <c r="E56" s="72">
        <f t="shared" si="2"/>
        <v>80</v>
      </c>
      <c r="F56" s="10"/>
      <c r="G56" s="79">
        <v>0</v>
      </c>
      <c r="H56" s="63"/>
      <c r="I56" s="27"/>
      <c r="J56" s="28"/>
      <c r="K56" s="43"/>
      <c r="L56" s="29">
        <f t="shared" si="5"/>
        <v>-48</v>
      </c>
      <c r="M56" s="29">
        <f t="shared" si="1"/>
        <v>-48</v>
      </c>
      <c r="N56" s="11"/>
      <c r="O56" s="29"/>
    </row>
    <row r="57" spans="1:19" s="12" customFormat="1" hidden="1" outlineLevel="1">
      <c r="A57" s="24">
        <v>45153</v>
      </c>
      <c r="B57" s="41" t="s">
        <v>19</v>
      </c>
      <c r="C57" s="69">
        <v>0</v>
      </c>
      <c r="D57" s="75"/>
      <c r="E57" s="72">
        <f t="shared" si="2"/>
        <v>80</v>
      </c>
      <c r="F57" s="10"/>
      <c r="G57" s="79">
        <v>0</v>
      </c>
      <c r="H57" s="63"/>
      <c r="I57" s="27"/>
      <c r="J57" s="28"/>
      <c r="K57" s="43"/>
      <c r="L57" s="29">
        <f t="shared" si="5"/>
        <v>-48</v>
      </c>
      <c r="M57" s="29">
        <f t="shared" si="1"/>
        <v>-48</v>
      </c>
      <c r="N57" s="11"/>
      <c r="O57" s="29"/>
    </row>
    <row r="58" spans="1:19" s="12" customFormat="1" hidden="1" outlineLevel="1">
      <c r="A58" s="24">
        <v>45154</v>
      </c>
      <c r="B58" s="41" t="s">
        <v>20</v>
      </c>
      <c r="C58" s="69">
        <v>0</v>
      </c>
      <c r="D58" s="75"/>
      <c r="E58" s="72">
        <f t="shared" si="2"/>
        <v>80</v>
      </c>
      <c r="F58" s="10"/>
      <c r="G58" s="79">
        <v>0</v>
      </c>
      <c r="H58" s="63"/>
      <c r="I58" s="27"/>
      <c r="J58" s="28"/>
      <c r="K58" s="43"/>
      <c r="L58" s="29">
        <f t="shared" si="5"/>
        <v>-48</v>
      </c>
      <c r="M58" s="29">
        <f t="shared" si="1"/>
        <v>-48</v>
      </c>
      <c r="N58" s="11"/>
      <c r="O58" s="29"/>
    </row>
    <row r="59" spans="1:19" hidden="1" outlineLevel="1">
      <c r="A59" s="16">
        <v>45155</v>
      </c>
      <c r="B59" s="40" t="s">
        <v>14</v>
      </c>
      <c r="C59" s="68">
        <v>80</v>
      </c>
      <c r="D59" s="74">
        <v>64</v>
      </c>
      <c r="E59" s="71">
        <f t="shared" si="2"/>
        <v>64</v>
      </c>
      <c r="F59" s="2"/>
      <c r="G59" s="78">
        <v>64</v>
      </c>
      <c r="H59" s="62">
        <f>C50</f>
        <v>72</v>
      </c>
      <c r="I59" s="20"/>
      <c r="J59" s="21"/>
      <c r="K59" s="57">
        <v>72</v>
      </c>
      <c r="L59" s="23">
        <f t="shared" si="5"/>
        <v>-40</v>
      </c>
      <c r="M59" s="23">
        <f t="shared" si="1"/>
        <v>-40</v>
      </c>
      <c r="O59" s="23"/>
    </row>
    <row r="60" spans="1:19" hidden="1" outlineLevel="1">
      <c r="A60" s="16">
        <v>45156</v>
      </c>
      <c r="B60" s="40" t="s">
        <v>15</v>
      </c>
      <c r="C60" s="68">
        <v>72</v>
      </c>
      <c r="D60" s="109">
        <v>64</v>
      </c>
      <c r="E60" s="71">
        <f t="shared" si="2"/>
        <v>56</v>
      </c>
      <c r="F60" s="2"/>
      <c r="G60" s="78">
        <v>80</v>
      </c>
      <c r="H60" s="62">
        <f>C51</f>
        <v>72</v>
      </c>
      <c r="I60" s="20"/>
      <c r="J60" s="21"/>
      <c r="K60" s="57">
        <v>72</v>
      </c>
      <c r="L60" s="23">
        <f t="shared" si="5"/>
        <v>-48</v>
      </c>
      <c r="M60" s="23">
        <f t="shared" si="1"/>
        <v>-48</v>
      </c>
      <c r="O60" s="23"/>
      <c r="Q60" s="97">
        <f>SUM(G59:G60)/2</f>
        <v>72</v>
      </c>
    </row>
    <row r="61" spans="1:19" s="12" customFormat="1" hidden="1" outlineLevel="1">
      <c r="A61" s="95">
        <v>45157</v>
      </c>
      <c r="B61" s="25" t="s">
        <v>25</v>
      </c>
      <c r="C61" s="98"/>
      <c r="D61" s="99"/>
      <c r="E61" s="87">
        <f t="shared" si="2"/>
        <v>56</v>
      </c>
      <c r="G61" s="79">
        <v>0</v>
      </c>
      <c r="H61" s="63"/>
      <c r="I61" s="27"/>
      <c r="J61" s="28"/>
      <c r="K61" s="43"/>
      <c r="L61" s="29">
        <f t="shared" si="5"/>
        <v>-48</v>
      </c>
      <c r="M61" s="29">
        <f t="shared" si="1"/>
        <v>-48</v>
      </c>
      <c r="N61" s="29"/>
      <c r="O61" s="29"/>
    </row>
    <row r="62" spans="1:19" s="12" customFormat="1" hidden="1" outlineLevel="1">
      <c r="A62" s="95">
        <v>45158</v>
      </c>
      <c r="B62" s="25" t="s">
        <v>26</v>
      </c>
      <c r="C62" s="98"/>
      <c r="D62" s="99"/>
      <c r="E62" s="87">
        <f t="shared" si="2"/>
        <v>56</v>
      </c>
      <c r="G62" s="79">
        <v>0</v>
      </c>
      <c r="H62" s="63"/>
      <c r="I62" s="27"/>
      <c r="J62" s="28"/>
      <c r="K62" s="43"/>
      <c r="L62" s="29">
        <f t="shared" si="5"/>
        <v>-48</v>
      </c>
      <c r="M62" s="29">
        <f t="shared" si="1"/>
        <v>-48</v>
      </c>
      <c r="N62" s="29"/>
      <c r="O62" s="29"/>
    </row>
    <row r="63" spans="1:19" hidden="1" outlineLevel="1">
      <c r="A63" s="96">
        <v>45159</v>
      </c>
      <c r="B63" s="17" t="s">
        <v>18</v>
      </c>
      <c r="C63" s="68">
        <v>72</v>
      </c>
      <c r="D63" s="110">
        <v>72</v>
      </c>
      <c r="E63" s="22">
        <f t="shared" si="2"/>
        <v>56</v>
      </c>
      <c r="G63" s="78">
        <v>64</v>
      </c>
      <c r="H63" s="62">
        <f>C59</f>
        <v>80</v>
      </c>
      <c r="I63" s="20"/>
      <c r="J63" s="21"/>
      <c r="K63" s="57">
        <v>80</v>
      </c>
      <c r="L63" s="23">
        <f t="shared" si="5"/>
        <v>-32</v>
      </c>
      <c r="M63" s="23">
        <f t="shared" si="1"/>
        <v>-32</v>
      </c>
      <c r="N63" s="23"/>
      <c r="O63" s="23">
        <v>17</v>
      </c>
    </row>
    <row r="64" spans="1:19" hidden="1" outlineLevel="1">
      <c r="A64" s="96">
        <v>45160</v>
      </c>
      <c r="B64" s="17" t="s">
        <v>19</v>
      </c>
      <c r="C64" s="68">
        <v>80</v>
      </c>
      <c r="D64" s="110">
        <v>72</v>
      </c>
      <c r="E64" s="22">
        <f t="shared" si="2"/>
        <v>48</v>
      </c>
      <c r="G64" s="78">
        <v>80</v>
      </c>
      <c r="H64" s="62">
        <f>C60</f>
        <v>72</v>
      </c>
      <c r="I64" s="20"/>
      <c r="J64" s="21"/>
      <c r="K64" s="57">
        <v>72</v>
      </c>
      <c r="L64" s="23">
        <f t="shared" si="5"/>
        <v>-40</v>
      </c>
      <c r="M64" s="23">
        <f t="shared" si="1"/>
        <v>-40</v>
      </c>
      <c r="N64" s="23"/>
      <c r="O64" s="23">
        <v>0</v>
      </c>
    </row>
    <row r="65" spans="1:17" hidden="1" outlineLevel="1">
      <c r="A65" s="96">
        <v>45161</v>
      </c>
      <c r="B65" s="17" t="s">
        <v>20</v>
      </c>
      <c r="C65" s="68">
        <v>72</v>
      </c>
      <c r="D65" s="110">
        <v>72</v>
      </c>
      <c r="E65" s="22">
        <f t="shared" si="2"/>
        <v>48</v>
      </c>
      <c r="G65" s="78">
        <v>80</v>
      </c>
      <c r="H65" s="62">
        <f>C63</f>
        <v>72</v>
      </c>
      <c r="I65" s="20"/>
      <c r="J65" s="21"/>
      <c r="K65" s="57">
        <v>72</v>
      </c>
      <c r="L65" s="23">
        <f t="shared" si="5"/>
        <v>-48</v>
      </c>
      <c r="M65" s="23">
        <f t="shared" si="1"/>
        <v>-48</v>
      </c>
      <c r="N65" s="23"/>
      <c r="O65" s="23">
        <v>0</v>
      </c>
    </row>
    <row r="66" spans="1:17" hidden="1" outlineLevel="1">
      <c r="A66" s="96">
        <v>45162</v>
      </c>
      <c r="B66" s="17" t="s">
        <v>14</v>
      </c>
      <c r="C66" s="68">
        <v>80</v>
      </c>
      <c r="D66" s="110">
        <v>72</v>
      </c>
      <c r="E66" s="22">
        <f t="shared" si="2"/>
        <v>40</v>
      </c>
      <c r="G66" s="78">
        <v>64</v>
      </c>
      <c r="H66" s="62">
        <f t="shared" ref="H66:H67" si="8">C64</f>
        <v>80</v>
      </c>
      <c r="I66" s="20"/>
      <c r="J66" s="21"/>
      <c r="K66" s="57">
        <v>80</v>
      </c>
      <c r="L66" s="23">
        <f t="shared" si="5"/>
        <v>-32</v>
      </c>
      <c r="M66" s="23">
        <f t="shared" si="1"/>
        <v>-32</v>
      </c>
      <c r="N66" s="23"/>
      <c r="O66" s="23">
        <v>10</v>
      </c>
    </row>
    <row r="67" spans="1:17" hidden="1" outlineLevel="1">
      <c r="A67" s="96">
        <v>45163</v>
      </c>
      <c r="B67" s="17" t="s">
        <v>15</v>
      </c>
      <c r="C67" s="68">
        <v>72</v>
      </c>
      <c r="D67" s="110">
        <v>72</v>
      </c>
      <c r="E67" s="22">
        <f t="shared" si="2"/>
        <v>40</v>
      </c>
      <c r="G67" s="78">
        <v>16</v>
      </c>
      <c r="H67" s="62">
        <f t="shared" si="8"/>
        <v>72</v>
      </c>
      <c r="I67" s="20"/>
      <c r="J67" s="21"/>
      <c r="K67" s="57">
        <v>72</v>
      </c>
      <c r="L67" s="23">
        <f t="shared" si="5"/>
        <v>24</v>
      </c>
      <c r="M67" s="23">
        <f t="shared" si="1"/>
        <v>24</v>
      </c>
      <c r="N67" s="23"/>
      <c r="O67" s="23">
        <v>26</v>
      </c>
      <c r="Q67" s="1">
        <f>SUM(G63:G67)/5</f>
        <v>60.8</v>
      </c>
    </row>
    <row r="68" spans="1:17" s="12" customFormat="1" hidden="1" outlineLevel="1">
      <c r="A68" s="95">
        <v>45164</v>
      </c>
      <c r="B68" s="25" t="s">
        <v>16</v>
      </c>
      <c r="C68" s="98"/>
      <c r="D68" s="99"/>
      <c r="E68" s="87">
        <f t="shared" si="2"/>
        <v>40</v>
      </c>
      <c r="G68" s="79">
        <v>0</v>
      </c>
      <c r="H68" s="63"/>
      <c r="I68" s="27"/>
      <c r="J68" s="28"/>
      <c r="K68" s="43"/>
      <c r="L68" s="29">
        <f t="shared" si="5"/>
        <v>24</v>
      </c>
      <c r="M68" s="29">
        <f t="shared" ref="M68:M103" si="9">M67-G68+H68</f>
        <v>24</v>
      </c>
      <c r="N68" s="29"/>
      <c r="O68" s="29"/>
    </row>
    <row r="69" spans="1:17" s="12" customFormat="1" hidden="1" outlineLevel="1">
      <c r="A69" s="95">
        <v>45165</v>
      </c>
      <c r="B69" s="25" t="s">
        <v>17</v>
      </c>
      <c r="C69" s="98"/>
      <c r="D69" s="99"/>
      <c r="E69" s="87">
        <f t="shared" ref="E69:E103" si="10">D69-C69+E68</f>
        <v>40</v>
      </c>
      <c r="G69" s="79">
        <v>0</v>
      </c>
      <c r="H69" s="63"/>
      <c r="I69" s="27"/>
      <c r="J69" s="28"/>
      <c r="K69" s="43"/>
      <c r="L69" s="29">
        <f t="shared" si="5"/>
        <v>24</v>
      </c>
      <c r="M69" s="29">
        <f t="shared" si="9"/>
        <v>24</v>
      </c>
      <c r="N69" s="29"/>
      <c r="O69" s="29"/>
    </row>
    <row r="70" spans="1:17" hidden="1" outlineLevel="1">
      <c r="A70" s="96">
        <v>45166</v>
      </c>
      <c r="B70" s="17" t="s">
        <v>18</v>
      </c>
      <c r="C70" s="68">
        <v>72</v>
      </c>
      <c r="D70" s="110">
        <v>72</v>
      </c>
      <c r="E70" s="22">
        <f t="shared" si="10"/>
        <v>40</v>
      </c>
      <c r="G70" s="78">
        <v>64</v>
      </c>
      <c r="H70" s="62">
        <f>C66</f>
        <v>80</v>
      </c>
      <c r="I70" s="20"/>
      <c r="J70" s="21"/>
      <c r="K70" s="57">
        <v>80</v>
      </c>
      <c r="L70" s="23">
        <f t="shared" si="5"/>
        <v>40</v>
      </c>
      <c r="M70" s="23">
        <f t="shared" si="9"/>
        <v>40</v>
      </c>
      <c r="N70" s="23"/>
      <c r="O70" s="23">
        <v>7</v>
      </c>
    </row>
    <row r="71" spans="1:17" hidden="1" outlineLevel="1">
      <c r="A71" s="96">
        <v>45167</v>
      </c>
      <c r="B71" s="17" t="s">
        <v>19</v>
      </c>
      <c r="C71" s="68">
        <v>72</v>
      </c>
      <c r="D71" s="110">
        <v>72</v>
      </c>
      <c r="E71" s="22">
        <f t="shared" si="10"/>
        <v>40</v>
      </c>
      <c r="G71" s="78">
        <v>80</v>
      </c>
      <c r="H71" s="62">
        <f>C67</f>
        <v>72</v>
      </c>
      <c r="I71" s="20"/>
      <c r="J71" s="21"/>
      <c r="K71" s="57">
        <v>72</v>
      </c>
      <c r="L71" s="23">
        <f t="shared" si="5"/>
        <v>32</v>
      </c>
      <c r="M71" s="23">
        <f t="shared" si="9"/>
        <v>32</v>
      </c>
      <c r="N71" s="23"/>
      <c r="O71" s="23">
        <v>11</v>
      </c>
    </row>
    <row r="72" spans="1:17" hidden="1" outlineLevel="1">
      <c r="A72" s="96">
        <v>45168</v>
      </c>
      <c r="B72" s="17" t="s">
        <v>20</v>
      </c>
      <c r="C72" s="68">
        <v>72</v>
      </c>
      <c r="D72" s="110">
        <v>72</v>
      </c>
      <c r="E72" s="22">
        <f t="shared" si="10"/>
        <v>40</v>
      </c>
      <c r="G72" s="78">
        <v>80</v>
      </c>
      <c r="H72" s="62">
        <f>C70</f>
        <v>72</v>
      </c>
      <c r="I72" s="20"/>
      <c r="J72" s="21"/>
      <c r="K72" s="57">
        <v>72</v>
      </c>
      <c r="L72" s="23">
        <f t="shared" si="5"/>
        <v>24</v>
      </c>
      <c r="M72" s="23">
        <f t="shared" si="9"/>
        <v>24</v>
      </c>
      <c r="N72" s="23"/>
      <c r="O72" s="23">
        <v>0</v>
      </c>
    </row>
    <row r="73" spans="1:17" hidden="1" outlineLevel="1">
      <c r="A73" s="96">
        <v>45169</v>
      </c>
      <c r="B73" s="17" t="s">
        <v>14</v>
      </c>
      <c r="C73" s="68">
        <v>72</v>
      </c>
      <c r="D73" s="110">
        <v>72</v>
      </c>
      <c r="E73" s="22">
        <f t="shared" si="10"/>
        <v>40</v>
      </c>
      <c r="G73" s="78">
        <v>64</v>
      </c>
      <c r="H73" s="62">
        <f>C71</f>
        <v>72</v>
      </c>
      <c r="I73" s="20"/>
      <c r="J73" s="21"/>
      <c r="K73" s="57">
        <v>72</v>
      </c>
      <c r="L73" s="23">
        <f t="shared" si="5"/>
        <v>32</v>
      </c>
      <c r="M73" s="23">
        <f t="shared" si="9"/>
        <v>32</v>
      </c>
      <c r="N73" s="23"/>
      <c r="O73" s="23">
        <v>17</v>
      </c>
    </row>
    <row r="74" spans="1:17" hidden="1" outlineLevel="1">
      <c r="A74" s="96">
        <v>45170</v>
      </c>
      <c r="B74" s="17" t="s">
        <v>15</v>
      </c>
      <c r="C74" s="68">
        <v>72</v>
      </c>
      <c r="D74" s="110">
        <v>72</v>
      </c>
      <c r="E74" s="22">
        <f t="shared" si="10"/>
        <v>40</v>
      </c>
      <c r="G74" s="78">
        <v>80</v>
      </c>
      <c r="H74" s="62">
        <f>C72</f>
        <v>72</v>
      </c>
      <c r="I74" s="20"/>
      <c r="J74" s="21"/>
      <c r="K74" s="57">
        <v>72</v>
      </c>
      <c r="L74" s="23">
        <f>L73-G74+K74</f>
        <v>24</v>
      </c>
      <c r="M74" s="23">
        <f t="shared" si="9"/>
        <v>24</v>
      </c>
      <c r="N74" s="23"/>
      <c r="O74" s="23">
        <v>11</v>
      </c>
      <c r="Q74" s="1">
        <f>SUM(G70:G74)/5</f>
        <v>73.599999999999994</v>
      </c>
    </row>
    <row r="75" spans="1:17" s="12" customFormat="1" hidden="1" outlineLevel="1">
      <c r="A75" s="95">
        <v>45171</v>
      </c>
      <c r="B75" s="25" t="s">
        <v>16</v>
      </c>
      <c r="C75" s="98"/>
      <c r="D75" s="99"/>
      <c r="E75" s="87">
        <f>D75-C75+E74</f>
        <v>40</v>
      </c>
      <c r="G75" s="79">
        <v>0</v>
      </c>
      <c r="H75" s="63"/>
      <c r="I75" s="27"/>
      <c r="J75" s="28"/>
      <c r="K75" s="43"/>
      <c r="L75" s="29">
        <f t="shared" si="5"/>
        <v>24</v>
      </c>
      <c r="M75" s="29">
        <f t="shared" si="9"/>
        <v>24</v>
      </c>
      <c r="N75" s="29"/>
      <c r="O75" s="29"/>
    </row>
    <row r="76" spans="1:17" s="12" customFormat="1" hidden="1" outlineLevel="1">
      <c r="A76" s="95">
        <v>45172</v>
      </c>
      <c r="B76" s="25" t="s">
        <v>17</v>
      </c>
      <c r="C76" s="98"/>
      <c r="D76" s="99"/>
      <c r="E76" s="87">
        <f t="shared" si="10"/>
        <v>40</v>
      </c>
      <c r="G76" s="79">
        <v>0</v>
      </c>
      <c r="H76" s="63"/>
      <c r="I76" s="27"/>
      <c r="J76" s="28"/>
      <c r="K76" s="43"/>
      <c r="L76" s="29">
        <f t="shared" si="5"/>
        <v>24</v>
      </c>
      <c r="M76" s="29">
        <f t="shared" si="9"/>
        <v>24</v>
      </c>
      <c r="N76" s="29"/>
      <c r="O76" s="29"/>
    </row>
    <row r="77" spans="1:17" hidden="1" outlineLevel="1">
      <c r="A77" s="96">
        <v>45173</v>
      </c>
      <c r="B77" s="17" t="s">
        <v>18</v>
      </c>
      <c r="C77" s="68">
        <v>72</v>
      </c>
      <c r="D77" s="110">
        <v>72</v>
      </c>
      <c r="E77" s="22">
        <f>D77-C77+E76-48</f>
        <v>-8</v>
      </c>
      <c r="G77" s="78">
        <v>56</v>
      </c>
      <c r="H77" s="62">
        <f>C73</f>
        <v>72</v>
      </c>
      <c r="I77" s="20"/>
      <c r="J77" s="21"/>
      <c r="K77" s="57">
        <v>72</v>
      </c>
      <c r="L77" s="23">
        <f t="shared" si="5"/>
        <v>40</v>
      </c>
      <c r="M77" s="23">
        <f t="shared" si="9"/>
        <v>40</v>
      </c>
      <c r="N77" s="23"/>
      <c r="O77" s="23">
        <v>0</v>
      </c>
    </row>
    <row r="78" spans="1:17" hidden="1" outlineLevel="1">
      <c r="A78" s="96">
        <v>45174</v>
      </c>
      <c r="B78" s="17" t="s">
        <v>19</v>
      </c>
      <c r="C78" s="68">
        <v>80</v>
      </c>
      <c r="D78" s="110">
        <v>72</v>
      </c>
      <c r="E78" s="22">
        <f t="shared" si="10"/>
        <v>-16</v>
      </c>
      <c r="G78" s="78">
        <v>80</v>
      </c>
      <c r="H78" s="62">
        <f>C74</f>
        <v>72</v>
      </c>
      <c r="I78" s="20"/>
      <c r="J78" s="21"/>
      <c r="K78" s="57">
        <v>72</v>
      </c>
      <c r="L78" s="23">
        <f t="shared" si="5"/>
        <v>32</v>
      </c>
      <c r="M78" s="23">
        <f t="shared" si="9"/>
        <v>32</v>
      </c>
      <c r="N78" s="23"/>
      <c r="O78" s="23">
        <v>14</v>
      </c>
    </row>
    <row r="79" spans="1:17" hidden="1" outlineLevel="1">
      <c r="A79" s="96">
        <v>45175</v>
      </c>
      <c r="B79" s="17" t="s">
        <v>20</v>
      </c>
      <c r="C79" s="68">
        <v>72</v>
      </c>
      <c r="D79" s="110">
        <v>80</v>
      </c>
      <c r="E79" s="22">
        <f t="shared" si="10"/>
        <v>-8</v>
      </c>
      <c r="G79" s="78">
        <v>80</v>
      </c>
      <c r="H79" s="62">
        <f>C77</f>
        <v>72</v>
      </c>
      <c r="I79" s="20"/>
      <c r="J79" s="21"/>
      <c r="K79" s="57">
        <v>72</v>
      </c>
      <c r="L79" s="23">
        <f t="shared" si="5"/>
        <v>24</v>
      </c>
      <c r="M79" s="23">
        <f t="shared" si="9"/>
        <v>24</v>
      </c>
      <c r="N79" s="23"/>
      <c r="O79" s="23">
        <v>12</v>
      </c>
    </row>
    <row r="80" spans="1:17" hidden="1" outlineLevel="1">
      <c r="A80" s="96">
        <v>45176</v>
      </c>
      <c r="B80" s="17" t="s">
        <v>14</v>
      </c>
      <c r="C80" s="68">
        <v>80</v>
      </c>
      <c r="D80" s="110">
        <v>80</v>
      </c>
      <c r="E80" s="22">
        <f t="shared" si="10"/>
        <v>-8</v>
      </c>
      <c r="G80" s="78">
        <v>64</v>
      </c>
      <c r="H80" s="62">
        <f>C78</f>
        <v>80</v>
      </c>
      <c r="I80" s="20"/>
      <c r="J80" s="21"/>
      <c r="K80" s="57">
        <v>80</v>
      </c>
      <c r="L80" s="23">
        <f t="shared" si="5"/>
        <v>40</v>
      </c>
      <c r="M80" s="23">
        <f t="shared" si="9"/>
        <v>40</v>
      </c>
      <c r="N80" s="23"/>
      <c r="O80" s="23">
        <v>0</v>
      </c>
    </row>
    <row r="81" spans="1:17" hidden="1" outlineLevel="1">
      <c r="A81" s="96">
        <v>45177</v>
      </c>
      <c r="B81" s="17" t="s">
        <v>15</v>
      </c>
      <c r="C81" s="68">
        <v>72</v>
      </c>
      <c r="D81" s="110">
        <v>80</v>
      </c>
      <c r="E81" s="22">
        <f t="shared" si="10"/>
        <v>0</v>
      </c>
      <c r="G81" s="78">
        <v>40</v>
      </c>
      <c r="H81" s="62">
        <f>C79</f>
        <v>72</v>
      </c>
      <c r="I81" s="20"/>
      <c r="J81" s="21"/>
      <c r="K81" s="57">
        <v>72</v>
      </c>
      <c r="L81" s="23">
        <f t="shared" si="5"/>
        <v>72</v>
      </c>
      <c r="M81" s="23">
        <f t="shared" si="9"/>
        <v>72</v>
      </c>
      <c r="N81" s="23"/>
      <c r="O81" s="23">
        <v>15</v>
      </c>
      <c r="Q81" s="1">
        <f>AVERAGE(G77:G81)</f>
        <v>64</v>
      </c>
    </row>
    <row r="82" spans="1:17" s="12" customFormat="1" hidden="1" outlineLevel="1">
      <c r="A82" s="95">
        <v>45178</v>
      </c>
      <c r="B82" s="25" t="s">
        <v>16</v>
      </c>
      <c r="C82" s="98"/>
      <c r="D82" s="99"/>
      <c r="E82" s="87">
        <f t="shared" si="10"/>
        <v>0</v>
      </c>
      <c r="G82" s="79">
        <v>0</v>
      </c>
      <c r="H82" s="63"/>
      <c r="I82" s="27"/>
      <c r="J82" s="28"/>
      <c r="K82" s="43"/>
      <c r="L82" s="29">
        <f t="shared" si="5"/>
        <v>72</v>
      </c>
      <c r="M82" s="29">
        <f t="shared" si="9"/>
        <v>72</v>
      </c>
      <c r="N82" s="29"/>
      <c r="O82" s="29"/>
    </row>
    <row r="83" spans="1:17" s="12" customFormat="1" hidden="1" outlineLevel="1">
      <c r="A83" s="95">
        <v>45179</v>
      </c>
      <c r="B83" s="25" t="s">
        <v>17</v>
      </c>
      <c r="C83" s="98"/>
      <c r="D83" s="99"/>
      <c r="E83" s="87">
        <f t="shared" si="10"/>
        <v>0</v>
      </c>
      <c r="G83" s="79">
        <v>0</v>
      </c>
      <c r="H83" s="63"/>
      <c r="I83" s="27"/>
      <c r="J83" s="28"/>
      <c r="K83" s="43"/>
      <c r="L83" s="29">
        <f t="shared" si="5"/>
        <v>72</v>
      </c>
      <c r="M83" s="29">
        <f t="shared" si="9"/>
        <v>72</v>
      </c>
      <c r="N83" s="29"/>
      <c r="O83" s="29"/>
    </row>
    <row r="84" spans="1:17" hidden="1" outlineLevel="1">
      <c r="A84" s="96">
        <v>45180</v>
      </c>
      <c r="B84" s="17" t="s">
        <v>18</v>
      </c>
      <c r="C84" s="68">
        <v>72</v>
      </c>
      <c r="D84" s="110">
        <v>72</v>
      </c>
      <c r="E84" s="22">
        <f t="shared" si="10"/>
        <v>0</v>
      </c>
      <c r="G84" s="78">
        <v>64</v>
      </c>
      <c r="H84" s="62">
        <f>C80</f>
        <v>80</v>
      </c>
      <c r="I84" s="20"/>
      <c r="J84" s="21"/>
      <c r="K84" s="57">
        <v>80</v>
      </c>
      <c r="L84" s="23">
        <f t="shared" si="5"/>
        <v>88</v>
      </c>
      <c r="M84" s="23">
        <f t="shared" si="9"/>
        <v>88</v>
      </c>
      <c r="N84" s="23"/>
      <c r="O84" s="23">
        <v>8</v>
      </c>
    </row>
    <row r="85" spans="1:17" hidden="1" outlineLevel="1">
      <c r="A85" s="96">
        <v>45181</v>
      </c>
      <c r="B85" s="17" t="s">
        <v>19</v>
      </c>
      <c r="C85" s="68">
        <v>80</v>
      </c>
      <c r="D85" s="110">
        <v>80</v>
      </c>
      <c r="E85" s="22">
        <f t="shared" si="10"/>
        <v>0</v>
      </c>
      <c r="G85" s="78">
        <v>144</v>
      </c>
      <c r="H85" s="62">
        <f>C81</f>
        <v>72</v>
      </c>
      <c r="I85" s="20"/>
      <c r="J85" s="21"/>
      <c r="K85" s="57">
        <v>72</v>
      </c>
      <c r="L85" s="23">
        <f t="shared" si="5"/>
        <v>16</v>
      </c>
      <c r="M85" s="23">
        <f t="shared" si="9"/>
        <v>16</v>
      </c>
      <c r="N85" s="23"/>
      <c r="O85" s="23">
        <v>10</v>
      </c>
    </row>
    <row r="86" spans="1:17" hidden="1" outlineLevel="1">
      <c r="A86" s="96">
        <v>45182</v>
      </c>
      <c r="B86" s="17" t="s">
        <v>20</v>
      </c>
      <c r="C86" s="68">
        <v>72</v>
      </c>
      <c r="D86" s="110">
        <v>72</v>
      </c>
      <c r="E86" s="22">
        <f t="shared" si="10"/>
        <v>0</v>
      </c>
      <c r="G86" s="78">
        <v>64</v>
      </c>
      <c r="H86" s="62">
        <f>C84</f>
        <v>72</v>
      </c>
      <c r="I86" s="20"/>
      <c r="J86" s="21"/>
      <c r="K86" s="57">
        <v>72</v>
      </c>
      <c r="L86" s="23">
        <f>L85-G86+K86</f>
        <v>24</v>
      </c>
      <c r="M86" s="23">
        <f t="shared" si="9"/>
        <v>24</v>
      </c>
      <c r="N86" s="23"/>
      <c r="O86" s="23">
        <v>7</v>
      </c>
    </row>
    <row r="87" spans="1:17" hidden="1" outlineLevel="1">
      <c r="A87" s="96">
        <v>45183</v>
      </c>
      <c r="B87" s="17" t="s">
        <v>14</v>
      </c>
      <c r="C87" s="68">
        <v>80</v>
      </c>
      <c r="D87" s="110">
        <v>80</v>
      </c>
      <c r="E87" s="22">
        <f t="shared" si="10"/>
        <v>0</v>
      </c>
      <c r="G87" s="78">
        <v>80</v>
      </c>
      <c r="H87" s="62">
        <f>C85</f>
        <v>80</v>
      </c>
      <c r="I87" s="20"/>
      <c r="J87" s="21"/>
      <c r="K87" s="57">
        <v>80</v>
      </c>
      <c r="L87" s="23">
        <f t="shared" si="5"/>
        <v>24</v>
      </c>
      <c r="M87" s="23">
        <f t="shared" si="9"/>
        <v>24</v>
      </c>
      <c r="N87" s="23"/>
      <c r="O87" s="23">
        <v>9</v>
      </c>
    </row>
    <row r="88" spans="1:17" hidden="1" outlineLevel="1">
      <c r="A88" s="96">
        <v>45184</v>
      </c>
      <c r="B88" s="17" t="s">
        <v>15</v>
      </c>
      <c r="C88" s="68">
        <v>72</v>
      </c>
      <c r="D88" s="110">
        <v>72</v>
      </c>
      <c r="E88" s="22">
        <f t="shared" si="10"/>
        <v>0</v>
      </c>
      <c r="G88" s="78">
        <v>72</v>
      </c>
      <c r="H88" s="62">
        <f t="shared" ref="H88" si="11">C86</f>
        <v>72</v>
      </c>
      <c r="I88" s="20"/>
      <c r="J88" s="21"/>
      <c r="K88" s="57">
        <v>72</v>
      </c>
      <c r="L88" s="23">
        <f t="shared" si="5"/>
        <v>24</v>
      </c>
      <c r="M88" s="23">
        <f t="shared" si="9"/>
        <v>24</v>
      </c>
      <c r="N88" s="23"/>
      <c r="O88" s="23">
        <v>11</v>
      </c>
      <c r="Q88" s="1">
        <f>AVERAGE(G84:G88)</f>
        <v>84.8</v>
      </c>
    </row>
    <row r="89" spans="1:17" s="12" customFormat="1" hidden="1" outlineLevel="1">
      <c r="A89" s="95">
        <v>45185</v>
      </c>
      <c r="B89" s="25" t="s">
        <v>16</v>
      </c>
      <c r="C89" s="98"/>
      <c r="D89" s="99"/>
      <c r="E89" s="87">
        <f t="shared" si="10"/>
        <v>0</v>
      </c>
      <c r="G89" s="79">
        <v>0</v>
      </c>
      <c r="H89" s="63"/>
      <c r="I89" s="27"/>
      <c r="J89" s="28"/>
      <c r="K89" s="43"/>
      <c r="L89" s="29">
        <f t="shared" si="5"/>
        <v>24</v>
      </c>
      <c r="M89" s="29">
        <f t="shared" si="9"/>
        <v>24</v>
      </c>
      <c r="N89" s="29"/>
      <c r="O89" s="29"/>
    </row>
    <row r="90" spans="1:17" s="12" customFormat="1" hidden="1" outlineLevel="1">
      <c r="A90" s="95">
        <v>45186</v>
      </c>
      <c r="B90" s="25" t="s">
        <v>17</v>
      </c>
      <c r="C90" s="98"/>
      <c r="D90" s="99"/>
      <c r="E90" s="87">
        <f t="shared" si="10"/>
        <v>0</v>
      </c>
      <c r="G90" s="79">
        <v>0</v>
      </c>
      <c r="H90" s="63"/>
      <c r="I90" s="27"/>
      <c r="J90" s="28"/>
      <c r="K90" s="43"/>
      <c r="L90" s="29">
        <f t="shared" si="5"/>
        <v>24</v>
      </c>
      <c r="M90" s="29">
        <f t="shared" si="9"/>
        <v>24</v>
      </c>
      <c r="N90" s="29"/>
      <c r="O90" s="29"/>
    </row>
    <row r="91" spans="1:17" s="12" customFormat="1" hidden="1" outlineLevel="1">
      <c r="A91" s="95">
        <v>45187</v>
      </c>
      <c r="B91" s="25" t="s">
        <v>18</v>
      </c>
      <c r="C91" s="98"/>
      <c r="D91" s="99"/>
      <c r="E91" s="87">
        <f t="shared" si="10"/>
        <v>0</v>
      </c>
      <c r="G91" s="79">
        <v>0</v>
      </c>
      <c r="H91" s="63"/>
      <c r="I91" s="27"/>
      <c r="J91" s="28"/>
      <c r="K91" s="43"/>
      <c r="L91" s="29">
        <f t="shared" si="5"/>
        <v>24</v>
      </c>
      <c r="M91" s="29">
        <f t="shared" si="9"/>
        <v>24</v>
      </c>
      <c r="N91" s="29"/>
      <c r="O91" s="29">
        <v>6</v>
      </c>
    </row>
    <row r="92" spans="1:17" hidden="1" outlineLevel="1">
      <c r="A92" s="96">
        <v>45188</v>
      </c>
      <c r="B92" s="17" t="s">
        <v>19</v>
      </c>
      <c r="C92" s="107">
        <v>72</v>
      </c>
      <c r="D92" s="110">
        <v>72</v>
      </c>
      <c r="E92" s="22">
        <f t="shared" si="10"/>
        <v>0</v>
      </c>
      <c r="G92" s="78">
        <v>80</v>
      </c>
      <c r="H92" s="62">
        <f>C87</f>
        <v>80</v>
      </c>
      <c r="I92" s="20"/>
      <c r="J92" s="21"/>
      <c r="K92" s="57">
        <v>80</v>
      </c>
      <c r="L92" s="23">
        <f t="shared" si="5"/>
        <v>24</v>
      </c>
      <c r="M92" s="23">
        <f t="shared" si="9"/>
        <v>24</v>
      </c>
      <c r="N92" s="23"/>
      <c r="O92" s="23">
        <v>0</v>
      </c>
    </row>
    <row r="93" spans="1:17" hidden="1" outlineLevel="1">
      <c r="A93" s="96">
        <v>45189</v>
      </c>
      <c r="B93" s="17" t="s">
        <v>20</v>
      </c>
      <c r="C93" s="107">
        <v>72</v>
      </c>
      <c r="D93" s="110">
        <v>72</v>
      </c>
      <c r="E93" s="22">
        <f t="shared" si="10"/>
        <v>0</v>
      </c>
      <c r="G93" s="78">
        <v>72</v>
      </c>
      <c r="H93" s="62">
        <f>C88</f>
        <v>72</v>
      </c>
      <c r="I93" s="20"/>
      <c r="J93" s="21"/>
      <c r="K93" s="57">
        <v>72</v>
      </c>
      <c r="L93" s="23">
        <f t="shared" si="5"/>
        <v>24</v>
      </c>
      <c r="M93" s="23">
        <f t="shared" si="9"/>
        <v>24</v>
      </c>
      <c r="N93" s="23"/>
      <c r="O93" s="23">
        <v>23</v>
      </c>
    </row>
    <row r="94" spans="1:17" hidden="1" outlineLevel="1">
      <c r="A94" s="96">
        <v>45190</v>
      </c>
      <c r="B94" s="17" t="s">
        <v>14</v>
      </c>
      <c r="C94" s="107">
        <v>64</v>
      </c>
      <c r="D94" s="110">
        <v>64</v>
      </c>
      <c r="E94" s="22">
        <f t="shared" si="10"/>
        <v>0</v>
      </c>
      <c r="G94" s="78">
        <v>64</v>
      </c>
      <c r="H94" s="62">
        <f>C92</f>
        <v>72</v>
      </c>
      <c r="I94" s="20"/>
      <c r="J94" s="21"/>
      <c r="K94" s="57">
        <v>72</v>
      </c>
      <c r="L94" s="23">
        <f t="shared" si="5"/>
        <v>32</v>
      </c>
      <c r="M94" s="23">
        <f t="shared" si="9"/>
        <v>32</v>
      </c>
      <c r="N94" s="23"/>
      <c r="O94" s="23">
        <v>0</v>
      </c>
    </row>
    <row r="95" spans="1:17" hidden="1" outlineLevel="1">
      <c r="A95" s="96">
        <v>45191</v>
      </c>
      <c r="B95" s="17" t="s">
        <v>15</v>
      </c>
      <c r="C95" s="107">
        <v>64</v>
      </c>
      <c r="D95" s="110">
        <v>64</v>
      </c>
      <c r="E95" s="22">
        <f t="shared" si="10"/>
        <v>0</v>
      </c>
      <c r="G95" s="78">
        <v>80</v>
      </c>
      <c r="H95" s="62">
        <f t="shared" ref="H95" si="12">C93</f>
        <v>72</v>
      </c>
      <c r="I95" s="20"/>
      <c r="J95" s="21"/>
      <c r="K95" s="57">
        <v>72</v>
      </c>
      <c r="L95" s="23">
        <f t="shared" si="5"/>
        <v>24</v>
      </c>
      <c r="M95" s="23">
        <f t="shared" si="9"/>
        <v>24</v>
      </c>
      <c r="N95" s="23"/>
      <c r="O95" s="23">
        <v>17</v>
      </c>
      <c r="Q95" s="1">
        <f>AVERAGE(G92:G95)</f>
        <v>74</v>
      </c>
    </row>
    <row r="96" spans="1:17" s="12" customFormat="1" hidden="1" outlineLevel="1">
      <c r="A96" s="95">
        <v>45192</v>
      </c>
      <c r="B96" s="25" t="s">
        <v>16</v>
      </c>
      <c r="C96" s="98"/>
      <c r="D96" s="99"/>
      <c r="E96" s="87">
        <f t="shared" si="10"/>
        <v>0</v>
      </c>
      <c r="G96" s="79">
        <v>0</v>
      </c>
      <c r="H96" s="63"/>
      <c r="I96" s="27"/>
      <c r="J96" s="28"/>
      <c r="K96" s="43"/>
      <c r="L96" s="29">
        <f t="shared" si="5"/>
        <v>24</v>
      </c>
      <c r="M96" s="29">
        <f t="shared" si="9"/>
        <v>24</v>
      </c>
      <c r="N96" s="29"/>
      <c r="O96" s="29"/>
    </row>
    <row r="97" spans="1:17" s="12" customFormat="1" hidden="1" outlineLevel="1">
      <c r="A97" s="95">
        <v>45193</v>
      </c>
      <c r="B97" s="25" t="s">
        <v>17</v>
      </c>
      <c r="C97" s="98"/>
      <c r="D97" s="99"/>
      <c r="E97" s="87">
        <f t="shared" si="10"/>
        <v>0</v>
      </c>
      <c r="G97" s="79">
        <v>0</v>
      </c>
      <c r="H97" s="63"/>
      <c r="I97" s="27"/>
      <c r="J97" s="28"/>
      <c r="K97" s="43"/>
      <c r="L97" s="29">
        <f t="shared" si="5"/>
        <v>24</v>
      </c>
      <c r="M97" s="29">
        <f t="shared" si="9"/>
        <v>24</v>
      </c>
      <c r="N97" s="29"/>
      <c r="O97" s="29"/>
    </row>
    <row r="98" spans="1:17" hidden="1" outlineLevel="1">
      <c r="A98" s="96">
        <v>45194</v>
      </c>
      <c r="B98" s="17" t="s">
        <v>18</v>
      </c>
      <c r="C98" s="68">
        <v>56</v>
      </c>
      <c r="D98" s="110">
        <v>72</v>
      </c>
      <c r="E98" s="22">
        <f t="shared" si="10"/>
        <v>16</v>
      </c>
      <c r="G98" s="78">
        <v>64</v>
      </c>
      <c r="H98" s="62">
        <f>C94</f>
        <v>64</v>
      </c>
      <c r="I98" s="20"/>
      <c r="J98" s="21"/>
      <c r="K98" s="57">
        <v>64</v>
      </c>
      <c r="L98" s="23">
        <f t="shared" si="5"/>
        <v>24</v>
      </c>
      <c r="M98" s="23">
        <f t="shared" si="9"/>
        <v>24</v>
      </c>
      <c r="N98" s="23"/>
      <c r="O98" s="23">
        <v>0</v>
      </c>
    </row>
    <row r="99" spans="1:17" hidden="1" outlineLevel="1">
      <c r="A99" s="96">
        <v>45195</v>
      </c>
      <c r="B99" s="17" t="s">
        <v>19</v>
      </c>
      <c r="C99" s="68">
        <v>56</v>
      </c>
      <c r="D99" s="110">
        <v>72</v>
      </c>
      <c r="E99" s="22">
        <f t="shared" si="10"/>
        <v>32</v>
      </c>
      <c r="G99" s="78">
        <v>72</v>
      </c>
      <c r="H99" s="62">
        <f>C95</f>
        <v>64</v>
      </c>
      <c r="I99" s="20"/>
      <c r="J99" s="21"/>
      <c r="K99" s="57">
        <v>64</v>
      </c>
      <c r="L99" s="23">
        <f t="shared" si="5"/>
        <v>16</v>
      </c>
      <c r="M99" s="23">
        <f t="shared" si="9"/>
        <v>16</v>
      </c>
      <c r="N99" s="23"/>
      <c r="O99" s="23">
        <v>4</v>
      </c>
    </row>
    <row r="100" spans="1:17" hidden="1" outlineLevel="1">
      <c r="A100" s="96">
        <v>45196</v>
      </c>
      <c r="B100" s="17" t="s">
        <v>20</v>
      </c>
      <c r="C100" s="68">
        <v>56</v>
      </c>
      <c r="D100" s="110">
        <v>72</v>
      </c>
      <c r="E100" s="22">
        <f t="shared" si="10"/>
        <v>48</v>
      </c>
      <c r="G100" s="78">
        <v>56</v>
      </c>
      <c r="H100" s="62">
        <f>C98</f>
        <v>56</v>
      </c>
      <c r="I100" s="20"/>
      <c r="J100" s="21"/>
      <c r="K100" s="57">
        <v>56</v>
      </c>
      <c r="L100" s="23">
        <f t="shared" ref="L100:L103" si="13">L99-G100+K100</f>
        <v>16</v>
      </c>
      <c r="M100" s="23">
        <f t="shared" si="9"/>
        <v>16</v>
      </c>
      <c r="N100" s="23"/>
      <c r="O100" s="23">
        <v>6</v>
      </c>
    </row>
    <row r="101" spans="1:17" hidden="1" outlineLevel="1">
      <c r="A101" s="96">
        <v>45197</v>
      </c>
      <c r="B101" s="17" t="s">
        <v>14</v>
      </c>
      <c r="C101" s="68">
        <v>64</v>
      </c>
      <c r="D101" s="110">
        <v>72</v>
      </c>
      <c r="E101" s="22">
        <f t="shared" si="10"/>
        <v>56</v>
      </c>
      <c r="G101" s="78">
        <v>48</v>
      </c>
      <c r="H101" s="62">
        <f t="shared" ref="H101:H102" si="14">C99</f>
        <v>56</v>
      </c>
      <c r="I101" s="20"/>
      <c r="J101" s="21"/>
      <c r="K101" s="57">
        <v>56</v>
      </c>
      <c r="L101" s="23">
        <f t="shared" si="13"/>
        <v>24</v>
      </c>
      <c r="M101" s="23">
        <f t="shared" si="9"/>
        <v>24</v>
      </c>
      <c r="N101" s="23"/>
      <c r="O101" s="23">
        <v>8</v>
      </c>
    </row>
    <row r="102" spans="1:17" hidden="1" outlineLevel="1">
      <c r="A102" s="96">
        <v>45198</v>
      </c>
      <c r="B102" s="17" t="s">
        <v>15</v>
      </c>
      <c r="C102" s="68">
        <v>64</v>
      </c>
      <c r="D102" s="110">
        <v>64</v>
      </c>
      <c r="E102" s="22">
        <f t="shared" si="10"/>
        <v>56</v>
      </c>
      <c r="G102" s="78">
        <v>24</v>
      </c>
      <c r="H102" s="62">
        <f t="shared" si="14"/>
        <v>56</v>
      </c>
      <c r="I102" s="20"/>
      <c r="J102" s="21"/>
      <c r="K102" s="57">
        <v>56</v>
      </c>
      <c r="L102" s="23">
        <f t="shared" si="13"/>
        <v>56</v>
      </c>
      <c r="M102" s="23">
        <f t="shared" si="9"/>
        <v>56</v>
      </c>
      <c r="N102" s="23"/>
      <c r="O102" s="23">
        <v>11</v>
      </c>
      <c r="Q102" s="1">
        <f>AVERAGE(G98:G102)</f>
        <v>52.8</v>
      </c>
    </row>
    <row r="103" spans="1:17" s="12" customFormat="1" hidden="1" outlineLevel="1">
      <c r="A103" s="95">
        <v>45199</v>
      </c>
      <c r="B103" s="25" t="s">
        <v>16</v>
      </c>
      <c r="C103" s="98"/>
      <c r="D103" s="99"/>
      <c r="E103" s="87">
        <f t="shared" si="10"/>
        <v>56</v>
      </c>
      <c r="G103" s="79">
        <v>0</v>
      </c>
      <c r="H103" s="63"/>
      <c r="I103" s="27"/>
      <c r="J103" s="28"/>
      <c r="K103" s="43"/>
      <c r="L103" s="29">
        <f t="shared" si="13"/>
        <v>56</v>
      </c>
      <c r="M103" s="29">
        <f t="shared" si="9"/>
        <v>56</v>
      </c>
      <c r="N103" s="29"/>
      <c r="O103" s="29"/>
    </row>
    <row r="104" spans="1:17" s="12" customFormat="1" hidden="1" outlineLevel="1">
      <c r="A104" s="95">
        <v>45200</v>
      </c>
      <c r="B104" s="25" t="s">
        <v>17</v>
      </c>
      <c r="C104" s="69"/>
      <c r="D104" s="99"/>
      <c r="E104" s="87">
        <f t="shared" ref="E104:E164" si="15">E103-C104+D104</f>
        <v>56</v>
      </c>
      <c r="G104" s="79">
        <v>0</v>
      </c>
      <c r="H104" s="63"/>
      <c r="I104" s="27"/>
      <c r="J104" s="28"/>
      <c r="K104" s="43"/>
      <c r="L104" s="29">
        <f t="shared" ref="L104:L164" si="16">L103-G104+K104</f>
        <v>56</v>
      </c>
      <c r="M104" s="29">
        <f t="shared" ref="M104:M162" si="17">M103-G104+H104</f>
        <v>56</v>
      </c>
      <c r="N104" s="29"/>
      <c r="O104" s="29"/>
    </row>
    <row r="105" spans="1:17" hidden="1" outlineLevel="1">
      <c r="A105" s="96">
        <v>45201</v>
      </c>
      <c r="B105" s="17" t="s">
        <v>18</v>
      </c>
      <c r="C105" s="68">
        <v>72</v>
      </c>
      <c r="D105" s="110">
        <v>72</v>
      </c>
      <c r="E105" s="22">
        <f t="shared" si="15"/>
        <v>56</v>
      </c>
      <c r="G105" s="78">
        <v>64</v>
      </c>
      <c r="H105" s="62">
        <f>C101</f>
        <v>64</v>
      </c>
      <c r="I105" s="20"/>
      <c r="J105" s="21"/>
      <c r="K105" s="57">
        <v>64</v>
      </c>
      <c r="L105" s="23">
        <f t="shared" si="16"/>
        <v>56</v>
      </c>
      <c r="M105" s="23">
        <f t="shared" si="17"/>
        <v>56</v>
      </c>
      <c r="N105" s="23"/>
      <c r="O105" s="23">
        <v>6</v>
      </c>
    </row>
    <row r="106" spans="1:17" hidden="1" outlineLevel="1">
      <c r="A106" s="96">
        <v>45202</v>
      </c>
      <c r="B106" s="17" t="s">
        <v>19</v>
      </c>
      <c r="C106" s="68">
        <v>72</v>
      </c>
      <c r="D106" s="110">
        <v>72</v>
      </c>
      <c r="E106" s="22">
        <f t="shared" si="15"/>
        <v>56</v>
      </c>
      <c r="G106" s="78">
        <v>152</v>
      </c>
      <c r="H106" s="62">
        <f>C102</f>
        <v>64</v>
      </c>
      <c r="I106" s="20"/>
      <c r="J106" s="21"/>
      <c r="K106" s="57">
        <v>64</v>
      </c>
      <c r="L106" s="23">
        <f t="shared" si="16"/>
        <v>-32</v>
      </c>
      <c r="M106" s="23">
        <f t="shared" si="17"/>
        <v>-32</v>
      </c>
      <c r="N106" s="23"/>
      <c r="O106" s="23">
        <v>13</v>
      </c>
    </row>
    <row r="107" spans="1:17" hidden="1" outlineLevel="1">
      <c r="A107" s="96">
        <v>45203</v>
      </c>
      <c r="B107" s="17" t="s">
        <v>20</v>
      </c>
      <c r="C107" s="68">
        <v>72</v>
      </c>
      <c r="D107" s="110">
        <v>72</v>
      </c>
      <c r="E107" s="22">
        <f t="shared" si="15"/>
        <v>56</v>
      </c>
      <c r="G107" s="78">
        <v>56</v>
      </c>
      <c r="H107" s="62">
        <f>C105</f>
        <v>72</v>
      </c>
      <c r="I107" s="20"/>
      <c r="J107" s="21"/>
      <c r="K107" s="57">
        <v>72</v>
      </c>
      <c r="L107" s="23">
        <f t="shared" si="16"/>
        <v>-16</v>
      </c>
      <c r="M107" s="23">
        <f t="shared" si="17"/>
        <v>-16</v>
      </c>
      <c r="N107" s="23"/>
      <c r="O107" s="23">
        <v>4</v>
      </c>
    </row>
    <row r="108" spans="1:17" hidden="1" outlineLevel="1">
      <c r="A108" s="96">
        <v>45204</v>
      </c>
      <c r="B108" s="17" t="s">
        <v>14</v>
      </c>
      <c r="C108" s="68">
        <v>72</v>
      </c>
      <c r="D108" s="110">
        <v>72</v>
      </c>
      <c r="E108" s="22">
        <f t="shared" si="15"/>
        <v>56</v>
      </c>
      <c r="G108" s="78">
        <v>48</v>
      </c>
      <c r="H108" s="62">
        <f t="shared" ref="H108:H109" si="18">C106</f>
        <v>72</v>
      </c>
      <c r="I108" s="20"/>
      <c r="J108" s="21"/>
      <c r="K108" s="57">
        <v>72</v>
      </c>
      <c r="L108" s="23">
        <f t="shared" si="16"/>
        <v>8</v>
      </c>
      <c r="M108" s="23">
        <f t="shared" si="17"/>
        <v>8</v>
      </c>
      <c r="N108" s="23"/>
      <c r="O108" s="23">
        <v>11</v>
      </c>
    </row>
    <row r="109" spans="1:17" hidden="1" outlineLevel="1">
      <c r="A109" s="96">
        <v>45205</v>
      </c>
      <c r="B109" s="17" t="s">
        <v>15</v>
      </c>
      <c r="C109" s="68">
        <v>72</v>
      </c>
      <c r="D109" s="110">
        <v>72</v>
      </c>
      <c r="E109" s="22">
        <f t="shared" si="15"/>
        <v>56</v>
      </c>
      <c r="G109" s="78">
        <v>56</v>
      </c>
      <c r="H109" s="62">
        <f t="shared" si="18"/>
        <v>72</v>
      </c>
      <c r="I109" s="20"/>
      <c r="J109" s="21"/>
      <c r="K109" s="57">
        <v>72</v>
      </c>
      <c r="L109" s="23">
        <f t="shared" si="16"/>
        <v>24</v>
      </c>
      <c r="M109" s="23">
        <f t="shared" si="17"/>
        <v>24</v>
      </c>
      <c r="N109" s="23"/>
      <c r="O109" s="23">
        <v>6</v>
      </c>
      <c r="Q109" s="1">
        <f>AVERAGE(G105:G109)</f>
        <v>75.2</v>
      </c>
    </row>
    <row r="110" spans="1:17" s="12" customFormat="1" hidden="1" outlineLevel="1">
      <c r="A110" s="95">
        <v>45206</v>
      </c>
      <c r="B110" s="25" t="s">
        <v>16</v>
      </c>
      <c r="C110" s="69"/>
      <c r="D110" s="99"/>
      <c r="E110" s="87">
        <f t="shared" si="15"/>
        <v>56</v>
      </c>
      <c r="G110" s="79">
        <v>0</v>
      </c>
      <c r="H110" s="63"/>
      <c r="I110" s="27"/>
      <c r="J110" s="28"/>
      <c r="K110" s="43"/>
      <c r="L110" s="29">
        <f t="shared" si="16"/>
        <v>24</v>
      </c>
      <c r="M110" s="29">
        <f t="shared" si="17"/>
        <v>24</v>
      </c>
      <c r="N110" s="29"/>
      <c r="O110" s="29"/>
    </row>
    <row r="111" spans="1:17" s="12" customFormat="1" hidden="1" outlineLevel="1">
      <c r="A111" s="95">
        <v>45207</v>
      </c>
      <c r="B111" s="25" t="s">
        <v>17</v>
      </c>
      <c r="C111" s="69"/>
      <c r="D111" s="99"/>
      <c r="E111" s="87">
        <f t="shared" si="15"/>
        <v>56</v>
      </c>
      <c r="G111" s="79">
        <v>0</v>
      </c>
      <c r="H111" s="63"/>
      <c r="I111" s="27"/>
      <c r="J111" s="28"/>
      <c r="K111" s="43"/>
      <c r="L111" s="29">
        <f t="shared" si="16"/>
        <v>24</v>
      </c>
      <c r="M111" s="29">
        <f t="shared" si="17"/>
        <v>24</v>
      </c>
      <c r="N111" s="29"/>
      <c r="O111" s="29"/>
    </row>
    <row r="112" spans="1:17" s="12" customFormat="1" hidden="1" outlineLevel="1">
      <c r="A112" s="95">
        <v>45208</v>
      </c>
      <c r="B112" s="25" t="s">
        <v>18</v>
      </c>
      <c r="C112" s="69"/>
      <c r="D112" s="99"/>
      <c r="E112" s="87">
        <f t="shared" si="15"/>
        <v>56</v>
      </c>
      <c r="G112" s="79">
        <v>0</v>
      </c>
      <c r="H112" s="63"/>
      <c r="I112" s="27"/>
      <c r="J112" s="28"/>
      <c r="K112" s="43"/>
      <c r="L112" s="29">
        <f t="shared" si="16"/>
        <v>24</v>
      </c>
      <c r="M112" s="29">
        <f t="shared" si="17"/>
        <v>24</v>
      </c>
      <c r="N112" s="29"/>
      <c r="O112" s="29">
        <v>6</v>
      </c>
    </row>
    <row r="113" spans="1:17" hidden="1" outlineLevel="1">
      <c r="A113" s="96">
        <v>45209</v>
      </c>
      <c r="B113" s="17" t="s">
        <v>19</v>
      </c>
      <c r="C113" s="68">
        <v>56</v>
      </c>
      <c r="D113" s="110">
        <v>48</v>
      </c>
      <c r="E113" s="22">
        <f t="shared" si="15"/>
        <v>48</v>
      </c>
      <c r="G113" s="78">
        <v>80</v>
      </c>
      <c r="H113" s="62">
        <f>C108</f>
        <v>72</v>
      </c>
      <c r="I113" s="20"/>
      <c r="J113" s="21"/>
      <c r="K113" s="57">
        <v>72</v>
      </c>
      <c r="L113" s="23">
        <f t="shared" si="16"/>
        <v>16</v>
      </c>
      <c r="M113" s="23">
        <f t="shared" si="17"/>
        <v>16</v>
      </c>
      <c r="N113" s="23"/>
      <c r="O113" s="23">
        <v>20</v>
      </c>
    </row>
    <row r="114" spans="1:17" hidden="1" outlineLevel="1">
      <c r="A114" s="96">
        <v>45210</v>
      </c>
      <c r="B114" s="17" t="s">
        <v>20</v>
      </c>
      <c r="C114" s="68">
        <v>64</v>
      </c>
      <c r="D114" s="110">
        <v>48</v>
      </c>
      <c r="E114" s="22">
        <f t="shared" si="15"/>
        <v>32</v>
      </c>
      <c r="G114" s="78">
        <v>40</v>
      </c>
      <c r="H114" s="62">
        <f>C109</f>
        <v>72</v>
      </c>
      <c r="I114" s="20"/>
      <c r="J114" s="21"/>
      <c r="K114" s="57">
        <v>72</v>
      </c>
      <c r="L114" s="23">
        <f t="shared" si="16"/>
        <v>48</v>
      </c>
      <c r="M114" s="23">
        <f t="shared" si="17"/>
        <v>48</v>
      </c>
      <c r="N114" s="23"/>
      <c r="O114" s="23">
        <v>6</v>
      </c>
    </row>
    <row r="115" spans="1:17" hidden="1" outlineLevel="1">
      <c r="A115" s="96">
        <v>45211</v>
      </c>
      <c r="B115" s="17" t="s">
        <v>14</v>
      </c>
      <c r="C115" s="68">
        <v>64</v>
      </c>
      <c r="D115" s="110">
        <v>56</v>
      </c>
      <c r="E115" s="22">
        <f t="shared" si="15"/>
        <v>24</v>
      </c>
      <c r="G115" s="78">
        <v>64</v>
      </c>
      <c r="H115" s="62">
        <f t="shared" ref="H115:H116" si="19">C113</f>
        <v>56</v>
      </c>
      <c r="I115" s="20"/>
      <c r="J115" s="21"/>
      <c r="K115" s="57">
        <v>56</v>
      </c>
      <c r="L115" s="23">
        <f t="shared" si="16"/>
        <v>40</v>
      </c>
      <c r="M115" s="23">
        <f t="shared" si="17"/>
        <v>40</v>
      </c>
      <c r="N115" s="23"/>
      <c r="O115" s="23">
        <v>9</v>
      </c>
    </row>
    <row r="116" spans="1:17" hidden="1" outlineLevel="1">
      <c r="A116" s="96">
        <v>45212</v>
      </c>
      <c r="B116" s="17" t="s">
        <v>15</v>
      </c>
      <c r="C116" s="68">
        <v>64</v>
      </c>
      <c r="D116" s="110">
        <v>56</v>
      </c>
      <c r="E116" s="22">
        <f t="shared" si="15"/>
        <v>16</v>
      </c>
      <c r="G116" s="78">
        <v>80</v>
      </c>
      <c r="H116" s="62">
        <f t="shared" si="19"/>
        <v>64</v>
      </c>
      <c r="I116" s="20"/>
      <c r="J116" s="21"/>
      <c r="K116" s="57">
        <v>64</v>
      </c>
      <c r="L116" s="23">
        <f t="shared" si="16"/>
        <v>24</v>
      </c>
      <c r="M116" s="23">
        <f t="shared" si="17"/>
        <v>24</v>
      </c>
      <c r="N116" s="23"/>
      <c r="O116" s="23">
        <v>0</v>
      </c>
      <c r="Q116" s="1">
        <f>AVERAGE(G113:G116)</f>
        <v>66</v>
      </c>
    </row>
    <row r="117" spans="1:17" s="12" customFormat="1" hidden="1" outlineLevel="1">
      <c r="A117" s="95">
        <v>45213</v>
      </c>
      <c r="B117" s="25" t="s">
        <v>16</v>
      </c>
      <c r="C117" s="69"/>
      <c r="D117" s="99"/>
      <c r="E117" s="87">
        <f t="shared" si="15"/>
        <v>16</v>
      </c>
      <c r="G117" s="79">
        <v>0</v>
      </c>
      <c r="H117" s="63"/>
      <c r="I117" s="27"/>
      <c r="J117" s="28"/>
      <c r="K117" s="43"/>
      <c r="L117" s="29">
        <f t="shared" si="16"/>
        <v>24</v>
      </c>
      <c r="M117" s="29">
        <f t="shared" si="17"/>
        <v>24</v>
      </c>
      <c r="N117" s="29"/>
      <c r="O117" s="29"/>
    </row>
    <row r="118" spans="1:17" s="12" customFormat="1" hidden="1" outlineLevel="1">
      <c r="A118" s="95">
        <v>45214</v>
      </c>
      <c r="B118" s="25" t="s">
        <v>17</v>
      </c>
      <c r="C118" s="69"/>
      <c r="D118" s="99"/>
      <c r="E118" s="87">
        <f t="shared" si="15"/>
        <v>16</v>
      </c>
      <c r="G118" s="79">
        <v>0</v>
      </c>
      <c r="H118" s="63"/>
      <c r="I118" s="27"/>
      <c r="J118" s="28"/>
      <c r="K118" s="43"/>
      <c r="L118" s="29">
        <f t="shared" si="16"/>
        <v>24</v>
      </c>
      <c r="M118" s="29">
        <f t="shared" si="17"/>
        <v>24</v>
      </c>
      <c r="N118" s="29"/>
      <c r="O118" s="29"/>
    </row>
    <row r="119" spans="1:17" hidden="1" outlineLevel="1">
      <c r="A119" s="96">
        <v>45215</v>
      </c>
      <c r="B119" s="17" t="s">
        <v>18</v>
      </c>
      <c r="C119" s="68">
        <v>56</v>
      </c>
      <c r="D119" s="110">
        <v>56</v>
      </c>
      <c r="E119" s="22">
        <f t="shared" si="15"/>
        <v>16</v>
      </c>
      <c r="G119" s="78">
        <v>64</v>
      </c>
      <c r="H119" s="62">
        <f>C115</f>
        <v>64</v>
      </c>
      <c r="I119" s="20"/>
      <c r="J119" s="21"/>
      <c r="K119" s="57">
        <v>64</v>
      </c>
      <c r="L119" s="23">
        <f t="shared" si="16"/>
        <v>24</v>
      </c>
      <c r="M119" s="23">
        <f t="shared" si="17"/>
        <v>24</v>
      </c>
      <c r="N119" s="23"/>
      <c r="O119" s="23">
        <v>0</v>
      </c>
    </row>
    <row r="120" spans="1:17" hidden="1" outlineLevel="1">
      <c r="A120" s="96">
        <v>45216</v>
      </c>
      <c r="B120" s="17" t="s">
        <v>19</v>
      </c>
      <c r="C120" s="68">
        <v>56</v>
      </c>
      <c r="D120" s="110">
        <v>56</v>
      </c>
      <c r="E120" s="22">
        <f t="shared" si="15"/>
        <v>16</v>
      </c>
      <c r="G120" s="78">
        <v>72</v>
      </c>
      <c r="H120" s="62">
        <f>C116</f>
        <v>64</v>
      </c>
      <c r="I120" s="20"/>
      <c r="J120" s="21"/>
      <c r="K120" s="57">
        <v>64</v>
      </c>
      <c r="L120" s="23">
        <f t="shared" si="16"/>
        <v>16</v>
      </c>
      <c r="M120" s="23">
        <f t="shared" si="17"/>
        <v>16</v>
      </c>
      <c r="N120" s="23"/>
      <c r="O120" s="23">
        <v>9</v>
      </c>
    </row>
    <row r="121" spans="1:17" hidden="1" outlineLevel="1">
      <c r="A121" s="96">
        <v>45217</v>
      </c>
      <c r="B121" s="17" t="s">
        <v>20</v>
      </c>
      <c r="C121" s="163">
        <v>0</v>
      </c>
      <c r="D121" s="110">
        <v>0</v>
      </c>
      <c r="E121" s="22">
        <f t="shared" si="15"/>
        <v>16</v>
      </c>
      <c r="G121" s="78">
        <v>80</v>
      </c>
      <c r="H121" s="62">
        <f>C119</f>
        <v>56</v>
      </c>
      <c r="I121" s="20"/>
      <c r="J121" s="21"/>
      <c r="K121" s="57">
        <v>56</v>
      </c>
      <c r="L121" s="23">
        <f t="shared" si="16"/>
        <v>-8</v>
      </c>
      <c r="M121" s="23">
        <f t="shared" si="17"/>
        <v>-8</v>
      </c>
      <c r="N121" s="23"/>
      <c r="O121" s="23">
        <v>9</v>
      </c>
    </row>
    <row r="122" spans="1:17" hidden="1" outlineLevel="1">
      <c r="A122" s="96">
        <v>45218</v>
      </c>
      <c r="B122" s="17" t="s">
        <v>14</v>
      </c>
      <c r="C122" s="163">
        <v>0</v>
      </c>
      <c r="D122" s="110">
        <v>0</v>
      </c>
      <c r="E122" s="22">
        <f t="shared" si="15"/>
        <v>16</v>
      </c>
      <c r="G122" s="78">
        <v>0</v>
      </c>
      <c r="H122" s="160">
        <v>0</v>
      </c>
      <c r="I122" s="20"/>
      <c r="J122" s="21"/>
      <c r="K122" s="164">
        <v>0</v>
      </c>
      <c r="L122" s="23">
        <f t="shared" si="16"/>
        <v>-8</v>
      </c>
      <c r="M122" s="23">
        <f t="shared" si="17"/>
        <v>-8</v>
      </c>
      <c r="N122" s="23"/>
      <c r="O122" s="23">
        <v>0</v>
      </c>
    </row>
    <row r="123" spans="1:17" hidden="1" outlineLevel="1">
      <c r="A123" s="96">
        <v>45219</v>
      </c>
      <c r="B123" s="17" t="s">
        <v>15</v>
      </c>
      <c r="C123" s="138">
        <v>56</v>
      </c>
      <c r="D123" s="110">
        <v>80</v>
      </c>
      <c r="E123" s="22">
        <f t="shared" si="15"/>
        <v>40</v>
      </c>
      <c r="G123" s="78">
        <v>64</v>
      </c>
      <c r="H123" s="160">
        <f t="shared" ref="H123" si="20">C121</f>
        <v>0</v>
      </c>
      <c r="I123" s="20"/>
      <c r="J123" s="21"/>
      <c r="K123" s="164">
        <v>0</v>
      </c>
      <c r="L123" s="23">
        <f t="shared" si="16"/>
        <v>-72</v>
      </c>
      <c r="M123" s="23">
        <f t="shared" si="17"/>
        <v>-72</v>
      </c>
      <c r="N123" s="23"/>
      <c r="O123" s="23">
        <v>0</v>
      </c>
      <c r="Q123" s="1">
        <f>AVERAGE(G119:G123)</f>
        <v>56</v>
      </c>
    </row>
    <row r="124" spans="1:17" s="12" customFormat="1" hidden="1" outlineLevel="1">
      <c r="A124" s="95">
        <v>45220</v>
      </c>
      <c r="B124" s="25" t="s">
        <v>16</v>
      </c>
      <c r="C124" s="69"/>
      <c r="D124" s="99"/>
      <c r="E124" s="87">
        <f t="shared" si="15"/>
        <v>40</v>
      </c>
      <c r="G124" s="79">
        <v>0</v>
      </c>
      <c r="H124" s="63"/>
      <c r="I124" s="27"/>
      <c r="J124" s="28"/>
      <c r="K124" s="43"/>
      <c r="L124" s="29">
        <f t="shared" si="16"/>
        <v>-72</v>
      </c>
      <c r="M124" s="29">
        <f t="shared" si="17"/>
        <v>-72</v>
      </c>
      <c r="N124" s="29"/>
      <c r="O124" s="29"/>
    </row>
    <row r="125" spans="1:17" s="12" customFormat="1" hidden="1" outlineLevel="1">
      <c r="A125" s="95">
        <v>45221</v>
      </c>
      <c r="B125" s="25" t="s">
        <v>17</v>
      </c>
      <c r="C125" s="69"/>
      <c r="D125" s="99"/>
      <c r="E125" s="87">
        <f t="shared" si="15"/>
        <v>40</v>
      </c>
      <c r="G125" s="79">
        <v>0</v>
      </c>
      <c r="H125" s="63"/>
      <c r="I125" s="27"/>
      <c r="J125" s="28"/>
      <c r="K125" s="43"/>
      <c r="L125" s="29">
        <f t="shared" si="16"/>
        <v>-72</v>
      </c>
      <c r="M125" s="29">
        <f t="shared" si="17"/>
        <v>-72</v>
      </c>
      <c r="N125" s="29"/>
      <c r="O125" s="29"/>
    </row>
    <row r="126" spans="1:17" hidden="1" outlineLevel="1">
      <c r="A126" s="96">
        <v>45222</v>
      </c>
      <c r="B126" s="17" t="s">
        <v>18</v>
      </c>
      <c r="C126" s="163">
        <v>0</v>
      </c>
      <c r="D126" s="110">
        <v>0</v>
      </c>
      <c r="E126" s="22">
        <f t="shared" si="15"/>
        <v>40</v>
      </c>
      <c r="G126" s="78">
        <v>64</v>
      </c>
      <c r="H126" s="160">
        <v>0</v>
      </c>
      <c r="I126" s="20"/>
      <c r="J126" s="21"/>
      <c r="K126" s="164">
        <v>0</v>
      </c>
      <c r="L126" s="23">
        <f t="shared" si="16"/>
        <v>-136</v>
      </c>
      <c r="M126" s="23">
        <f t="shared" si="17"/>
        <v>-136</v>
      </c>
      <c r="N126" s="23"/>
      <c r="O126" s="23">
        <v>0</v>
      </c>
    </row>
    <row r="127" spans="1:17" hidden="1" outlineLevel="1">
      <c r="A127" s="96">
        <v>45223</v>
      </c>
      <c r="B127" s="17" t="s">
        <v>19</v>
      </c>
      <c r="C127" s="163">
        <v>0</v>
      </c>
      <c r="D127" s="110">
        <v>0</v>
      </c>
      <c r="E127" s="22">
        <f t="shared" si="15"/>
        <v>40</v>
      </c>
      <c r="G127" s="78">
        <v>80</v>
      </c>
      <c r="H127" s="160">
        <v>0</v>
      </c>
      <c r="I127" s="20"/>
      <c r="J127" s="21"/>
      <c r="K127" s="164">
        <v>0</v>
      </c>
      <c r="L127" s="23">
        <f t="shared" si="16"/>
        <v>-216</v>
      </c>
      <c r="M127" s="23">
        <f t="shared" si="17"/>
        <v>-216</v>
      </c>
      <c r="N127" s="23"/>
      <c r="O127" s="23">
        <v>0</v>
      </c>
    </row>
    <row r="128" spans="1:17" hidden="1" outlineLevel="1">
      <c r="A128" s="96">
        <v>45224</v>
      </c>
      <c r="B128" s="17" t="s">
        <v>20</v>
      </c>
      <c r="C128" s="163">
        <v>0</v>
      </c>
      <c r="D128" s="110">
        <v>0</v>
      </c>
      <c r="E128" s="22">
        <f t="shared" si="15"/>
        <v>40</v>
      </c>
      <c r="G128" s="78">
        <v>16</v>
      </c>
      <c r="H128" s="160">
        <v>0</v>
      </c>
      <c r="I128" s="20"/>
      <c r="J128" s="21"/>
      <c r="K128" s="164">
        <v>0</v>
      </c>
      <c r="L128" s="23">
        <f t="shared" si="16"/>
        <v>-232</v>
      </c>
      <c r="M128" s="23">
        <f t="shared" si="17"/>
        <v>-232</v>
      </c>
      <c r="N128" s="23"/>
      <c r="O128" s="23">
        <v>0</v>
      </c>
    </row>
    <row r="129" spans="1:22" hidden="1" outlineLevel="1">
      <c r="A129" s="96">
        <v>45225</v>
      </c>
      <c r="B129" s="17" t="s">
        <v>14</v>
      </c>
      <c r="C129" s="68">
        <v>64</v>
      </c>
      <c r="D129" s="110">
        <v>64</v>
      </c>
      <c r="E129" s="22">
        <f t="shared" si="15"/>
        <v>40</v>
      </c>
      <c r="G129" s="78">
        <v>0</v>
      </c>
      <c r="H129" s="62">
        <f>C120+I129</f>
        <v>56</v>
      </c>
      <c r="I129" s="20"/>
      <c r="J129" s="21"/>
      <c r="K129" s="57">
        <v>56</v>
      </c>
      <c r="L129" s="23">
        <f t="shared" si="16"/>
        <v>-176</v>
      </c>
      <c r="M129" s="23">
        <f t="shared" si="17"/>
        <v>-176</v>
      </c>
      <c r="N129" s="23"/>
      <c r="O129" s="23">
        <v>0</v>
      </c>
    </row>
    <row r="130" spans="1:22" hidden="1" outlineLevel="1">
      <c r="A130" s="96">
        <v>45226</v>
      </c>
      <c r="B130" s="17" t="s">
        <v>15</v>
      </c>
      <c r="C130" s="68">
        <v>64</v>
      </c>
      <c r="D130" s="110">
        <v>64</v>
      </c>
      <c r="E130" s="22">
        <f t="shared" si="15"/>
        <v>40</v>
      </c>
      <c r="G130" s="78">
        <v>0</v>
      </c>
      <c r="H130" s="62">
        <f>C123+I130</f>
        <v>56</v>
      </c>
      <c r="I130" s="20"/>
      <c r="J130" s="21"/>
      <c r="K130" s="57">
        <v>56</v>
      </c>
      <c r="L130" s="23">
        <f t="shared" si="16"/>
        <v>-120</v>
      </c>
      <c r="M130" s="23">
        <f t="shared" si="17"/>
        <v>-120</v>
      </c>
      <c r="N130" s="23"/>
      <c r="O130" s="23">
        <v>10</v>
      </c>
      <c r="Q130" s="1">
        <f>AVERAGE(G126:G130)</f>
        <v>32</v>
      </c>
    </row>
    <row r="131" spans="1:22" s="12" customFormat="1" hidden="1" outlineLevel="1">
      <c r="A131" s="95">
        <v>45227</v>
      </c>
      <c r="B131" s="25" t="s">
        <v>16</v>
      </c>
      <c r="C131" s="69"/>
      <c r="D131" s="99"/>
      <c r="E131" s="87">
        <f t="shared" si="15"/>
        <v>40</v>
      </c>
      <c r="G131" s="79">
        <v>0</v>
      </c>
      <c r="H131" s="63"/>
      <c r="I131" s="27"/>
      <c r="J131" s="28"/>
      <c r="K131" s="43"/>
      <c r="L131" s="29">
        <f t="shared" si="16"/>
        <v>-120</v>
      </c>
      <c r="M131" s="29">
        <f t="shared" si="17"/>
        <v>-120</v>
      </c>
      <c r="N131" s="29"/>
      <c r="O131" s="29"/>
    </row>
    <row r="132" spans="1:22" s="12" customFormat="1" hidden="1" outlineLevel="1">
      <c r="A132" s="95">
        <v>45228</v>
      </c>
      <c r="B132" s="25" t="s">
        <v>17</v>
      </c>
      <c r="C132" s="69"/>
      <c r="D132" s="99"/>
      <c r="E132" s="87">
        <f t="shared" si="15"/>
        <v>40</v>
      </c>
      <c r="G132" s="79">
        <v>0</v>
      </c>
      <c r="H132" s="63"/>
      <c r="I132" s="27"/>
      <c r="J132" s="28"/>
      <c r="K132" s="43"/>
      <c r="L132" s="29">
        <f t="shared" si="16"/>
        <v>-120</v>
      </c>
      <c r="M132" s="29">
        <f t="shared" si="17"/>
        <v>-120</v>
      </c>
      <c r="N132" s="29"/>
      <c r="O132" s="29"/>
    </row>
    <row r="133" spans="1:22" hidden="1" outlineLevel="1">
      <c r="A133" s="96">
        <v>45229</v>
      </c>
      <c r="B133" s="17" t="s">
        <v>18</v>
      </c>
      <c r="C133" s="163">
        <v>0</v>
      </c>
      <c r="D133" s="110">
        <v>40</v>
      </c>
      <c r="E133" s="22">
        <f t="shared" si="15"/>
        <v>80</v>
      </c>
      <c r="G133" s="78">
        <v>0</v>
      </c>
      <c r="H133" s="62">
        <f>C129+I133</f>
        <v>64</v>
      </c>
      <c r="I133" s="20"/>
      <c r="J133" s="21"/>
      <c r="K133" s="57">
        <v>64</v>
      </c>
      <c r="L133" s="23">
        <f t="shared" si="16"/>
        <v>-56</v>
      </c>
      <c r="M133" s="23">
        <f t="shared" si="17"/>
        <v>-56</v>
      </c>
      <c r="N133" s="23"/>
      <c r="O133" s="23">
        <v>0</v>
      </c>
    </row>
    <row r="134" spans="1:22" hidden="1" outlineLevel="1">
      <c r="A134" s="96">
        <v>45230</v>
      </c>
      <c r="B134" s="17" t="s">
        <v>19</v>
      </c>
      <c r="C134" s="163">
        <v>0</v>
      </c>
      <c r="D134" s="110">
        <v>0</v>
      </c>
      <c r="E134" s="22">
        <f t="shared" si="15"/>
        <v>80</v>
      </c>
      <c r="G134" s="78">
        <v>0</v>
      </c>
      <c r="H134" s="62">
        <f>C130+I134</f>
        <v>64</v>
      </c>
      <c r="I134" s="20"/>
      <c r="J134" s="21"/>
      <c r="K134" s="57">
        <v>64</v>
      </c>
      <c r="L134" s="23">
        <f t="shared" si="16"/>
        <v>8</v>
      </c>
      <c r="M134" s="23">
        <f t="shared" si="17"/>
        <v>8</v>
      </c>
      <c r="N134" s="23"/>
      <c r="O134" s="23">
        <v>0</v>
      </c>
    </row>
    <row r="135" spans="1:22" hidden="1" outlineLevel="1">
      <c r="A135" s="96">
        <v>45231</v>
      </c>
      <c r="B135" s="17" t="s">
        <v>20</v>
      </c>
      <c r="C135" s="68">
        <v>48</v>
      </c>
      <c r="D135" s="110">
        <v>0</v>
      </c>
      <c r="E135" s="22">
        <f t="shared" si="15"/>
        <v>32</v>
      </c>
      <c r="G135" s="78">
        <v>56</v>
      </c>
      <c r="H135" s="160">
        <f>C133+I135</f>
        <v>0</v>
      </c>
      <c r="I135" s="20"/>
      <c r="J135" s="21"/>
      <c r="K135" s="57">
        <v>0</v>
      </c>
      <c r="L135" s="23">
        <f t="shared" si="16"/>
        <v>-48</v>
      </c>
      <c r="M135" s="23">
        <f t="shared" si="17"/>
        <v>-48</v>
      </c>
      <c r="N135" s="23"/>
      <c r="O135" s="23">
        <v>0</v>
      </c>
      <c r="S135" s="167">
        <v>45236</v>
      </c>
      <c r="T135" s="1" t="s">
        <v>38</v>
      </c>
      <c r="U135" s="1" t="s">
        <v>35</v>
      </c>
      <c r="V135" s="1">
        <f>8*8</f>
        <v>64</v>
      </c>
    </row>
    <row r="136" spans="1:22" hidden="1" outlineLevel="1">
      <c r="A136" s="96">
        <v>45232</v>
      </c>
      <c r="B136" s="17" t="s">
        <v>14</v>
      </c>
      <c r="C136" s="68">
        <v>48</v>
      </c>
      <c r="D136" s="110">
        <v>40</v>
      </c>
      <c r="E136" s="22">
        <f t="shared" si="15"/>
        <v>24</v>
      </c>
      <c r="G136" s="78">
        <v>0</v>
      </c>
      <c r="H136" s="160">
        <f t="shared" ref="H136" si="21">C134</f>
        <v>0</v>
      </c>
      <c r="I136" s="20"/>
      <c r="J136" s="21"/>
      <c r="K136" s="57">
        <v>0</v>
      </c>
      <c r="L136" s="23">
        <f t="shared" si="16"/>
        <v>-48</v>
      </c>
      <c r="M136" s="23">
        <f t="shared" si="17"/>
        <v>-48</v>
      </c>
      <c r="N136" s="23"/>
      <c r="O136" s="23">
        <v>10</v>
      </c>
      <c r="Q136" s="1">
        <f>AVERAGE(G133:G136)</f>
        <v>14</v>
      </c>
      <c r="S136" s="167">
        <v>45243</v>
      </c>
      <c r="T136" s="1" t="s">
        <v>38</v>
      </c>
      <c r="U136" s="1" t="s">
        <v>39</v>
      </c>
      <c r="V136" s="1">
        <f>8*8</f>
        <v>64</v>
      </c>
    </row>
    <row r="137" spans="1:22" s="12" customFormat="1" hidden="1" outlineLevel="1">
      <c r="A137" s="95">
        <v>45233</v>
      </c>
      <c r="B137" s="25" t="s">
        <v>15</v>
      </c>
      <c r="C137" s="154">
        <v>64</v>
      </c>
      <c r="D137" s="166">
        <v>64</v>
      </c>
      <c r="E137" s="155" t="s">
        <v>30</v>
      </c>
      <c r="G137" s="79">
        <v>0</v>
      </c>
      <c r="H137" s="63"/>
      <c r="I137" s="27"/>
      <c r="J137" s="28"/>
      <c r="K137" s="43"/>
      <c r="L137" s="29">
        <f t="shared" si="16"/>
        <v>-48</v>
      </c>
      <c r="M137" s="29">
        <f t="shared" si="17"/>
        <v>-48</v>
      </c>
      <c r="N137" s="29"/>
      <c r="O137" s="29"/>
    </row>
    <row r="138" spans="1:22" s="12" customFormat="1" hidden="1" outlineLevel="1">
      <c r="A138" s="95">
        <v>45234</v>
      </c>
      <c r="B138" s="25" t="s">
        <v>16</v>
      </c>
      <c r="C138" s="69"/>
      <c r="D138" s="99"/>
      <c r="E138" s="87">
        <f>E136-C138+D138</f>
        <v>24</v>
      </c>
      <c r="G138" s="79">
        <v>0</v>
      </c>
      <c r="H138" s="63"/>
      <c r="I138" s="27"/>
      <c r="J138" s="28"/>
      <c r="K138" s="43"/>
      <c r="L138" s="29">
        <f t="shared" si="16"/>
        <v>-48</v>
      </c>
      <c r="M138" s="29">
        <f t="shared" si="17"/>
        <v>-48</v>
      </c>
      <c r="N138" s="29"/>
      <c r="O138" s="29"/>
    </row>
    <row r="139" spans="1:22" s="12" customFormat="1" hidden="1" outlineLevel="1">
      <c r="A139" s="95">
        <v>45235</v>
      </c>
      <c r="B139" s="25" t="s">
        <v>17</v>
      </c>
      <c r="C139" s="69"/>
      <c r="D139" s="99"/>
      <c r="E139" s="87">
        <f t="shared" si="15"/>
        <v>24</v>
      </c>
      <c r="G139" s="79">
        <v>0</v>
      </c>
      <c r="H139" s="63"/>
      <c r="I139" s="27"/>
      <c r="J139" s="28"/>
      <c r="K139" s="43"/>
      <c r="L139" s="29">
        <f t="shared" si="16"/>
        <v>-48</v>
      </c>
      <c r="M139" s="29">
        <f t="shared" si="17"/>
        <v>-48</v>
      </c>
      <c r="N139" s="29"/>
      <c r="O139" s="29"/>
    </row>
    <row r="140" spans="1:22" hidden="1" outlineLevel="1">
      <c r="A140" s="96">
        <v>45236</v>
      </c>
      <c r="B140" s="17" t="s">
        <v>18</v>
      </c>
      <c r="C140" s="68">
        <v>64</v>
      </c>
      <c r="D140" s="110">
        <v>64</v>
      </c>
      <c r="E140" s="22">
        <f t="shared" si="15"/>
        <v>24</v>
      </c>
      <c r="G140" s="78">
        <v>56</v>
      </c>
      <c r="H140" s="62">
        <f>C135</f>
        <v>48</v>
      </c>
      <c r="I140" s="20"/>
      <c r="J140" s="21"/>
      <c r="K140" s="57">
        <v>48</v>
      </c>
      <c r="L140" s="23">
        <f t="shared" si="16"/>
        <v>-56</v>
      </c>
      <c r="M140" s="23">
        <f t="shared" si="17"/>
        <v>-56</v>
      </c>
      <c r="N140" s="23"/>
      <c r="O140" s="23">
        <v>0</v>
      </c>
    </row>
    <row r="141" spans="1:22" hidden="1" outlineLevel="1">
      <c r="A141" s="96">
        <v>45237</v>
      </c>
      <c r="B141" s="17" t="s">
        <v>19</v>
      </c>
      <c r="C141" s="68">
        <v>64</v>
      </c>
      <c r="D141" s="110">
        <v>56</v>
      </c>
      <c r="E141" s="22">
        <f t="shared" si="15"/>
        <v>16</v>
      </c>
      <c r="G141" s="78">
        <v>16</v>
      </c>
      <c r="H141" s="62">
        <f>C136</f>
        <v>48</v>
      </c>
      <c r="I141" s="20"/>
      <c r="J141" s="21"/>
      <c r="K141" s="57">
        <v>48</v>
      </c>
      <c r="L141" s="23">
        <f t="shared" si="16"/>
        <v>-24</v>
      </c>
      <c r="M141" s="23">
        <f t="shared" si="17"/>
        <v>-24</v>
      </c>
      <c r="N141" s="23"/>
      <c r="O141" s="23">
        <v>0</v>
      </c>
    </row>
    <row r="142" spans="1:22" hidden="1" outlineLevel="1">
      <c r="A142" s="96">
        <v>45238</v>
      </c>
      <c r="B142" s="17" t="s">
        <v>20</v>
      </c>
      <c r="C142" s="68">
        <v>64</v>
      </c>
      <c r="D142" s="110">
        <v>56</v>
      </c>
      <c r="E142" s="22">
        <f t="shared" si="15"/>
        <v>8</v>
      </c>
      <c r="G142" s="78">
        <v>80</v>
      </c>
      <c r="H142" s="62">
        <f>C140</f>
        <v>64</v>
      </c>
      <c r="I142" s="20"/>
      <c r="J142" s="21"/>
      <c r="K142" s="57">
        <v>64</v>
      </c>
      <c r="L142" s="23">
        <f t="shared" si="16"/>
        <v>-40</v>
      </c>
      <c r="M142" s="23">
        <f t="shared" si="17"/>
        <v>-40</v>
      </c>
      <c r="N142" s="23"/>
      <c r="O142" s="23">
        <v>0</v>
      </c>
    </row>
    <row r="143" spans="1:22" hidden="1" outlineLevel="1">
      <c r="A143" s="96">
        <v>45239</v>
      </c>
      <c r="B143" s="17" t="s">
        <v>14</v>
      </c>
      <c r="C143" s="68">
        <v>56</v>
      </c>
      <c r="D143" s="110">
        <v>56</v>
      </c>
      <c r="E143" s="22">
        <f t="shared" si="15"/>
        <v>8</v>
      </c>
      <c r="G143" s="78">
        <v>64</v>
      </c>
      <c r="H143" s="62">
        <f t="shared" ref="H143:H144" si="22">C141</f>
        <v>64</v>
      </c>
      <c r="I143" s="20"/>
      <c r="J143" s="21"/>
      <c r="K143" s="57">
        <v>64</v>
      </c>
      <c r="L143" s="23">
        <f t="shared" si="16"/>
        <v>-40</v>
      </c>
      <c r="M143" s="23">
        <f t="shared" si="17"/>
        <v>-40</v>
      </c>
      <c r="N143" s="23"/>
      <c r="O143" s="23">
        <v>10</v>
      </c>
    </row>
    <row r="144" spans="1:22" hidden="1" outlineLevel="1">
      <c r="A144" s="96">
        <v>45240</v>
      </c>
      <c r="B144" s="17" t="s">
        <v>15</v>
      </c>
      <c r="C144" s="68">
        <v>56</v>
      </c>
      <c r="D144" s="110">
        <v>56</v>
      </c>
      <c r="E144" s="22">
        <f t="shared" si="15"/>
        <v>8</v>
      </c>
      <c r="G144" s="78">
        <v>16</v>
      </c>
      <c r="H144" s="62">
        <f t="shared" si="22"/>
        <v>64</v>
      </c>
      <c r="I144" s="20"/>
      <c r="J144" s="21"/>
      <c r="K144" s="57">
        <v>64</v>
      </c>
      <c r="L144" s="23">
        <f t="shared" si="16"/>
        <v>8</v>
      </c>
      <c r="M144" s="23">
        <f t="shared" si="17"/>
        <v>8</v>
      </c>
      <c r="N144" s="23"/>
      <c r="O144" s="23">
        <v>7</v>
      </c>
      <c r="Q144" s="1">
        <f>AVERAGE(G140:G144)</f>
        <v>46.4</v>
      </c>
    </row>
    <row r="145" spans="1:17" s="12" customFormat="1" hidden="1" outlineLevel="1">
      <c r="A145" s="95">
        <v>45241</v>
      </c>
      <c r="B145" s="25" t="s">
        <v>16</v>
      </c>
      <c r="C145" s="154">
        <v>64</v>
      </c>
      <c r="D145" s="166">
        <v>64</v>
      </c>
      <c r="E145" s="155" t="s">
        <v>30</v>
      </c>
      <c r="G145" s="79">
        <v>0</v>
      </c>
      <c r="H145" s="63"/>
      <c r="I145" s="27"/>
      <c r="J145" s="28"/>
      <c r="K145" s="43"/>
      <c r="L145" s="29">
        <f t="shared" si="16"/>
        <v>8</v>
      </c>
      <c r="M145" s="29">
        <f t="shared" si="17"/>
        <v>8</v>
      </c>
      <c r="N145" s="29"/>
      <c r="O145" s="29"/>
    </row>
    <row r="146" spans="1:17" s="12" customFormat="1" hidden="1" outlineLevel="1">
      <c r="A146" s="95">
        <v>45242</v>
      </c>
      <c r="B146" s="25" t="s">
        <v>17</v>
      </c>
      <c r="C146" s="69"/>
      <c r="D146" s="99"/>
      <c r="E146" s="87">
        <f>E144-C146+D146</f>
        <v>8</v>
      </c>
      <c r="G146" s="79">
        <v>0</v>
      </c>
      <c r="H146" s="63"/>
      <c r="I146" s="27"/>
      <c r="J146" s="28"/>
      <c r="K146" s="43"/>
      <c r="L146" s="29">
        <f t="shared" si="16"/>
        <v>8</v>
      </c>
      <c r="M146" s="29">
        <f t="shared" si="17"/>
        <v>8</v>
      </c>
      <c r="N146" s="29"/>
      <c r="O146" s="29"/>
    </row>
    <row r="147" spans="1:17" hidden="1" outlineLevel="1">
      <c r="A147" s="96">
        <v>45243</v>
      </c>
      <c r="B147" s="17" t="s">
        <v>18</v>
      </c>
      <c r="C147" s="68">
        <v>72</v>
      </c>
      <c r="D147" s="110">
        <v>64</v>
      </c>
      <c r="E147" s="22">
        <f t="shared" si="15"/>
        <v>0</v>
      </c>
      <c r="G147" s="78">
        <v>48</v>
      </c>
      <c r="H147" s="62">
        <f>C143</f>
        <v>56</v>
      </c>
      <c r="I147" s="20"/>
      <c r="J147" s="21"/>
      <c r="K147" s="57">
        <v>56</v>
      </c>
      <c r="L147" s="23">
        <f t="shared" si="16"/>
        <v>16</v>
      </c>
      <c r="M147" s="23">
        <f t="shared" si="17"/>
        <v>16</v>
      </c>
      <c r="N147" s="23"/>
      <c r="O147" s="23">
        <v>0</v>
      </c>
    </row>
    <row r="148" spans="1:17" hidden="1" outlineLevel="1">
      <c r="A148" s="96">
        <v>45244</v>
      </c>
      <c r="B148" s="17" t="s">
        <v>19</v>
      </c>
      <c r="C148" s="68">
        <v>72</v>
      </c>
      <c r="D148" s="110">
        <v>72</v>
      </c>
      <c r="E148" s="22">
        <f t="shared" si="15"/>
        <v>0</v>
      </c>
      <c r="G148" s="78">
        <v>40</v>
      </c>
      <c r="H148" s="62">
        <f>C144</f>
        <v>56</v>
      </c>
      <c r="I148" s="20"/>
      <c r="J148" s="21"/>
      <c r="K148" s="57">
        <v>56</v>
      </c>
      <c r="L148" s="23">
        <f t="shared" si="16"/>
        <v>32</v>
      </c>
      <c r="M148" s="23">
        <f t="shared" si="17"/>
        <v>32</v>
      </c>
      <c r="N148" s="23"/>
      <c r="O148" s="23">
        <v>18</v>
      </c>
    </row>
    <row r="149" spans="1:17" hidden="1" outlineLevel="1">
      <c r="A149" s="96">
        <v>45245</v>
      </c>
      <c r="B149" s="17" t="s">
        <v>20</v>
      </c>
      <c r="C149" s="68">
        <v>72</v>
      </c>
      <c r="D149" s="110">
        <v>72</v>
      </c>
      <c r="E149" s="22">
        <f t="shared" si="15"/>
        <v>0</v>
      </c>
      <c r="G149" s="78">
        <v>80</v>
      </c>
      <c r="H149" s="62">
        <f>C147</f>
        <v>72</v>
      </c>
      <c r="I149" s="20"/>
      <c r="J149" s="21"/>
      <c r="K149" s="57">
        <v>72</v>
      </c>
      <c r="L149" s="23">
        <f t="shared" si="16"/>
        <v>24</v>
      </c>
      <c r="M149" s="23">
        <f t="shared" si="17"/>
        <v>24</v>
      </c>
      <c r="N149" s="23"/>
      <c r="O149" s="23">
        <v>10</v>
      </c>
    </row>
    <row r="150" spans="1:17" hidden="1" outlineLevel="1">
      <c r="A150" s="96">
        <v>45246</v>
      </c>
      <c r="B150" s="17" t="s">
        <v>14</v>
      </c>
      <c r="C150" s="68">
        <v>64</v>
      </c>
      <c r="D150" s="110">
        <v>64</v>
      </c>
      <c r="E150" s="22">
        <f t="shared" si="15"/>
        <v>0</v>
      </c>
      <c r="G150" s="78">
        <v>64</v>
      </c>
      <c r="H150" s="62">
        <f t="shared" ref="H150:H151" si="23">C148</f>
        <v>72</v>
      </c>
      <c r="I150" s="20"/>
      <c r="J150" s="21"/>
      <c r="K150" s="57">
        <v>72</v>
      </c>
      <c r="L150" s="23">
        <f t="shared" si="16"/>
        <v>32</v>
      </c>
      <c r="M150" s="23">
        <f t="shared" si="17"/>
        <v>32</v>
      </c>
      <c r="N150" s="23"/>
      <c r="O150" s="23">
        <v>32</v>
      </c>
    </row>
    <row r="151" spans="1:17" hidden="1" outlineLevel="1">
      <c r="A151" s="96">
        <v>45247</v>
      </c>
      <c r="B151" s="17" t="s">
        <v>15</v>
      </c>
      <c r="C151" s="68">
        <v>63</v>
      </c>
      <c r="D151" s="110">
        <v>63</v>
      </c>
      <c r="E151" s="22">
        <f t="shared" si="15"/>
        <v>0</v>
      </c>
      <c r="G151" s="78">
        <v>88</v>
      </c>
      <c r="H151" s="62">
        <f t="shared" si="23"/>
        <v>72</v>
      </c>
      <c r="I151" s="20"/>
      <c r="J151" s="21"/>
      <c r="K151" s="57">
        <v>72</v>
      </c>
      <c r="L151" s="23">
        <f t="shared" si="16"/>
        <v>16</v>
      </c>
      <c r="M151" s="23">
        <f t="shared" si="17"/>
        <v>16</v>
      </c>
      <c r="N151" s="23"/>
      <c r="O151" s="23">
        <v>6</v>
      </c>
      <c r="Q151" s="1">
        <f>AVERAGE(G147:G151)</f>
        <v>64</v>
      </c>
    </row>
    <row r="152" spans="1:17" s="12" customFormat="1" hidden="1" outlineLevel="1">
      <c r="A152" s="95">
        <v>45248</v>
      </c>
      <c r="B152" s="25" t="s">
        <v>16</v>
      </c>
      <c r="C152" s="154">
        <v>64</v>
      </c>
      <c r="D152" s="166">
        <v>64</v>
      </c>
      <c r="E152" s="155" t="s">
        <v>30</v>
      </c>
      <c r="G152" s="79">
        <v>0</v>
      </c>
      <c r="H152" s="63"/>
      <c r="I152" s="27"/>
      <c r="J152" s="28"/>
      <c r="K152" s="43"/>
      <c r="L152" s="29">
        <f t="shared" si="16"/>
        <v>16</v>
      </c>
      <c r="M152" s="29">
        <f t="shared" si="17"/>
        <v>16</v>
      </c>
      <c r="N152" s="29"/>
      <c r="O152" s="29"/>
    </row>
    <row r="153" spans="1:17" s="12" customFormat="1" hidden="1" outlineLevel="1">
      <c r="A153" s="95">
        <v>45249</v>
      </c>
      <c r="B153" s="25" t="s">
        <v>17</v>
      </c>
      <c r="C153" s="69"/>
      <c r="D153" s="99"/>
      <c r="E153" s="87">
        <f>E151-C153+D153</f>
        <v>0</v>
      </c>
      <c r="G153" s="79">
        <v>0</v>
      </c>
      <c r="H153" s="63"/>
      <c r="I153" s="27"/>
      <c r="J153" s="28"/>
      <c r="K153" s="43"/>
      <c r="L153" s="29">
        <f t="shared" si="16"/>
        <v>16</v>
      </c>
      <c r="M153" s="29">
        <f t="shared" si="17"/>
        <v>16</v>
      </c>
      <c r="N153" s="29"/>
      <c r="O153" s="29"/>
    </row>
    <row r="154" spans="1:17" hidden="1" outlineLevel="1">
      <c r="A154" s="96">
        <v>45250</v>
      </c>
      <c r="B154" s="17" t="s">
        <v>18</v>
      </c>
      <c r="C154" s="68">
        <v>56</v>
      </c>
      <c r="D154" s="110">
        <v>56</v>
      </c>
      <c r="E154" s="22">
        <f>E153-C154+D154</f>
        <v>0</v>
      </c>
      <c r="G154" s="78">
        <v>64</v>
      </c>
      <c r="H154" s="62">
        <f>C150</f>
        <v>64</v>
      </c>
      <c r="I154" s="20"/>
      <c r="J154" s="21"/>
      <c r="K154" s="57">
        <v>64</v>
      </c>
      <c r="L154" s="23">
        <f t="shared" si="16"/>
        <v>16</v>
      </c>
      <c r="M154" s="23">
        <f t="shared" si="17"/>
        <v>16</v>
      </c>
      <c r="N154" s="23"/>
      <c r="O154" s="23">
        <v>4</v>
      </c>
    </row>
    <row r="155" spans="1:17" hidden="1" outlineLevel="1">
      <c r="A155" s="96">
        <v>45251</v>
      </c>
      <c r="B155" s="17" t="s">
        <v>19</v>
      </c>
      <c r="C155" s="68">
        <v>56</v>
      </c>
      <c r="D155" s="110">
        <v>56</v>
      </c>
      <c r="E155" s="22">
        <f t="shared" si="15"/>
        <v>0</v>
      </c>
      <c r="G155" s="78">
        <v>87</v>
      </c>
      <c r="H155" s="62">
        <f>C151</f>
        <v>63</v>
      </c>
      <c r="I155" s="20"/>
      <c r="J155" s="21"/>
      <c r="K155" s="57">
        <v>63</v>
      </c>
      <c r="L155" s="23">
        <f t="shared" si="16"/>
        <v>-8</v>
      </c>
      <c r="M155" s="23">
        <f t="shared" si="17"/>
        <v>-8</v>
      </c>
      <c r="N155" s="23"/>
      <c r="O155" s="23">
        <v>12</v>
      </c>
    </row>
    <row r="156" spans="1:17" hidden="1" outlineLevel="1">
      <c r="A156" s="96">
        <v>45252</v>
      </c>
      <c r="B156" s="17" t="s">
        <v>20</v>
      </c>
      <c r="C156" s="68">
        <v>56</v>
      </c>
      <c r="D156" s="110">
        <v>56</v>
      </c>
      <c r="E156" s="22">
        <f t="shared" si="15"/>
        <v>0</v>
      </c>
      <c r="G156" s="78">
        <v>64</v>
      </c>
      <c r="H156" s="62">
        <f>C154</f>
        <v>56</v>
      </c>
      <c r="I156" s="20"/>
      <c r="J156" s="21"/>
      <c r="K156" s="57">
        <v>56</v>
      </c>
      <c r="L156" s="23">
        <f t="shared" si="16"/>
        <v>-16</v>
      </c>
      <c r="M156" s="23">
        <f t="shared" si="17"/>
        <v>-16</v>
      </c>
      <c r="N156" s="23"/>
      <c r="O156" s="23">
        <v>0</v>
      </c>
    </row>
    <row r="157" spans="1:17" hidden="1" outlineLevel="1">
      <c r="A157" s="96">
        <v>45253</v>
      </c>
      <c r="B157" s="17" t="s">
        <v>14</v>
      </c>
      <c r="C157" s="68">
        <v>56</v>
      </c>
      <c r="D157" s="110">
        <v>56</v>
      </c>
      <c r="E157" s="22">
        <f t="shared" si="15"/>
        <v>0</v>
      </c>
      <c r="G157" s="78">
        <v>0</v>
      </c>
      <c r="H157" s="62">
        <f t="shared" ref="H157:H158" si="24">C155</f>
        <v>56</v>
      </c>
      <c r="I157" s="20"/>
      <c r="J157" s="21"/>
      <c r="K157" s="57">
        <v>56</v>
      </c>
      <c r="L157" s="23">
        <f t="shared" si="16"/>
        <v>40</v>
      </c>
      <c r="M157" s="23">
        <f t="shared" si="17"/>
        <v>40</v>
      </c>
      <c r="N157" s="23"/>
      <c r="O157" s="23">
        <v>0</v>
      </c>
    </row>
    <row r="158" spans="1:17" hidden="1" outlineLevel="1">
      <c r="A158" s="96">
        <v>45254</v>
      </c>
      <c r="B158" s="17" t="s">
        <v>15</v>
      </c>
      <c r="C158" s="68">
        <v>71</v>
      </c>
      <c r="D158" s="110">
        <v>71</v>
      </c>
      <c r="E158" s="22">
        <f t="shared" si="15"/>
        <v>0</v>
      </c>
      <c r="G158" s="78">
        <v>80</v>
      </c>
      <c r="H158" s="62">
        <f t="shared" si="24"/>
        <v>56</v>
      </c>
      <c r="I158" s="20"/>
      <c r="J158" s="21"/>
      <c r="K158" s="57">
        <v>56</v>
      </c>
      <c r="L158" s="23">
        <f t="shared" si="16"/>
        <v>16</v>
      </c>
      <c r="M158" s="23">
        <f t="shared" si="17"/>
        <v>16</v>
      </c>
      <c r="N158" s="23"/>
      <c r="O158" s="23">
        <v>6</v>
      </c>
      <c r="Q158" s="97">
        <f>AVERAGE(G154:G158)</f>
        <v>59</v>
      </c>
    </row>
    <row r="159" spans="1:17" s="12" customFormat="1" hidden="1" outlineLevel="1">
      <c r="A159" s="95">
        <v>45255</v>
      </c>
      <c r="B159" s="25" t="s">
        <v>16</v>
      </c>
      <c r="C159" s="154"/>
      <c r="D159" s="99"/>
      <c r="E159" s="87">
        <f t="shared" si="15"/>
        <v>0</v>
      </c>
      <c r="G159" s="64"/>
      <c r="H159" s="63"/>
      <c r="I159" s="27"/>
      <c r="J159" s="28"/>
      <c r="K159" s="43"/>
      <c r="L159" s="29">
        <f t="shared" si="16"/>
        <v>16</v>
      </c>
      <c r="M159" s="29">
        <f t="shared" si="17"/>
        <v>16</v>
      </c>
      <c r="N159" s="29"/>
      <c r="O159" s="29"/>
    </row>
    <row r="160" spans="1:17" s="12" customFormat="1" hidden="1" outlineLevel="1">
      <c r="A160" s="95">
        <v>45256</v>
      </c>
      <c r="B160" s="25" t="s">
        <v>17</v>
      </c>
      <c r="C160" s="69"/>
      <c r="D160" s="99"/>
      <c r="E160" s="87">
        <f t="shared" si="15"/>
        <v>0</v>
      </c>
      <c r="G160" s="64"/>
      <c r="H160" s="63"/>
      <c r="I160" s="27"/>
      <c r="J160" s="28"/>
      <c r="K160" s="43"/>
      <c r="L160" s="29">
        <f t="shared" si="16"/>
        <v>16</v>
      </c>
      <c r="M160" s="29">
        <f t="shared" si="17"/>
        <v>16</v>
      </c>
      <c r="N160" s="29"/>
      <c r="O160" s="29"/>
    </row>
    <row r="161" spans="1:17" hidden="1" outlineLevel="1" collapsed="1">
      <c r="A161" s="96">
        <v>45257</v>
      </c>
      <c r="B161" s="17" t="s">
        <v>18</v>
      </c>
      <c r="C161" s="178">
        <v>64</v>
      </c>
      <c r="D161" s="110">
        <v>64</v>
      </c>
      <c r="E161" s="169" t="s">
        <v>30</v>
      </c>
      <c r="G161" s="78">
        <v>64</v>
      </c>
      <c r="H161" s="62">
        <f>C157</f>
        <v>56</v>
      </c>
      <c r="I161" s="20"/>
      <c r="J161" s="21"/>
      <c r="K161" s="57">
        <v>56</v>
      </c>
      <c r="L161" s="23">
        <f t="shared" si="16"/>
        <v>8</v>
      </c>
      <c r="M161" s="23">
        <f t="shared" si="17"/>
        <v>8</v>
      </c>
      <c r="N161" s="23"/>
      <c r="O161" s="23">
        <v>0</v>
      </c>
    </row>
    <row r="162" spans="1:17" hidden="1" outlineLevel="1">
      <c r="A162" s="96">
        <v>45258</v>
      </c>
      <c r="B162" s="17" t="s">
        <v>19</v>
      </c>
      <c r="C162" s="178">
        <v>72</v>
      </c>
      <c r="D162" s="110">
        <v>72</v>
      </c>
      <c r="E162" s="169" t="s">
        <v>30</v>
      </c>
      <c r="G162" s="78">
        <v>79</v>
      </c>
      <c r="H162" s="62">
        <f>C158</f>
        <v>71</v>
      </c>
      <c r="I162" s="20"/>
      <c r="J162" s="21"/>
      <c r="K162" s="57">
        <v>71</v>
      </c>
      <c r="L162" s="23">
        <f t="shared" si="16"/>
        <v>0</v>
      </c>
      <c r="M162" s="23">
        <f t="shared" si="17"/>
        <v>0</v>
      </c>
      <c r="N162" s="23"/>
      <c r="O162" s="23">
        <v>5</v>
      </c>
    </row>
    <row r="163" spans="1:17" hidden="1" outlineLevel="1">
      <c r="A163" s="96">
        <v>45259</v>
      </c>
      <c r="B163" s="17" t="s">
        <v>20</v>
      </c>
      <c r="C163" s="68">
        <v>64</v>
      </c>
      <c r="D163" s="110">
        <v>64</v>
      </c>
      <c r="E163" s="22">
        <f>E160-C163+D163</f>
        <v>0</v>
      </c>
      <c r="G163" s="172">
        <v>0</v>
      </c>
      <c r="H163" s="62" t="s">
        <v>28</v>
      </c>
      <c r="I163" s="20"/>
      <c r="J163" s="21"/>
      <c r="K163" s="42">
        <v>0</v>
      </c>
      <c r="L163" s="23">
        <f t="shared" si="16"/>
        <v>0</v>
      </c>
      <c r="M163" s="23">
        <f>IF(ISTEXT(H163),M162-G163+0,M162-G163+H163)</f>
        <v>0</v>
      </c>
      <c r="N163" s="23"/>
      <c r="O163" s="23">
        <v>11</v>
      </c>
      <c r="P163" s="153" t="s">
        <v>29</v>
      </c>
    </row>
    <row r="164" spans="1:17" hidden="1" outlineLevel="1">
      <c r="A164" s="96">
        <v>45260</v>
      </c>
      <c r="B164" s="17" t="s">
        <v>14</v>
      </c>
      <c r="C164" s="68">
        <v>71</v>
      </c>
      <c r="D164" s="110">
        <v>71</v>
      </c>
      <c r="E164" s="22">
        <f t="shared" si="15"/>
        <v>0</v>
      </c>
      <c r="G164" s="172">
        <v>0</v>
      </c>
      <c r="H164" s="62" t="s">
        <v>28</v>
      </c>
      <c r="I164" s="20"/>
      <c r="J164" s="21"/>
      <c r="K164" s="42">
        <v>0</v>
      </c>
      <c r="L164" s="23">
        <f t="shared" si="16"/>
        <v>0</v>
      </c>
      <c r="M164" s="23">
        <f>IF(ISTEXT(H164),M163-G164+0,M163-G164+H164)</f>
        <v>0</v>
      </c>
      <c r="N164" s="23"/>
      <c r="O164" s="23">
        <v>0</v>
      </c>
      <c r="P164" s="153" t="s">
        <v>29</v>
      </c>
    </row>
    <row r="165" spans="1:17" hidden="1" outlineLevel="1">
      <c r="A165" s="96">
        <v>45261</v>
      </c>
      <c r="B165" s="17" t="s">
        <v>15</v>
      </c>
      <c r="C165" s="68">
        <v>72</v>
      </c>
      <c r="D165" s="110">
        <v>72</v>
      </c>
      <c r="E165" s="22">
        <f t="shared" ref="E165" si="25">E164-C165+D165</f>
        <v>0</v>
      </c>
      <c r="G165" s="78">
        <v>0</v>
      </c>
      <c r="H165" s="62">
        <f t="shared" ref="H165" si="26">C163</f>
        <v>64</v>
      </c>
      <c r="I165" s="20"/>
      <c r="J165" s="21"/>
      <c r="K165" s="57">
        <v>64</v>
      </c>
      <c r="L165" s="23">
        <f t="shared" ref="L165" si="27">L164-G165+K165</f>
        <v>64</v>
      </c>
      <c r="M165" s="23">
        <f t="shared" ref="M165" si="28">M164-G165+H165</f>
        <v>64</v>
      </c>
      <c r="N165" s="23"/>
      <c r="O165" s="23">
        <v>0</v>
      </c>
      <c r="Q165" s="165">
        <f>AVERAGE(G161:G165)</f>
        <v>28.6</v>
      </c>
    </row>
    <row r="166" spans="1:17" s="12" customFormat="1" hidden="1" outlineLevel="1">
      <c r="A166" s="95">
        <v>45262</v>
      </c>
      <c r="B166" s="25" t="s">
        <v>16</v>
      </c>
      <c r="C166" s="154">
        <v>64</v>
      </c>
      <c r="D166" s="99"/>
      <c r="E166" s="155" t="s">
        <v>30</v>
      </c>
      <c r="G166" s="79"/>
      <c r="H166" s="63"/>
      <c r="I166" s="27"/>
      <c r="J166" s="28"/>
      <c r="K166" s="43"/>
      <c r="L166" s="29">
        <f t="shared" ref="L166:L226" si="29">L165-G166+K166</f>
        <v>64</v>
      </c>
      <c r="M166" s="29">
        <f t="shared" ref="M166:M226" si="30">M165-G166+H166</f>
        <v>64</v>
      </c>
      <c r="N166" s="29"/>
      <c r="O166" s="29"/>
    </row>
    <row r="167" spans="1:17" s="12" customFormat="1" hidden="1" outlineLevel="1">
      <c r="A167" s="95">
        <v>45263</v>
      </c>
      <c r="B167" s="25" t="s">
        <v>17</v>
      </c>
      <c r="C167" s="69"/>
      <c r="D167" s="99"/>
      <c r="E167" s="87">
        <f>E165-C167+D167</f>
        <v>0</v>
      </c>
      <c r="G167" s="79"/>
      <c r="H167" s="63"/>
      <c r="I167" s="27"/>
      <c r="J167" s="28"/>
      <c r="K167" s="43"/>
      <c r="L167" s="29">
        <f t="shared" si="29"/>
        <v>64</v>
      </c>
      <c r="M167" s="29">
        <f t="shared" si="30"/>
        <v>64</v>
      </c>
      <c r="N167" s="29"/>
      <c r="O167" s="29"/>
    </row>
    <row r="168" spans="1:17" hidden="1" outlineLevel="1">
      <c r="A168" s="96">
        <v>45264</v>
      </c>
      <c r="B168" s="17" t="s">
        <v>18</v>
      </c>
      <c r="C168" s="68">
        <v>64</v>
      </c>
      <c r="D168" s="110">
        <v>72</v>
      </c>
      <c r="E168" s="22">
        <f t="shared" ref="E168:E226" si="31">E167-C168+D168</f>
        <v>8</v>
      </c>
      <c r="G168" s="78">
        <v>71</v>
      </c>
      <c r="H168" s="62">
        <f>C164</f>
        <v>71</v>
      </c>
      <c r="I168" s="20"/>
      <c r="J168" s="21"/>
      <c r="K168" s="57">
        <v>71</v>
      </c>
      <c r="L168" s="23">
        <f t="shared" si="29"/>
        <v>64</v>
      </c>
      <c r="M168" s="23">
        <f t="shared" si="30"/>
        <v>64</v>
      </c>
      <c r="N168" s="23"/>
      <c r="O168" s="23">
        <v>0</v>
      </c>
    </row>
    <row r="169" spans="1:17" hidden="1" outlineLevel="1">
      <c r="A169" s="96">
        <v>45265</v>
      </c>
      <c r="B169" s="17" t="s">
        <v>19</v>
      </c>
      <c r="C169" s="68">
        <v>71</v>
      </c>
      <c r="D169" s="110">
        <f>71-32</f>
        <v>39</v>
      </c>
      <c r="E169" s="22">
        <f t="shared" si="31"/>
        <v>-24</v>
      </c>
      <c r="G169" s="78">
        <v>160</v>
      </c>
      <c r="H169" s="62">
        <f>C165</f>
        <v>72</v>
      </c>
      <c r="I169" s="20"/>
      <c r="J169" s="21"/>
      <c r="K169" s="57">
        <v>72</v>
      </c>
      <c r="L169" s="23">
        <f t="shared" si="29"/>
        <v>-24</v>
      </c>
      <c r="M169" s="23">
        <f t="shared" si="30"/>
        <v>-24</v>
      </c>
      <c r="N169" s="23"/>
      <c r="O169" s="23">
        <v>6</v>
      </c>
    </row>
    <row r="170" spans="1:17" hidden="1" outlineLevel="1">
      <c r="A170" s="96">
        <v>45266</v>
      </c>
      <c r="B170" s="17" t="s">
        <v>20</v>
      </c>
      <c r="C170" s="68">
        <v>64</v>
      </c>
      <c r="D170" s="110">
        <f>72+32-8</f>
        <v>96</v>
      </c>
      <c r="E170" s="22">
        <f t="shared" si="31"/>
        <v>8</v>
      </c>
      <c r="G170" s="78">
        <v>8</v>
      </c>
      <c r="H170" s="62">
        <f>C168</f>
        <v>64</v>
      </c>
      <c r="I170" s="20"/>
      <c r="J170" s="21"/>
      <c r="K170" s="57">
        <v>64</v>
      </c>
      <c r="L170" s="23">
        <f t="shared" si="29"/>
        <v>32</v>
      </c>
      <c r="M170" s="23">
        <f t="shared" si="30"/>
        <v>32</v>
      </c>
      <c r="N170" s="23"/>
      <c r="O170" s="23">
        <v>0</v>
      </c>
    </row>
    <row r="171" spans="1:17" hidden="1" outlineLevel="1">
      <c r="A171" s="96">
        <v>45267</v>
      </c>
      <c r="B171" s="17" t="s">
        <v>14</v>
      </c>
      <c r="C171" s="68">
        <v>72</v>
      </c>
      <c r="D171" s="110">
        <f>72+8-16</f>
        <v>64</v>
      </c>
      <c r="E171" s="22">
        <f t="shared" si="31"/>
        <v>0</v>
      </c>
      <c r="G171" s="78">
        <v>95</v>
      </c>
      <c r="H171" s="62">
        <f t="shared" ref="H171:H172" si="32">C169</f>
        <v>71</v>
      </c>
      <c r="I171" s="20"/>
      <c r="J171" s="21"/>
      <c r="K171" s="57">
        <v>71</v>
      </c>
      <c r="L171" s="23">
        <f t="shared" si="29"/>
        <v>8</v>
      </c>
      <c r="M171" s="23">
        <f t="shared" si="30"/>
        <v>8</v>
      </c>
      <c r="N171" s="23"/>
      <c r="O171" s="23">
        <v>0</v>
      </c>
    </row>
    <row r="172" spans="1:17" hidden="1" outlineLevel="1">
      <c r="A172" s="96">
        <v>45268</v>
      </c>
      <c r="B172" s="17" t="s">
        <v>15</v>
      </c>
      <c r="C172" s="68">
        <v>72</v>
      </c>
      <c r="D172" s="110">
        <f>72+16-32</f>
        <v>56</v>
      </c>
      <c r="E172" s="22">
        <f t="shared" si="31"/>
        <v>-16</v>
      </c>
      <c r="G172" s="78">
        <v>48</v>
      </c>
      <c r="H172" s="62">
        <f t="shared" si="32"/>
        <v>64</v>
      </c>
      <c r="I172" s="20"/>
      <c r="J172" s="21"/>
      <c r="K172" s="57">
        <v>64</v>
      </c>
      <c r="L172" s="23">
        <f t="shared" si="29"/>
        <v>24</v>
      </c>
      <c r="M172" s="23">
        <f t="shared" si="30"/>
        <v>24</v>
      </c>
      <c r="N172" s="23"/>
      <c r="O172" s="23">
        <v>6</v>
      </c>
      <c r="Q172" s="1">
        <f>AVERAGE(G168:G172)</f>
        <v>76.400000000000006</v>
      </c>
    </row>
    <row r="173" spans="1:17" s="12" customFormat="1" hidden="1" outlineLevel="1">
      <c r="A173" s="95">
        <v>45269</v>
      </c>
      <c r="B173" s="25" t="s">
        <v>16</v>
      </c>
      <c r="C173" s="154"/>
      <c r="D173" s="99"/>
      <c r="E173" s="87">
        <f t="shared" si="31"/>
        <v>-16</v>
      </c>
      <c r="G173" s="64"/>
      <c r="H173" s="63"/>
      <c r="I173" s="27"/>
      <c r="J173" s="28"/>
      <c r="K173" s="43"/>
      <c r="L173" s="29">
        <f t="shared" si="29"/>
        <v>24</v>
      </c>
      <c r="M173" s="29">
        <f t="shared" si="30"/>
        <v>24</v>
      </c>
      <c r="N173" s="29"/>
      <c r="O173" s="29"/>
    </row>
    <row r="174" spans="1:17" s="12" customFormat="1" hidden="1" outlineLevel="1">
      <c r="A174" s="95">
        <v>45270</v>
      </c>
      <c r="B174" s="25" t="s">
        <v>17</v>
      </c>
      <c r="C174" s="69"/>
      <c r="D174" s="99"/>
      <c r="E174" s="87">
        <f t="shared" si="31"/>
        <v>-16</v>
      </c>
      <c r="G174" s="64"/>
      <c r="H174" s="63"/>
      <c r="I174" s="27"/>
      <c r="J174" s="28"/>
      <c r="K174" s="43"/>
      <c r="L174" s="29">
        <f t="shared" si="29"/>
        <v>24</v>
      </c>
      <c r="M174" s="29">
        <f t="shared" si="30"/>
        <v>24</v>
      </c>
      <c r="N174" s="29"/>
      <c r="O174" s="29"/>
    </row>
    <row r="175" spans="1:17" hidden="1" outlineLevel="1">
      <c r="A175" s="96">
        <v>45271</v>
      </c>
      <c r="B175" s="17" t="s">
        <v>18</v>
      </c>
      <c r="C175" s="68">
        <v>72</v>
      </c>
      <c r="D175" s="110">
        <f>72+32-56</f>
        <v>48</v>
      </c>
      <c r="E175" s="22">
        <f t="shared" si="31"/>
        <v>-40</v>
      </c>
      <c r="G175" s="78">
        <v>72</v>
      </c>
      <c r="H175" s="62">
        <f>C171</f>
        <v>72</v>
      </c>
      <c r="I175" s="20"/>
      <c r="J175" s="21"/>
      <c r="K175" s="57">
        <v>72</v>
      </c>
      <c r="L175" s="23">
        <f t="shared" si="29"/>
        <v>24</v>
      </c>
      <c r="M175" s="23">
        <f t="shared" si="30"/>
        <v>24</v>
      </c>
      <c r="N175" s="23"/>
      <c r="O175" s="23">
        <v>14</v>
      </c>
    </row>
    <row r="176" spans="1:17" hidden="1" outlineLevel="1">
      <c r="A176" s="96">
        <v>45272</v>
      </c>
      <c r="B176" s="17" t="s">
        <v>19</v>
      </c>
      <c r="C176" s="68">
        <v>72</v>
      </c>
      <c r="D176" s="110">
        <f>72+56-16</f>
        <v>112</v>
      </c>
      <c r="E176" s="22">
        <f t="shared" si="31"/>
        <v>0</v>
      </c>
      <c r="G176" s="78">
        <v>80</v>
      </c>
      <c r="H176" s="62">
        <f>C172</f>
        <v>72</v>
      </c>
      <c r="I176" s="20"/>
      <c r="J176" s="21"/>
      <c r="K176" s="57">
        <v>72</v>
      </c>
      <c r="L176" s="23">
        <f t="shared" si="29"/>
        <v>16</v>
      </c>
      <c r="M176" s="23">
        <f t="shared" si="30"/>
        <v>16</v>
      </c>
      <c r="N176" s="23"/>
      <c r="O176" s="23">
        <v>0</v>
      </c>
    </row>
    <row r="177" spans="1:18" hidden="1" outlineLevel="1">
      <c r="A177" s="96">
        <v>45273</v>
      </c>
      <c r="B177" s="17" t="s">
        <v>20</v>
      </c>
      <c r="C177" s="68">
        <v>72</v>
      </c>
      <c r="D177" s="110">
        <f>72+16</f>
        <v>88</v>
      </c>
      <c r="E177" s="22">
        <f t="shared" si="31"/>
        <v>16</v>
      </c>
      <c r="G177" s="78">
        <v>72</v>
      </c>
      <c r="H177" s="62">
        <f>C175</f>
        <v>72</v>
      </c>
      <c r="I177" s="20"/>
      <c r="J177" s="21"/>
      <c r="K177" s="57">
        <v>72</v>
      </c>
      <c r="L177" s="23">
        <f t="shared" si="29"/>
        <v>16</v>
      </c>
      <c r="M177" s="23">
        <f t="shared" si="30"/>
        <v>16</v>
      </c>
      <c r="N177" s="23"/>
      <c r="O177" s="23">
        <v>5</v>
      </c>
    </row>
    <row r="178" spans="1:18" hidden="1" outlineLevel="1">
      <c r="A178" s="96">
        <v>45274</v>
      </c>
      <c r="B178" s="17" t="s">
        <v>14</v>
      </c>
      <c r="C178" s="68">
        <v>72</v>
      </c>
      <c r="D178" s="110">
        <f>72-24</f>
        <v>48</v>
      </c>
      <c r="E178" s="22">
        <f t="shared" si="31"/>
        <v>-8</v>
      </c>
      <c r="G178" s="78">
        <v>72</v>
      </c>
      <c r="H178" s="62">
        <f t="shared" ref="H178:H179" si="33">C176</f>
        <v>72</v>
      </c>
      <c r="I178" s="20"/>
      <c r="J178" s="21"/>
      <c r="K178" s="57">
        <v>72</v>
      </c>
      <c r="L178" s="23">
        <f t="shared" si="29"/>
        <v>16</v>
      </c>
      <c r="M178" s="23">
        <f t="shared" si="30"/>
        <v>16</v>
      </c>
      <c r="N178" s="23"/>
      <c r="O178" s="23">
        <v>7</v>
      </c>
    </row>
    <row r="179" spans="1:18" hidden="1" outlineLevel="1">
      <c r="A179" s="96">
        <v>45275</v>
      </c>
      <c r="B179" s="17" t="s">
        <v>15</v>
      </c>
      <c r="C179" s="68">
        <v>72</v>
      </c>
      <c r="D179" s="110">
        <f>72+24-40</f>
        <v>56</v>
      </c>
      <c r="E179" s="22">
        <f t="shared" si="31"/>
        <v>-24</v>
      </c>
      <c r="G179" s="78">
        <v>80</v>
      </c>
      <c r="H179" s="62">
        <f t="shared" si="33"/>
        <v>72</v>
      </c>
      <c r="I179" s="20"/>
      <c r="J179" s="21"/>
      <c r="K179" s="57">
        <v>72</v>
      </c>
      <c r="L179" s="23">
        <f t="shared" si="29"/>
        <v>8</v>
      </c>
      <c r="M179" s="23">
        <f t="shared" si="30"/>
        <v>8</v>
      </c>
      <c r="N179" s="23"/>
      <c r="O179" s="23">
        <v>8</v>
      </c>
      <c r="Q179" s="1">
        <f>AVERAGE(G175:G179)</f>
        <v>75.2</v>
      </c>
    </row>
    <row r="180" spans="1:18" s="12" customFormat="1" hidden="1" outlineLevel="1">
      <c r="A180" s="95">
        <v>45276</v>
      </c>
      <c r="B180" s="25" t="s">
        <v>16</v>
      </c>
      <c r="C180" s="154">
        <v>72</v>
      </c>
      <c r="D180" s="99"/>
      <c r="E180" s="155" t="s">
        <v>30</v>
      </c>
      <c r="G180" s="64"/>
      <c r="H180" s="63"/>
      <c r="I180" s="27"/>
      <c r="J180" s="28"/>
      <c r="K180" s="43"/>
      <c r="L180" s="29">
        <f t="shared" si="29"/>
        <v>8</v>
      </c>
      <c r="M180" s="29">
        <f t="shared" si="30"/>
        <v>8</v>
      </c>
      <c r="N180" s="29"/>
      <c r="O180" s="29"/>
    </row>
    <row r="181" spans="1:18" s="12" customFormat="1" hidden="1" outlineLevel="1">
      <c r="A181" s="95">
        <v>45277</v>
      </c>
      <c r="B181" s="25" t="s">
        <v>17</v>
      </c>
      <c r="C181" s="69"/>
      <c r="D181" s="99"/>
      <c r="E181" s="87">
        <f>E179-C181+D181</f>
        <v>-24</v>
      </c>
      <c r="G181" s="64"/>
      <c r="H181" s="63"/>
      <c r="I181" s="27"/>
      <c r="J181" s="28"/>
      <c r="K181" s="43"/>
      <c r="L181" s="29">
        <f t="shared" si="29"/>
        <v>8</v>
      </c>
      <c r="M181" s="29">
        <f t="shared" si="30"/>
        <v>8</v>
      </c>
      <c r="N181" s="29"/>
      <c r="O181" s="29"/>
    </row>
    <row r="182" spans="1:18" hidden="1" outlineLevel="1">
      <c r="A182" s="96">
        <v>45278</v>
      </c>
      <c r="B182" s="17" t="s">
        <v>18</v>
      </c>
      <c r="C182" s="138">
        <v>72</v>
      </c>
      <c r="D182" s="110">
        <f>72+40-48</f>
        <v>64</v>
      </c>
      <c r="E182" s="22">
        <f t="shared" si="31"/>
        <v>-32</v>
      </c>
      <c r="G182" s="78">
        <v>56</v>
      </c>
      <c r="H182" s="62">
        <f>C178</f>
        <v>72</v>
      </c>
      <c r="I182" s="20"/>
      <c r="J182" s="21"/>
      <c r="K182" s="57">
        <v>72</v>
      </c>
      <c r="L182" s="23">
        <f t="shared" si="29"/>
        <v>24</v>
      </c>
      <c r="M182" s="23">
        <f t="shared" si="30"/>
        <v>24</v>
      </c>
      <c r="N182" s="23"/>
      <c r="O182" s="23">
        <v>10</v>
      </c>
    </row>
    <row r="183" spans="1:18" hidden="1" outlineLevel="1">
      <c r="A183" s="96">
        <v>45279</v>
      </c>
      <c r="B183" s="17" t="s">
        <v>19</v>
      </c>
      <c r="C183" s="138">
        <v>72</v>
      </c>
      <c r="D183" s="110">
        <f>72+48-40</f>
        <v>80</v>
      </c>
      <c r="E183" s="22">
        <f t="shared" si="31"/>
        <v>-24</v>
      </c>
      <c r="G183" s="78">
        <v>88</v>
      </c>
      <c r="H183" s="62">
        <f>C179</f>
        <v>72</v>
      </c>
      <c r="I183" s="20"/>
      <c r="J183" s="21"/>
      <c r="K183" s="57">
        <v>72</v>
      </c>
      <c r="L183" s="23">
        <f t="shared" si="29"/>
        <v>8</v>
      </c>
      <c r="M183" s="23">
        <f t="shared" si="30"/>
        <v>8</v>
      </c>
      <c r="N183" s="23"/>
      <c r="O183" s="23">
        <v>9</v>
      </c>
    </row>
    <row r="184" spans="1:18" hidden="1" outlineLevel="1">
      <c r="A184" s="96">
        <v>45280</v>
      </c>
      <c r="B184" s="17" t="s">
        <v>20</v>
      </c>
      <c r="C184" s="138">
        <v>72</v>
      </c>
      <c r="D184" s="110">
        <f>72+40-32</f>
        <v>80</v>
      </c>
      <c r="E184" s="22">
        <f t="shared" si="31"/>
        <v>-16</v>
      </c>
      <c r="G184" s="78">
        <v>64</v>
      </c>
      <c r="H184" s="62">
        <f>C182</f>
        <v>72</v>
      </c>
      <c r="I184" s="20"/>
      <c r="J184" s="21"/>
      <c r="K184" s="57">
        <v>72</v>
      </c>
      <c r="L184" s="23">
        <f t="shared" si="29"/>
        <v>16</v>
      </c>
      <c r="M184" s="23">
        <f t="shared" si="30"/>
        <v>16</v>
      </c>
      <c r="N184" s="23"/>
      <c r="O184" s="23">
        <v>0</v>
      </c>
    </row>
    <row r="185" spans="1:18" hidden="1" outlineLevel="1">
      <c r="A185" s="96">
        <v>45281</v>
      </c>
      <c r="B185" s="17" t="s">
        <v>14</v>
      </c>
      <c r="C185" s="138">
        <v>75</v>
      </c>
      <c r="D185" s="110">
        <f>72+32-24+3</f>
        <v>83</v>
      </c>
      <c r="E185" s="22">
        <f t="shared" si="31"/>
        <v>-8</v>
      </c>
      <c r="G185" s="78">
        <v>152</v>
      </c>
      <c r="H185" s="62">
        <f t="shared" ref="H185:H186" si="34">C183</f>
        <v>72</v>
      </c>
      <c r="I185" s="20"/>
      <c r="J185" s="21"/>
      <c r="K185" s="57">
        <v>72</v>
      </c>
      <c r="L185" s="23">
        <f t="shared" si="29"/>
        <v>-64</v>
      </c>
      <c r="M185" s="23">
        <f t="shared" si="30"/>
        <v>-64</v>
      </c>
      <c r="N185" s="23"/>
      <c r="O185" s="23">
        <v>4</v>
      </c>
    </row>
    <row r="186" spans="1:18" hidden="1" outlineLevel="1">
      <c r="A186" s="96">
        <v>45282</v>
      </c>
      <c r="B186" s="17" t="s">
        <v>15</v>
      </c>
      <c r="C186" s="138">
        <v>72</v>
      </c>
      <c r="D186" s="110">
        <f>72+24-96</f>
        <v>0</v>
      </c>
      <c r="E186" s="22">
        <f t="shared" si="31"/>
        <v>-80</v>
      </c>
      <c r="G186" s="78">
        <v>48</v>
      </c>
      <c r="H186" s="62">
        <f t="shared" si="34"/>
        <v>72</v>
      </c>
      <c r="I186" s="20"/>
      <c r="J186" s="21"/>
      <c r="K186" s="57">
        <v>72</v>
      </c>
      <c r="L186" s="23">
        <f t="shared" si="29"/>
        <v>-40</v>
      </c>
      <c r="M186" s="23">
        <f t="shared" si="30"/>
        <v>-40</v>
      </c>
      <c r="N186" s="23"/>
      <c r="O186" s="23">
        <v>4</v>
      </c>
      <c r="Q186" s="1">
        <f>AVERAGE(G182:G186)</f>
        <v>81.599999999999994</v>
      </c>
    </row>
    <row r="187" spans="1:18" s="12" customFormat="1" hidden="1" outlineLevel="1">
      <c r="A187" s="95">
        <v>45283</v>
      </c>
      <c r="B187" s="25" t="s">
        <v>16</v>
      </c>
      <c r="C187" s="69"/>
      <c r="D187" s="99"/>
      <c r="E187" s="87">
        <f t="shared" si="31"/>
        <v>-80</v>
      </c>
      <c r="G187" s="64"/>
      <c r="H187" s="63"/>
      <c r="I187" s="27"/>
      <c r="J187" s="28"/>
      <c r="K187" s="43"/>
      <c r="L187" s="29">
        <f t="shared" si="29"/>
        <v>-40</v>
      </c>
      <c r="M187" s="29">
        <f t="shared" si="30"/>
        <v>-40</v>
      </c>
      <c r="N187" s="29"/>
      <c r="O187" s="29"/>
    </row>
    <row r="188" spans="1:18" s="12" customFormat="1" hidden="1" outlineLevel="1">
      <c r="A188" s="95">
        <v>45284</v>
      </c>
      <c r="B188" s="25" t="s">
        <v>17</v>
      </c>
      <c r="C188" s="69"/>
      <c r="D188" s="99"/>
      <c r="E188" s="87">
        <f t="shared" si="31"/>
        <v>-80</v>
      </c>
      <c r="G188" s="64"/>
      <c r="H188" s="63"/>
      <c r="I188" s="27"/>
      <c r="J188" s="28"/>
      <c r="K188" s="43"/>
      <c r="L188" s="29">
        <f t="shared" si="29"/>
        <v>-40</v>
      </c>
      <c r="M188" s="29">
        <f t="shared" si="30"/>
        <v>-40</v>
      </c>
      <c r="N188" s="29"/>
      <c r="O188" s="29"/>
    </row>
    <row r="189" spans="1:18" hidden="1" outlineLevel="1">
      <c r="A189" s="96">
        <v>45285</v>
      </c>
      <c r="B189" s="17" t="s">
        <v>18</v>
      </c>
      <c r="C189" s="170"/>
      <c r="D189" s="110">
        <f>0+96-21</f>
        <v>75</v>
      </c>
      <c r="E189" s="22">
        <f t="shared" si="31"/>
        <v>-5</v>
      </c>
      <c r="G189" s="78">
        <v>24</v>
      </c>
      <c r="H189" s="62">
        <f>C185-3</f>
        <v>72</v>
      </c>
      <c r="I189" s="20"/>
      <c r="J189" s="21"/>
      <c r="K189" s="57">
        <v>72</v>
      </c>
      <c r="L189" s="23">
        <f t="shared" si="29"/>
        <v>8</v>
      </c>
      <c r="M189" s="23">
        <f t="shared" si="30"/>
        <v>8</v>
      </c>
      <c r="N189" s="23"/>
      <c r="O189" s="23">
        <v>0</v>
      </c>
    </row>
    <row r="190" spans="1:18" hidden="1" outlineLevel="1">
      <c r="A190" s="96">
        <v>45286</v>
      </c>
      <c r="B190" s="17" t="s">
        <v>19</v>
      </c>
      <c r="C190" s="170"/>
      <c r="D190" s="100"/>
      <c r="E190" s="22">
        <f t="shared" si="31"/>
        <v>-5</v>
      </c>
      <c r="G190" s="78">
        <v>0</v>
      </c>
      <c r="H190" s="62">
        <f>C186</f>
        <v>72</v>
      </c>
      <c r="I190" s="20"/>
      <c r="J190" s="21"/>
      <c r="K190" s="57">
        <v>72</v>
      </c>
      <c r="L190" s="23">
        <f t="shared" si="29"/>
        <v>80</v>
      </c>
      <c r="M190" s="23">
        <f t="shared" si="30"/>
        <v>80</v>
      </c>
      <c r="N190" s="23"/>
      <c r="O190" s="23">
        <v>18</v>
      </c>
      <c r="R190" s="156" t="s">
        <v>31</v>
      </c>
    </row>
    <row r="191" spans="1:18" hidden="1" outlineLevel="1">
      <c r="A191" s="96">
        <v>45287</v>
      </c>
      <c r="B191" s="17" t="s">
        <v>20</v>
      </c>
      <c r="C191" s="157"/>
      <c r="D191" s="100"/>
      <c r="E191" s="22">
        <f t="shared" si="31"/>
        <v>-5</v>
      </c>
      <c r="G191" s="78">
        <v>0</v>
      </c>
      <c r="H191" s="62">
        <f>C189+I191</f>
        <v>0</v>
      </c>
      <c r="I191" s="20">
        <v>0</v>
      </c>
      <c r="J191" s="21"/>
      <c r="K191" s="57">
        <v>0</v>
      </c>
      <c r="L191" s="23">
        <f t="shared" si="29"/>
        <v>80</v>
      </c>
      <c r="M191" s="23">
        <f t="shared" si="30"/>
        <v>80</v>
      </c>
      <c r="N191" s="23"/>
      <c r="O191" s="23">
        <v>6</v>
      </c>
      <c r="R191" s="153">
        <f>SUMIF(E131:E192,"追込み分",C131:C192)</f>
        <v>464</v>
      </c>
    </row>
    <row r="192" spans="1:18" hidden="1" outlineLevel="1">
      <c r="A192" s="96">
        <v>45288</v>
      </c>
      <c r="B192" s="17" t="s">
        <v>14</v>
      </c>
      <c r="C192" s="157"/>
      <c r="D192" s="100"/>
      <c r="E192" s="22">
        <f t="shared" si="31"/>
        <v>-5</v>
      </c>
      <c r="G192" s="78">
        <v>32</v>
      </c>
      <c r="H192" s="62">
        <f>C190+I192</f>
        <v>0</v>
      </c>
      <c r="I192" s="20">
        <v>0</v>
      </c>
      <c r="J192" s="21"/>
      <c r="K192" s="57">
        <v>0</v>
      </c>
      <c r="L192" s="23">
        <f t="shared" si="29"/>
        <v>48</v>
      </c>
      <c r="M192" s="23">
        <f t="shared" si="30"/>
        <v>48</v>
      </c>
      <c r="N192" s="23"/>
      <c r="O192" s="23">
        <v>15</v>
      </c>
      <c r="Q192" s="1">
        <f>AVERAGE(G189:G192)</f>
        <v>14</v>
      </c>
    </row>
    <row r="193" spans="1:17" s="12" customFormat="1" hidden="1" outlineLevel="1">
      <c r="A193" s="95">
        <v>45289</v>
      </c>
      <c r="B193" s="25" t="s">
        <v>15</v>
      </c>
      <c r="C193" s="98"/>
      <c r="D193" s="99"/>
      <c r="E193" s="87">
        <f t="shared" si="31"/>
        <v>-5</v>
      </c>
      <c r="G193" s="64"/>
      <c r="H193" s="63"/>
      <c r="I193" s="27"/>
      <c r="J193" s="28"/>
      <c r="K193" s="43"/>
      <c r="L193" s="29">
        <f t="shared" si="29"/>
        <v>48</v>
      </c>
      <c r="M193" s="29">
        <f t="shared" si="30"/>
        <v>48</v>
      </c>
      <c r="N193" s="29"/>
      <c r="O193" s="29"/>
    </row>
    <row r="194" spans="1:17" s="12" customFormat="1" hidden="1" outlineLevel="1">
      <c r="A194" s="95">
        <v>45290</v>
      </c>
      <c r="B194" s="25" t="s">
        <v>16</v>
      </c>
      <c r="C194" s="98"/>
      <c r="D194" s="99"/>
      <c r="E194" s="87">
        <f t="shared" si="31"/>
        <v>-5</v>
      </c>
      <c r="G194" s="64"/>
      <c r="H194" s="63"/>
      <c r="I194" s="27"/>
      <c r="J194" s="28"/>
      <c r="K194" s="43"/>
      <c r="L194" s="29">
        <f t="shared" si="29"/>
        <v>48</v>
      </c>
      <c r="M194" s="29">
        <f t="shared" si="30"/>
        <v>48</v>
      </c>
      <c r="N194" s="29"/>
      <c r="O194" s="29"/>
    </row>
    <row r="195" spans="1:17" s="12" customFormat="1" hidden="1" outlineLevel="1">
      <c r="A195" s="95">
        <v>45291</v>
      </c>
      <c r="B195" s="25" t="s">
        <v>17</v>
      </c>
      <c r="C195" s="98"/>
      <c r="D195" s="99"/>
      <c r="E195" s="87">
        <f t="shared" si="31"/>
        <v>-5</v>
      </c>
      <c r="G195" s="64"/>
      <c r="H195" s="63"/>
      <c r="I195" s="27"/>
      <c r="J195" s="28"/>
      <c r="K195" s="43"/>
      <c r="L195" s="29">
        <f t="shared" si="29"/>
        <v>48</v>
      </c>
      <c r="M195" s="29">
        <f t="shared" si="30"/>
        <v>48</v>
      </c>
      <c r="N195" s="29"/>
      <c r="O195" s="29"/>
    </row>
    <row r="196" spans="1:17" s="12" customFormat="1" hidden="1" outlineLevel="1">
      <c r="A196" s="95">
        <v>45292</v>
      </c>
      <c r="B196" s="25" t="s">
        <v>18</v>
      </c>
      <c r="C196" s="98"/>
      <c r="D196" s="99"/>
      <c r="E196" s="87">
        <f t="shared" si="31"/>
        <v>-5</v>
      </c>
      <c r="G196" s="64"/>
      <c r="H196" s="63"/>
      <c r="I196" s="27"/>
      <c r="J196" s="28"/>
      <c r="K196" s="43"/>
      <c r="L196" s="29">
        <f t="shared" si="29"/>
        <v>48</v>
      </c>
      <c r="M196" s="29">
        <f t="shared" si="30"/>
        <v>48</v>
      </c>
      <c r="N196" s="29"/>
      <c r="O196" s="29"/>
    </row>
    <row r="197" spans="1:17" s="12" customFormat="1" hidden="1" outlineLevel="1">
      <c r="A197" s="95">
        <v>45293</v>
      </c>
      <c r="B197" s="25" t="s">
        <v>19</v>
      </c>
      <c r="C197" s="98"/>
      <c r="D197" s="99"/>
      <c r="E197" s="87">
        <f t="shared" si="31"/>
        <v>-5</v>
      </c>
      <c r="G197" s="64"/>
      <c r="H197" s="63"/>
      <c r="I197" s="27"/>
      <c r="J197" s="28"/>
      <c r="K197" s="43"/>
      <c r="L197" s="29">
        <f t="shared" si="29"/>
        <v>48</v>
      </c>
      <c r="M197" s="29">
        <f t="shared" si="30"/>
        <v>48</v>
      </c>
      <c r="N197" s="29"/>
      <c r="O197" s="29"/>
    </row>
    <row r="198" spans="1:17" s="12" customFormat="1" hidden="1" outlineLevel="1">
      <c r="A198" s="95">
        <v>45294</v>
      </c>
      <c r="B198" s="25" t="s">
        <v>20</v>
      </c>
      <c r="C198" s="98"/>
      <c r="D198" s="99"/>
      <c r="E198" s="87">
        <f t="shared" si="31"/>
        <v>-5</v>
      </c>
      <c r="G198" s="64"/>
      <c r="H198" s="63"/>
      <c r="I198" s="27"/>
      <c r="J198" s="28"/>
      <c r="K198" s="43"/>
      <c r="L198" s="29">
        <f t="shared" si="29"/>
        <v>48</v>
      </c>
      <c r="M198" s="29">
        <f t="shared" si="30"/>
        <v>48</v>
      </c>
      <c r="N198" s="29"/>
      <c r="O198" s="29"/>
    </row>
    <row r="199" spans="1:17" s="12" customFormat="1" hidden="1" outlineLevel="1">
      <c r="A199" s="95">
        <v>45295</v>
      </c>
      <c r="B199" s="25" t="s">
        <v>14</v>
      </c>
      <c r="C199" s="98"/>
      <c r="D199" s="99"/>
      <c r="E199" s="87">
        <f t="shared" si="31"/>
        <v>-5</v>
      </c>
      <c r="G199" s="64"/>
      <c r="H199" s="63"/>
      <c r="I199" s="27"/>
      <c r="J199" s="28"/>
      <c r="K199" s="43"/>
      <c r="L199" s="29">
        <f t="shared" si="29"/>
        <v>48</v>
      </c>
      <c r="M199" s="29">
        <f t="shared" si="30"/>
        <v>48</v>
      </c>
      <c r="N199" s="29"/>
      <c r="O199" s="29"/>
    </row>
    <row r="200" spans="1:17" hidden="1" outlineLevel="1">
      <c r="A200" s="96">
        <v>45296</v>
      </c>
      <c r="B200" s="17" t="s">
        <v>15</v>
      </c>
      <c r="C200" s="157"/>
      <c r="D200" s="100"/>
      <c r="E200" s="22">
        <f t="shared" si="31"/>
        <v>-5</v>
      </c>
      <c r="G200" s="78">
        <v>72</v>
      </c>
      <c r="H200" s="62">
        <f>C191+I200</f>
        <v>64</v>
      </c>
      <c r="I200" s="20">
        <v>64</v>
      </c>
      <c r="J200" s="21"/>
      <c r="K200" s="57">
        <v>64</v>
      </c>
      <c r="L200" s="23">
        <f t="shared" si="29"/>
        <v>40</v>
      </c>
      <c r="M200" s="23">
        <f t="shared" si="30"/>
        <v>40</v>
      </c>
      <c r="N200" s="23"/>
      <c r="O200" s="23">
        <v>7</v>
      </c>
    </row>
    <row r="201" spans="1:17" hidden="1" outlineLevel="1">
      <c r="A201" s="96">
        <v>45297</v>
      </c>
      <c r="B201" s="17" t="s">
        <v>16</v>
      </c>
      <c r="C201" s="157"/>
      <c r="D201" s="100"/>
      <c r="E201" s="22">
        <f t="shared" si="31"/>
        <v>-5</v>
      </c>
      <c r="G201" s="78">
        <v>56</v>
      </c>
      <c r="H201" s="62">
        <f>C192+I201</f>
        <v>64</v>
      </c>
      <c r="I201" s="20">
        <v>64</v>
      </c>
      <c r="J201" s="21"/>
      <c r="K201" s="57">
        <v>64</v>
      </c>
      <c r="L201" s="23">
        <f t="shared" si="29"/>
        <v>48</v>
      </c>
      <c r="M201" s="23">
        <f t="shared" si="30"/>
        <v>48</v>
      </c>
      <c r="N201" s="23"/>
      <c r="O201" s="23">
        <v>8</v>
      </c>
    </row>
    <row r="202" spans="1:17" s="12" customFormat="1" hidden="1" outlineLevel="1">
      <c r="A202" s="95">
        <v>45298</v>
      </c>
      <c r="B202" s="25" t="s">
        <v>17</v>
      </c>
      <c r="C202" s="98"/>
      <c r="D202" s="99"/>
      <c r="E202" s="87">
        <f t="shared" si="31"/>
        <v>-5</v>
      </c>
      <c r="G202" s="64"/>
      <c r="H202" s="63"/>
      <c r="I202" s="27"/>
      <c r="J202" s="28"/>
      <c r="K202" s="43"/>
      <c r="L202" s="29">
        <f t="shared" si="29"/>
        <v>48</v>
      </c>
      <c r="M202" s="29">
        <f t="shared" si="30"/>
        <v>48</v>
      </c>
      <c r="N202" s="29"/>
      <c r="O202" s="29"/>
    </row>
    <row r="203" spans="1:17" s="12" customFormat="1" hidden="1" outlineLevel="1">
      <c r="A203" s="95">
        <v>45299</v>
      </c>
      <c r="B203" s="25" t="s">
        <v>18</v>
      </c>
      <c r="C203" s="98"/>
      <c r="D203" s="99"/>
      <c r="E203" s="87">
        <f t="shared" si="31"/>
        <v>-5</v>
      </c>
      <c r="G203" s="64"/>
      <c r="H203" s="63"/>
      <c r="I203" s="27"/>
      <c r="J203" s="28"/>
      <c r="K203" s="43"/>
      <c r="L203" s="29">
        <f t="shared" si="29"/>
        <v>48</v>
      </c>
      <c r="M203" s="29">
        <f t="shared" si="30"/>
        <v>48</v>
      </c>
      <c r="N203" s="29"/>
      <c r="O203" s="29">
        <v>5</v>
      </c>
    </row>
    <row r="204" spans="1:17" hidden="1" outlineLevel="1">
      <c r="A204" s="96">
        <v>45300</v>
      </c>
      <c r="B204" s="17" t="s">
        <v>19</v>
      </c>
      <c r="C204" s="157"/>
      <c r="D204" s="100"/>
      <c r="E204" s="22"/>
      <c r="G204" s="78">
        <v>72</v>
      </c>
      <c r="H204" s="62">
        <f>C200+I204</f>
        <v>64</v>
      </c>
      <c r="I204" s="20">
        <v>64</v>
      </c>
      <c r="J204" s="21"/>
      <c r="K204" s="57">
        <v>64</v>
      </c>
      <c r="L204" s="23">
        <f t="shared" si="29"/>
        <v>40</v>
      </c>
      <c r="M204" s="23">
        <f t="shared" si="30"/>
        <v>40</v>
      </c>
      <c r="N204" s="23"/>
      <c r="O204" s="23">
        <v>0</v>
      </c>
    </row>
    <row r="205" spans="1:17" hidden="1" outlineLevel="1">
      <c r="A205" s="96">
        <v>45301</v>
      </c>
      <c r="B205" s="17" t="s">
        <v>20</v>
      </c>
      <c r="C205" s="179">
        <v>0</v>
      </c>
      <c r="D205" s="100"/>
      <c r="E205" s="205">
        <v>0</v>
      </c>
      <c r="G205" s="78">
        <v>24</v>
      </c>
      <c r="H205" s="62">
        <f>C201+I205</f>
        <v>64</v>
      </c>
      <c r="I205" s="20">
        <v>64</v>
      </c>
      <c r="J205" s="21"/>
      <c r="K205" s="57">
        <v>64</v>
      </c>
      <c r="L205" s="23">
        <f t="shared" si="29"/>
        <v>80</v>
      </c>
      <c r="M205" s="23">
        <f t="shared" si="30"/>
        <v>80</v>
      </c>
      <c r="N205" s="23"/>
      <c r="O205" s="23">
        <v>8</v>
      </c>
    </row>
    <row r="206" spans="1:17" hidden="1" outlineLevel="1">
      <c r="A206" s="96">
        <v>45302</v>
      </c>
      <c r="B206" s="17" t="s">
        <v>14</v>
      </c>
      <c r="C206" s="179">
        <v>0</v>
      </c>
      <c r="D206" s="100">
        <v>40</v>
      </c>
      <c r="E206" s="22">
        <f t="shared" si="31"/>
        <v>40</v>
      </c>
      <c r="G206" s="78">
        <v>72</v>
      </c>
      <c r="H206" s="62">
        <f>C204+I206</f>
        <v>64</v>
      </c>
      <c r="I206" s="20">
        <v>64</v>
      </c>
      <c r="J206" s="21"/>
      <c r="K206" s="57">
        <v>64</v>
      </c>
      <c r="L206" s="23">
        <f t="shared" si="29"/>
        <v>72</v>
      </c>
      <c r="M206" s="23">
        <f t="shared" si="30"/>
        <v>72</v>
      </c>
      <c r="N206" s="23"/>
      <c r="O206" s="23">
        <v>0</v>
      </c>
    </row>
    <row r="207" spans="1:17" hidden="1" outlineLevel="1">
      <c r="A207" s="96">
        <v>45303</v>
      </c>
      <c r="B207" s="17" t="s">
        <v>15</v>
      </c>
      <c r="C207" s="180">
        <v>0</v>
      </c>
      <c r="D207" s="100">
        <v>32</v>
      </c>
      <c r="E207" s="22">
        <f t="shared" si="31"/>
        <v>72</v>
      </c>
      <c r="G207" s="78">
        <v>64</v>
      </c>
      <c r="H207" s="62">
        <f>C205+I207</f>
        <v>64</v>
      </c>
      <c r="I207" s="20">
        <v>64</v>
      </c>
      <c r="J207" s="21"/>
      <c r="K207" s="61">
        <v>64</v>
      </c>
      <c r="L207" s="23">
        <f t="shared" si="29"/>
        <v>72</v>
      </c>
      <c r="M207" s="23">
        <f>M206-G207+H207</f>
        <v>72</v>
      </c>
      <c r="N207" s="23"/>
      <c r="O207" s="23">
        <v>17</v>
      </c>
      <c r="Q207" s="1">
        <f>AVERAGE(G203:G207)</f>
        <v>58</v>
      </c>
    </row>
    <row r="208" spans="1:17" s="12" customFormat="1" hidden="1" outlineLevel="1">
      <c r="A208" s="95">
        <v>45304</v>
      </c>
      <c r="B208" s="25" t="s">
        <v>16</v>
      </c>
      <c r="C208" s="69"/>
      <c r="D208" s="99"/>
      <c r="E208" s="87">
        <f t="shared" si="31"/>
        <v>72</v>
      </c>
      <c r="G208" s="79"/>
      <c r="H208" s="63"/>
      <c r="I208" s="27"/>
      <c r="J208" s="28"/>
      <c r="K208" s="43"/>
      <c r="L208" s="29">
        <f t="shared" si="29"/>
        <v>72</v>
      </c>
      <c r="M208" s="29">
        <f t="shared" si="30"/>
        <v>72</v>
      </c>
      <c r="N208" s="29"/>
      <c r="O208" s="29"/>
    </row>
    <row r="209" spans="1:17" s="12" customFormat="1" hidden="1" outlineLevel="1">
      <c r="A209" s="95">
        <v>45305</v>
      </c>
      <c r="B209" s="25" t="s">
        <v>17</v>
      </c>
      <c r="C209" s="69"/>
      <c r="D209" s="99"/>
      <c r="E209" s="87">
        <f t="shared" si="31"/>
        <v>72</v>
      </c>
      <c r="G209" s="79"/>
      <c r="H209" s="63"/>
      <c r="I209" s="27"/>
      <c r="J209" s="28"/>
      <c r="K209" s="43"/>
      <c r="L209" s="29">
        <f t="shared" si="29"/>
        <v>72</v>
      </c>
      <c r="M209" s="29">
        <f t="shared" si="30"/>
        <v>72</v>
      </c>
      <c r="N209" s="29"/>
      <c r="O209" s="29"/>
    </row>
    <row r="210" spans="1:17" hidden="1" outlineLevel="1">
      <c r="A210" s="96">
        <v>45306</v>
      </c>
      <c r="B210" s="17" t="s">
        <v>18</v>
      </c>
      <c r="C210" s="68">
        <v>48</v>
      </c>
      <c r="D210" s="100">
        <v>64</v>
      </c>
      <c r="E210" s="22">
        <f t="shared" si="31"/>
        <v>88</v>
      </c>
      <c r="G210" s="78">
        <v>56</v>
      </c>
      <c r="H210" s="62">
        <f>C206+I210</f>
        <v>64</v>
      </c>
      <c r="I210" s="20">
        <v>64</v>
      </c>
      <c r="J210" s="21"/>
      <c r="K210" s="194">
        <v>64</v>
      </c>
      <c r="L210" s="23">
        <f t="shared" si="29"/>
        <v>80</v>
      </c>
      <c r="M210" s="23">
        <f t="shared" si="30"/>
        <v>80</v>
      </c>
      <c r="N210" s="23"/>
      <c r="O210" s="23">
        <v>0</v>
      </c>
    </row>
    <row r="211" spans="1:17" hidden="1" outlineLevel="1">
      <c r="A211" s="96">
        <v>45307</v>
      </c>
      <c r="B211" s="17" t="s">
        <v>19</v>
      </c>
      <c r="C211" s="68">
        <v>56</v>
      </c>
      <c r="D211" s="100">
        <v>64</v>
      </c>
      <c r="E211" s="22">
        <f t="shared" si="31"/>
        <v>96</v>
      </c>
      <c r="G211" s="78">
        <v>72</v>
      </c>
      <c r="H211" s="62">
        <f>C207+I211</f>
        <v>16</v>
      </c>
      <c r="I211" s="20">
        <v>16</v>
      </c>
      <c r="J211" s="21">
        <f>SUM(I189:I211)</f>
        <v>464</v>
      </c>
      <c r="K211" s="194">
        <v>16</v>
      </c>
      <c r="L211" s="23">
        <f t="shared" si="29"/>
        <v>24</v>
      </c>
      <c r="M211" s="23">
        <f t="shared" si="30"/>
        <v>24</v>
      </c>
      <c r="N211" s="23"/>
      <c r="O211" s="23">
        <v>14</v>
      </c>
    </row>
    <row r="212" spans="1:17" hidden="1" outlineLevel="1">
      <c r="A212" s="96">
        <v>45308</v>
      </c>
      <c r="B212" s="17" t="s">
        <v>20</v>
      </c>
      <c r="C212" s="68">
        <v>64</v>
      </c>
      <c r="D212" s="100">
        <v>64</v>
      </c>
      <c r="E212" s="22">
        <f t="shared" si="31"/>
        <v>96</v>
      </c>
      <c r="G212" s="78">
        <v>56</v>
      </c>
      <c r="H212" s="62">
        <f>C210+I212</f>
        <v>48</v>
      </c>
      <c r="I212" s="20"/>
      <c r="J212" s="21"/>
      <c r="K212" s="194">
        <v>48</v>
      </c>
      <c r="L212" s="23">
        <f t="shared" si="29"/>
        <v>16</v>
      </c>
      <c r="M212" s="23">
        <f>M211-G212+H212</f>
        <v>16</v>
      </c>
      <c r="N212" s="23"/>
      <c r="O212" s="23">
        <v>3</v>
      </c>
    </row>
    <row r="213" spans="1:17" hidden="1" outlineLevel="1">
      <c r="A213" s="96">
        <v>45309</v>
      </c>
      <c r="B213" s="17" t="s">
        <v>14</v>
      </c>
      <c r="C213" s="68">
        <v>64</v>
      </c>
      <c r="D213" s="100">
        <v>64</v>
      </c>
      <c r="E213" s="22">
        <f t="shared" si="31"/>
        <v>96</v>
      </c>
      <c r="G213" s="78">
        <v>72</v>
      </c>
      <c r="H213" s="62">
        <f t="shared" ref="H213:H214" si="35">C211+I213</f>
        <v>56</v>
      </c>
      <c r="I213" s="20"/>
      <c r="J213" s="21"/>
      <c r="K213" s="57">
        <v>56</v>
      </c>
      <c r="L213" s="23">
        <f t="shared" si="29"/>
        <v>0</v>
      </c>
      <c r="M213" s="23">
        <f t="shared" si="30"/>
        <v>0</v>
      </c>
      <c r="N213" s="23"/>
      <c r="O213" s="23">
        <v>9</v>
      </c>
    </row>
    <row r="214" spans="1:17" hidden="1" outlineLevel="1">
      <c r="A214" s="96">
        <v>45310</v>
      </c>
      <c r="B214" s="17" t="s">
        <v>15</v>
      </c>
      <c r="C214" s="68">
        <v>64</v>
      </c>
      <c r="D214" s="100">
        <v>64</v>
      </c>
      <c r="E214" s="22">
        <f t="shared" si="31"/>
        <v>96</v>
      </c>
      <c r="G214" s="78">
        <v>64</v>
      </c>
      <c r="H214" s="62">
        <f t="shared" si="35"/>
        <v>64</v>
      </c>
      <c r="I214" s="20"/>
      <c r="J214" s="21"/>
      <c r="K214" s="57">
        <v>64</v>
      </c>
      <c r="L214" s="23">
        <f t="shared" si="29"/>
        <v>0</v>
      </c>
      <c r="M214" s="23">
        <f t="shared" si="30"/>
        <v>0</v>
      </c>
      <c r="N214" s="23"/>
      <c r="O214" s="23">
        <v>0</v>
      </c>
      <c r="Q214" s="1">
        <f>AVERAGE(G210:G214)</f>
        <v>64</v>
      </c>
    </row>
    <row r="215" spans="1:17" s="12" customFormat="1" hidden="1" outlineLevel="1">
      <c r="A215" s="95">
        <v>45311</v>
      </c>
      <c r="B215" s="25" t="s">
        <v>16</v>
      </c>
      <c r="C215" s="69"/>
      <c r="D215" s="99"/>
      <c r="E215" s="87">
        <f t="shared" si="31"/>
        <v>96</v>
      </c>
      <c r="G215" s="64"/>
      <c r="H215" s="63"/>
      <c r="I215" s="27"/>
      <c r="J215" s="28"/>
      <c r="K215" s="43"/>
      <c r="L215" s="29">
        <f t="shared" si="29"/>
        <v>0</v>
      </c>
      <c r="M215" s="29">
        <f t="shared" si="30"/>
        <v>0</v>
      </c>
      <c r="N215" s="29"/>
      <c r="O215" s="29"/>
    </row>
    <row r="216" spans="1:17" s="12" customFormat="1" hidden="1" outlineLevel="1">
      <c r="A216" s="95">
        <v>45312</v>
      </c>
      <c r="B216" s="25" t="s">
        <v>17</v>
      </c>
      <c r="C216" s="69"/>
      <c r="D216" s="99"/>
      <c r="E216" s="87">
        <f t="shared" si="31"/>
        <v>96</v>
      </c>
      <c r="G216" s="64"/>
      <c r="H216" s="63"/>
      <c r="I216" s="27"/>
      <c r="J216" s="28"/>
      <c r="K216" s="43"/>
      <c r="L216" s="29">
        <f t="shared" si="29"/>
        <v>0</v>
      </c>
      <c r="M216" s="29">
        <f t="shared" si="30"/>
        <v>0</v>
      </c>
      <c r="N216" s="29"/>
      <c r="O216" s="29"/>
    </row>
    <row r="217" spans="1:17" hidden="1" outlineLevel="1">
      <c r="A217" s="96">
        <v>45313</v>
      </c>
      <c r="B217" s="17" t="s">
        <v>18</v>
      </c>
      <c r="C217" s="68">
        <v>64</v>
      </c>
      <c r="D217" s="100">
        <v>65</v>
      </c>
      <c r="E217" s="22">
        <f t="shared" si="31"/>
        <v>97</v>
      </c>
      <c r="G217" s="78">
        <v>64</v>
      </c>
      <c r="H217" s="62">
        <f>C213+I217</f>
        <v>64</v>
      </c>
      <c r="I217" s="20"/>
      <c r="J217" s="21"/>
      <c r="K217" s="57">
        <v>64</v>
      </c>
      <c r="L217" s="23">
        <f t="shared" si="29"/>
        <v>0</v>
      </c>
      <c r="M217" s="23">
        <f t="shared" si="30"/>
        <v>0</v>
      </c>
      <c r="N217" s="23"/>
      <c r="O217" s="23">
        <v>0</v>
      </c>
    </row>
    <row r="218" spans="1:17" hidden="1" outlineLevel="1">
      <c r="A218" s="96">
        <v>45314</v>
      </c>
      <c r="B218" s="17" t="s">
        <v>19</v>
      </c>
      <c r="C218" s="68">
        <f>64+1</f>
        <v>65</v>
      </c>
      <c r="D218" s="100">
        <v>64</v>
      </c>
      <c r="E218" s="22">
        <f t="shared" si="31"/>
        <v>96</v>
      </c>
      <c r="G218" s="78">
        <v>64</v>
      </c>
      <c r="H218" s="62">
        <f>C214+I218</f>
        <v>64</v>
      </c>
      <c r="I218" s="20"/>
      <c r="J218" s="21"/>
      <c r="K218" s="57">
        <v>64</v>
      </c>
      <c r="L218" s="23">
        <f t="shared" si="29"/>
        <v>0</v>
      </c>
      <c r="M218" s="23">
        <f t="shared" si="30"/>
        <v>0</v>
      </c>
      <c r="N218" s="23"/>
      <c r="O218" s="23">
        <v>0</v>
      </c>
    </row>
    <row r="219" spans="1:17" hidden="1" outlineLevel="1">
      <c r="A219" s="96">
        <v>45315</v>
      </c>
      <c r="B219" s="17" t="s">
        <v>20</v>
      </c>
      <c r="C219" s="68">
        <v>64</v>
      </c>
      <c r="D219" s="100">
        <v>67</v>
      </c>
      <c r="E219" s="22">
        <f t="shared" si="31"/>
        <v>99</v>
      </c>
      <c r="G219" s="78">
        <v>56</v>
      </c>
      <c r="H219" s="62">
        <f>C217+I219</f>
        <v>64</v>
      </c>
      <c r="I219" s="20"/>
      <c r="J219" s="21"/>
      <c r="K219" s="57">
        <v>64</v>
      </c>
      <c r="L219" s="23">
        <f t="shared" si="29"/>
        <v>8</v>
      </c>
      <c r="M219" s="23">
        <f t="shared" si="30"/>
        <v>8</v>
      </c>
      <c r="N219" s="23"/>
      <c r="O219" s="23">
        <v>10</v>
      </c>
    </row>
    <row r="220" spans="1:17" hidden="1" outlineLevel="1">
      <c r="A220" s="96">
        <v>45316</v>
      </c>
      <c r="B220" s="17" t="s">
        <v>14</v>
      </c>
      <c r="C220" s="68">
        <v>64</v>
      </c>
      <c r="D220" s="100">
        <v>64</v>
      </c>
      <c r="E220" s="22">
        <f t="shared" si="31"/>
        <v>99</v>
      </c>
      <c r="G220" s="78">
        <v>80</v>
      </c>
      <c r="H220" s="62">
        <f t="shared" ref="H220:H221" si="36">C218+I220</f>
        <v>65</v>
      </c>
      <c r="I220" s="20"/>
      <c r="J220" s="21"/>
      <c r="K220" s="57">
        <v>65</v>
      </c>
      <c r="L220" s="23">
        <f t="shared" si="29"/>
        <v>-7</v>
      </c>
      <c r="M220" s="23">
        <f t="shared" si="30"/>
        <v>-7</v>
      </c>
      <c r="N220" s="23"/>
      <c r="O220" s="23">
        <v>0</v>
      </c>
    </row>
    <row r="221" spans="1:17" hidden="1" outlineLevel="1">
      <c r="A221" s="96">
        <v>45317</v>
      </c>
      <c r="B221" s="17" t="s">
        <v>15</v>
      </c>
      <c r="C221" s="68">
        <v>64</v>
      </c>
      <c r="D221" s="100">
        <v>64</v>
      </c>
      <c r="E221" s="22">
        <f t="shared" si="31"/>
        <v>99</v>
      </c>
      <c r="G221" s="78">
        <v>64</v>
      </c>
      <c r="H221" s="62">
        <f t="shared" si="36"/>
        <v>64</v>
      </c>
      <c r="I221" s="20"/>
      <c r="J221" s="21"/>
      <c r="K221" s="57">
        <v>64</v>
      </c>
      <c r="L221" s="23">
        <f t="shared" si="29"/>
        <v>-7</v>
      </c>
      <c r="M221" s="23">
        <f t="shared" si="30"/>
        <v>-7</v>
      </c>
      <c r="N221" s="23"/>
      <c r="O221" s="23">
        <v>12</v>
      </c>
      <c r="Q221" s="1">
        <f>AVERAGE(G217:G221)</f>
        <v>65.599999999999994</v>
      </c>
    </row>
    <row r="222" spans="1:17" s="12" customFormat="1" hidden="1" outlineLevel="1" collapsed="1">
      <c r="A222" s="95">
        <v>45318</v>
      </c>
      <c r="B222" s="25" t="s">
        <v>16</v>
      </c>
      <c r="C222" s="69"/>
      <c r="D222" s="99"/>
      <c r="E222" s="87">
        <f t="shared" si="31"/>
        <v>99</v>
      </c>
      <c r="G222" s="64"/>
      <c r="H222" s="63"/>
      <c r="I222" s="27"/>
      <c r="J222" s="28"/>
      <c r="K222" s="43"/>
      <c r="L222" s="29">
        <f t="shared" si="29"/>
        <v>-7</v>
      </c>
      <c r="M222" s="29">
        <f t="shared" si="30"/>
        <v>-7</v>
      </c>
      <c r="N222" s="29"/>
      <c r="O222" s="29"/>
    </row>
    <row r="223" spans="1:17" s="12" customFormat="1" hidden="1" outlineLevel="1">
      <c r="A223" s="95">
        <v>45319</v>
      </c>
      <c r="B223" s="25" t="s">
        <v>17</v>
      </c>
      <c r="C223" s="69"/>
      <c r="D223" s="99"/>
      <c r="E223" s="87">
        <f t="shared" si="31"/>
        <v>99</v>
      </c>
      <c r="G223" s="64"/>
      <c r="H223" s="63"/>
      <c r="I223" s="27"/>
      <c r="J223" s="28"/>
      <c r="K223" s="43"/>
      <c r="L223" s="29">
        <f t="shared" si="29"/>
        <v>-7</v>
      </c>
      <c r="M223" s="29">
        <f t="shared" si="30"/>
        <v>-7</v>
      </c>
      <c r="N223" s="29"/>
      <c r="O223" s="29"/>
    </row>
    <row r="224" spans="1:17" hidden="1" outlineLevel="1">
      <c r="A224" s="96">
        <v>45320</v>
      </c>
      <c r="B224" s="17" t="s">
        <v>18</v>
      </c>
      <c r="C224" s="68">
        <v>64</v>
      </c>
      <c r="D224" s="100">
        <v>64</v>
      </c>
      <c r="E224" s="22">
        <f t="shared" si="31"/>
        <v>99</v>
      </c>
      <c r="G224" s="78">
        <v>56</v>
      </c>
      <c r="H224" s="62">
        <f>C220+I224</f>
        <v>64</v>
      </c>
      <c r="I224" s="20"/>
      <c r="J224" s="21"/>
      <c r="K224" s="57">
        <v>64</v>
      </c>
      <c r="L224" s="23">
        <f t="shared" si="29"/>
        <v>1</v>
      </c>
      <c r="M224" s="23">
        <f t="shared" si="30"/>
        <v>1</v>
      </c>
      <c r="N224" s="23"/>
      <c r="O224" s="23">
        <v>0</v>
      </c>
    </row>
    <row r="225" spans="1:17" hidden="1" outlineLevel="1">
      <c r="A225" s="96">
        <v>45321</v>
      </c>
      <c r="B225" s="17" t="s">
        <v>19</v>
      </c>
      <c r="C225" s="68">
        <v>64</v>
      </c>
      <c r="D225" s="100">
        <v>64</v>
      </c>
      <c r="E225" s="22">
        <f t="shared" si="31"/>
        <v>99</v>
      </c>
      <c r="G225" s="78">
        <v>72</v>
      </c>
      <c r="H225" s="62">
        <f>C221+I225</f>
        <v>64</v>
      </c>
      <c r="I225" s="20"/>
      <c r="J225" s="21"/>
      <c r="K225" s="57">
        <v>64</v>
      </c>
      <c r="L225" s="23">
        <f t="shared" si="29"/>
        <v>-7</v>
      </c>
      <c r="M225" s="23">
        <f t="shared" si="30"/>
        <v>-7</v>
      </c>
      <c r="N225" s="23"/>
      <c r="O225" s="23">
        <v>0</v>
      </c>
    </row>
    <row r="226" spans="1:17" hidden="1" outlineLevel="1">
      <c r="A226" s="96">
        <v>45322</v>
      </c>
      <c r="B226" s="17" t="s">
        <v>20</v>
      </c>
      <c r="C226" s="68">
        <v>64</v>
      </c>
      <c r="D226" s="100">
        <v>64</v>
      </c>
      <c r="E226" s="22">
        <f t="shared" si="31"/>
        <v>99</v>
      </c>
      <c r="G226" s="78">
        <v>56</v>
      </c>
      <c r="H226" s="62">
        <f>C224+I226</f>
        <v>64</v>
      </c>
      <c r="I226" s="20"/>
      <c r="J226" s="21"/>
      <c r="K226" s="57">
        <v>64</v>
      </c>
      <c r="L226" s="23">
        <f t="shared" si="29"/>
        <v>1</v>
      </c>
      <c r="M226" s="23">
        <f t="shared" si="30"/>
        <v>1</v>
      </c>
      <c r="N226" s="23"/>
      <c r="O226" s="23">
        <v>23</v>
      </c>
    </row>
    <row r="227" spans="1:17" hidden="1" outlineLevel="1">
      <c r="A227" s="96">
        <v>45323</v>
      </c>
      <c r="B227" s="17" t="s">
        <v>14</v>
      </c>
      <c r="C227" s="68">
        <v>64</v>
      </c>
      <c r="D227" s="100">
        <v>64</v>
      </c>
      <c r="E227" s="22">
        <f t="shared" ref="E227" si="37">E226-C227+D227</f>
        <v>99</v>
      </c>
      <c r="G227" s="78">
        <v>72</v>
      </c>
      <c r="H227" s="62">
        <f>C225+I227</f>
        <v>64</v>
      </c>
      <c r="I227" s="20"/>
      <c r="J227" s="21"/>
      <c r="K227" s="57">
        <v>64</v>
      </c>
      <c r="L227" s="23">
        <f t="shared" ref="L227" si="38">L226-G227+K227</f>
        <v>-7</v>
      </c>
      <c r="M227" s="23">
        <f t="shared" ref="M227" si="39">M226-G227+H227</f>
        <v>-7</v>
      </c>
      <c r="N227" s="23"/>
      <c r="O227" s="23">
        <v>14</v>
      </c>
    </row>
    <row r="228" spans="1:17" hidden="1" outlineLevel="1">
      <c r="A228" s="96">
        <v>45324</v>
      </c>
      <c r="B228" s="17" t="s">
        <v>15</v>
      </c>
      <c r="C228" s="68">
        <v>64</v>
      </c>
      <c r="D228" s="100">
        <v>64</v>
      </c>
      <c r="E228" s="22">
        <f t="shared" ref="E228:E291" si="40">E227-C228+D228</f>
        <v>99</v>
      </c>
      <c r="G228" s="78">
        <v>64</v>
      </c>
      <c r="H228" s="62">
        <f t="shared" ref="H228:H249" si="41">C226+I228</f>
        <v>64</v>
      </c>
      <c r="I228" s="20"/>
      <c r="J228" s="21"/>
      <c r="K228" s="57">
        <v>64</v>
      </c>
      <c r="L228" s="23">
        <f t="shared" ref="L228:L291" si="42">L227-G228+K228</f>
        <v>-7</v>
      </c>
      <c r="M228" s="23">
        <f t="shared" ref="M228:M291" si="43">M227-G228+H228</f>
        <v>-7</v>
      </c>
      <c r="N228" s="23"/>
      <c r="O228" s="23">
        <v>12</v>
      </c>
      <c r="Q228" s="1">
        <f>AVERAGE(G224:G228)</f>
        <v>64</v>
      </c>
    </row>
    <row r="229" spans="1:17" s="12" customFormat="1" hidden="1" outlineLevel="1">
      <c r="A229" s="95">
        <v>45325</v>
      </c>
      <c r="B229" s="25" t="s">
        <v>16</v>
      </c>
      <c r="C229" s="69"/>
      <c r="D229" s="99"/>
      <c r="E229" s="87">
        <f t="shared" si="40"/>
        <v>99</v>
      </c>
      <c r="G229" s="79"/>
      <c r="H229" s="63"/>
      <c r="I229" s="27"/>
      <c r="J229" s="28"/>
      <c r="K229" s="43"/>
      <c r="L229" s="29">
        <f t="shared" si="42"/>
        <v>-7</v>
      </c>
      <c r="M229" s="29">
        <f t="shared" si="43"/>
        <v>-7</v>
      </c>
      <c r="N229" s="29"/>
      <c r="O229" s="29"/>
    </row>
    <row r="230" spans="1:17" s="12" customFormat="1" hidden="1" outlineLevel="1">
      <c r="A230" s="95">
        <v>45326</v>
      </c>
      <c r="B230" s="25" t="s">
        <v>17</v>
      </c>
      <c r="C230" s="69"/>
      <c r="D230" s="99"/>
      <c r="E230" s="87">
        <f t="shared" si="40"/>
        <v>99</v>
      </c>
      <c r="G230" s="79"/>
      <c r="H230" s="63"/>
      <c r="I230" s="27"/>
      <c r="J230" s="28"/>
      <c r="K230" s="43"/>
      <c r="L230" s="29">
        <f t="shared" si="42"/>
        <v>-7</v>
      </c>
      <c r="M230" s="29">
        <f t="shared" si="43"/>
        <v>-7</v>
      </c>
      <c r="N230" s="29"/>
      <c r="O230" s="29"/>
    </row>
    <row r="231" spans="1:17" hidden="1" outlineLevel="1">
      <c r="A231" s="96">
        <v>45327</v>
      </c>
      <c r="B231" s="17" t="s">
        <v>18</v>
      </c>
      <c r="C231" s="68">
        <v>56</v>
      </c>
      <c r="D231" s="100">
        <v>56</v>
      </c>
      <c r="E231" s="22">
        <f t="shared" si="40"/>
        <v>99</v>
      </c>
      <c r="G231" s="78">
        <v>56</v>
      </c>
      <c r="H231" s="62">
        <f>C227+I231</f>
        <v>64</v>
      </c>
      <c r="I231" s="20"/>
      <c r="J231" s="21"/>
      <c r="K231" s="57">
        <v>64</v>
      </c>
      <c r="L231" s="23">
        <f t="shared" si="42"/>
        <v>1</v>
      </c>
      <c r="M231" s="23">
        <f t="shared" si="43"/>
        <v>1</v>
      </c>
      <c r="N231" s="23"/>
      <c r="O231" s="23">
        <v>0</v>
      </c>
    </row>
    <row r="232" spans="1:17" hidden="1" outlineLevel="1">
      <c r="A232" s="96">
        <v>45328</v>
      </c>
      <c r="B232" s="17" t="s">
        <v>19</v>
      </c>
      <c r="C232" s="68">
        <v>56</v>
      </c>
      <c r="D232" s="100">
        <v>56</v>
      </c>
      <c r="E232" s="22">
        <f t="shared" si="40"/>
        <v>99</v>
      </c>
      <c r="G232" s="78">
        <v>64</v>
      </c>
      <c r="H232" s="62">
        <f>C228+I232</f>
        <v>64</v>
      </c>
      <c r="I232" s="20"/>
      <c r="J232" s="21"/>
      <c r="K232" s="57">
        <v>64</v>
      </c>
      <c r="L232" s="23">
        <f t="shared" si="42"/>
        <v>1</v>
      </c>
      <c r="M232" s="23">
        <f t="shared" si="43"/>
        <v>1</v>
      </c>
      <c r="N232" s="23"/>
      <c r="O232" s="23">
        <v>0</v>
      </c>
    </row>
    <row r="233" spans="1:17" hidden="1" outlineLevel="1">
      <c r="A233" s="96">
        <v>45329</v>
      </c>
      <c r="B233" s="17" t="s">
        <v>20</v>
      </c>
      <c r="C233" s="68">
        <v>64</v>
      </c>
      <c r="D233" s="100">
        <v>64</v>
      </c>
      <c r="E233" s="22">
        <f t="shared" si="40"/>
        <v>99</v>
      </c>
      <c r="G233" s="78">
        <v>56</v>
      </c>
      <c r="H233" s="62">
        <f>C231+I233</f>
        <v>56</v>
      </c>
      <c r="I233" s="20"/>
      <c r="J233" s="21"/>
      <c r="K233" s="57">
        <v>56</v>
      </c>
      <c r="L233" s="23">
        <f t="shared" si="42"/>
        <v>1</v>
      </c>
      <c r="M233" s="23">
        <f t="shared" si="43"/>
        <v>1</v>
      </c>
      <c r="N233" s="23"/>
      <c r="O233" s="23">
        <v>0</v>
      </c>
    </row>
    <row r="234" spans="1:17" hidden="1" outlineLevel="1">
      <c r="A234" s="96">
        <v>45330</v>
      </c>
      <c r="B234" s="17" t="s">
        <v>14</v>
      </c>
      <c r="C234" s="138">
        <v>64</v>
      </c>
      <c r="D234" s="100">
        <v>64</v>
      </c>
      <c r="E234" s="22">
        <f t="shared" si="40"/>
        <v>99</v>
      </c>
      <c r="G234" s="78">
        <v>72</v>
      </c>
      <c r="H234" s="62">
        <f>C232+I234</f>
        <v>56</v>
      </c>
      <c r="I234" s="20"/>
      <c r="J234" s="21"/>
      <c r="K234" s="57">
        <v>56</v>
      </c>
      <c r="L234" s="23">
        <f t="shared" si="42"/>
        <v>-15</v>
      </c>
      <c r="M234" s="23">
        <f t="shared" si="43"/>
        <v>-15</v>
      </c>
      <c r="N234" s="23"/>
      <c r="O234" s="23">
        <v>0</v>
      </c>
    </row>
    <row r="235" spans="1:17" hidden="1" outlineLevel="1">
      <c r="A235" s="96">
        <v>45331</v>
      </c>
      <c r="B235" s="17" t="s">
        <v>15</v>
      </c>
      <c r="C235" s="138">
        <v>64</v>
      </c>
      <c r="D235" s="100">
        <v>64</v>
      </c>
      <c r="E235" s="22">
        <f t="shared" si="40"/>
        <v>99</v>
      </c>
      <c r="G235" s="78">
        <v>48</v>
      </c>
      <c r="H235" s="62">
        <f t="shared" si="41"/>
        <v>64</v>
      </c>
      <c r="I235" s="20"/>
      <c r="J235" s="21"/>
      <c r="K235" s="57">
        <v>64</v>
      </c>
      <c r="L235" s="23">
        <f t="shared" si="42"/>
        <v>1</v>
      </c>
      <c r="M235" s="23">
        <f t="shared" si="43"/>
        <v>1</v>
      </c>
      <c r="N235" s="23"/>
      <c r="O235" s="23">
        <v>0</v>
      </c>
      <c r="Q235" s="1">
        <f>AVERAGE(G231:G235)</f>
        <v>59.2</v>
      </c>
    </row>
    <row r="236" spans="1:17" s="12" customFormat="1" hidden="1" outlineLevel="1" collapsed="1">
      <c r="A236" s="95">
        <v>45332</v>
      </c>
      <c r="B236" s="25" t="s">
        <v>16</v>
      </c>
      <c r="C236" s="69"/>
      <c r="D236" s="99"/>
      <c r="E236" s="87">
        <f t="shared" si="40"/>
        <v>99</v>
      </c>
      <c r="G236" s="79"/>
      <c r="H236" s="63"/>
      <c r="I236" s="27"/>
      <c r="J236" s="28"/>
      <c r="K236" s="43"/>
      <c r="L236" s="29">
        <f t="shared" si="42"/>
        <v>1</v>
      </c>
      <c r="M236" s="29">
        <f t="shared" si="43"/>
        <v>1</v>
      </c>
      <c r="N236" s="29"/>
      <c r="O236" s="29"/>
    </row>
    <row r="237" spans="1:17" s="12" customFormat="1" hidden="1" outlineLevel="1">
      <c r="A237" s="95">
        <v>45333</v>
      </c>
      <c r="B237" s="25" t="s">
        <v>17</v>
      </c>
      <c r="C237" s="69"/>
      <c r="D237" s="99"/>
      <c r="E237" s="87">
        <f t="shared" si="40"/>
        <v>99</v>
      </c>
      <c r="G237" s="79"/>
      <c r="H237" s="63"/>
      <c r="I237" s="27"/>
      <c r="J237" s="28"/>
      <c r="K237" s="43"/>
      <c r="L237" s="29">
        <f t="shared" si="42"/>
        <v>1</v>
      </c>
      <c r="M237" s="29">
        <f t="shared" si="43"/>
        <v>1</v>
      </c>
      <c r="N237" s="29"/>
      <c r="O237" s="29"/>
    </row>
    <row r="238" spans="1:17" s="12" customFormat="1" hidden="1" outlineLevel="1">
      <c r="A238" s="95">
        <v>45334</v>
      </c>
      <c r="B238" s="25" t="s">
        <v>18</v>
      </c>
      <c r="C238" s="89">
        <v>0</v>
      </c>
      <c r="D238" s="99"/>
      <c r="E238" s="87">
        <f t="shared" si="40"/>
        <v>99</v>
      </c>
      <c r="G238" s="79"/>
      <c r="H238" s="63"/>
      <c r="I238" s="27"/>
      <c r="J238" s="28"/>
      <c r="K238" s="43"/>
      <c r="L238" s="29">
        <f t="shared" si="42"/>
        <v>1</v>
      </c>
      <c r="M238" s="29">
        <f t="shared" si="43"/>
        <v>1</v>
      </c>
      <c r="N238" s="29"/>
      <c r="O238" s="29">
        <v>12</v>
      </c>
    </row>
    <row r="239" spans="1:17" hidden="1" outlineLevel="1">
      <c r="A239" s="96">
        <v>45335</v>
      </c>
      <c r="B239" s="17" t="s">
        <v>19</v>
      </c>
      <c r="C239" s="68">
        <v>48</v>
      </c>
      <c r="D239" s="100">
        <v>48</v>
      </c>
      <c r="E239" s="22">
        <f t="shared" si="40"/>
        <v>99</v>
      </c>
      <c r="G239" s="78">
        <v>72</v>
      </c>
      <c r="H239" s="62">
        <f>C234+I239</f>
        <v>64</v>
      </c>
      <c r="I239" s="20"/>
      <c r="J239" s="21"/>
      <c r="K239" s="57">
        <v>64</v>
      </c>
      <c r="L239" s="23">
        <f t="shared" si="42"/>
        <v>-7</v>
      </c>
      <c r="M239" s="23">
        <f t="shared" si="43"/>
        <v>-7</v>
      </c>
      <c r="N239" s="23"/>
      <c r="O239" s="23">
        <v>0</v>
      </c>
    </row>
    <row r="240" spans="1:17" hidden="1" outlineLevel="1">
      <c r="A240" s="96">
        <v>45336</v>
      </c>
      <c r="B240" s="17" t="s">
        <v>20</v>
      </c>
      <c r="C240" s="68">
        <v>48</v>
      </c>
      <c r="D240" s="100">
        <v>48</v>
      </c>
      <c r="E240" s="22">
        <f t="shared" si="40"/>
        <v>99</v>
      </c>
      <c r="G240" s="78">
        <v>56</v>
      </c>
      <c r="H240" s="62">
        <f>C235+I240</f>
        <v>64</v>
      </c>
      <c r="I240" s="20"/>
      <c r="J240" s="21"/>
      <c r="K240" s="57">
        <v>64</v>
      </c>
      <c r="L240" s="23">
        <f t="shared" si="42"/>
        <v>1</v>
      </c>
      <c r="M240" s="23">
        <f t="shared" si="43"/>
        <v>1</v>
      </c>
      <c r="N240" s="23"/>
      <c r="O240" s="23">
        <v>0</v>
      </c>
    </row>
    <row r="241" spans="1:17" hidden="1" outlineLevel="1">
      <c r="A241" s="96">
        <v>45337</v>
      </c>
      <c r="B241" s="17" t="s">
        <v>14</v>
      </c>
      <c r="C241" s="68">
        <v>56</v>
      </c>
      <c r="D241" s="100">
        <v>56</v>
      </c>
      <c r="E241" s="22">
        <f t="shared" si="40"/>
        <v>99</v>
      </c>
      <c r="G241" s="78">
        <v>32</v>
      </c>
      <c r="H241" s="62">
        <f>C239+I241</f>
        <v>48</v>
      </c>
      <c r="I241" s="20"/>
      <c r="J241" s="21"/>
      <c r="K241" s="57">
        <v>48</v>
      </c>
      <c r="L241" s="23">
        <f t="shared" si="42"/>
        <v>17</v>
      </c>
      <c r="M241" s="23">
        <f t="shared" si="43"/>
        <v>17</v>
      </c>
      <c r="N241" s="23"/>
      <c r="O241" s="23">
        <v>8</v>
      </c>
    </row>
    <row r="242" spans="1:17" hidden="1" outlineLevel="1">
      <c r="A242" s="96">
        <v>45338</v>
      </c>
      <c r="B242" s="17" t="s">
        <v>15</v>
      </c>
      <c r="C242" s="68">
        <v>56</v>
      </c>
      <c r="D242" s="100">
        <v>56</v>
      </c>
      <c r="E242" s="22">
        <f t="shared" si="40"/>
        <v>99</v>
      </c>
      <c r="G242" s="78">
        <f>72+56</f>
        <v>128</v>
      </c>
      <c r="H242" s="62">
        <f>C240+I242</f>
        <v>48</v>
      </c>
      <c r="I242" s="20"/>
      <c r="J242" s="21"/>
      <c r="K242" s="57">
        <v>48</v>
      </c>
      <c r="L242" s="23">
        <f t="shared" si="42"/>
        <v>-63</v>
      </c>
      <c r="M242" s="23">
        <f t="shared" si="43"/>
        <v>-63</v>
      </c>
      <c r="N242" s="23"/>
      <c r="O242" s="23">
        <v>5</v>
      </c>
      <c r="Q242" s="1">
        <f>AVERAGE(G238:G242)</f>
        <v>72</v>
      </c>
    </row>
    <row r="243" spans="1:17" s="12" customFormat="1" hidden="1" outlineLevel="1" collapsed="1">
      <c r="A243" s="95">
        <v>45339</v>
      </c>
      <c r="B243" s="25" t="s">
        <v>16</v>
      </c>
      <c r="C243" s="69"/>
      <c r="D243" s="99"/>
      <c r="E243" s="87">
        <f t="shared" si="40"/>
        <v>99</v>
      </c>
      <c r="G243" s="64"/>
      <c r="H243" s="63"/>
      <c r="I243" s="27"/>
      <c r="J243" s="28"/>
      <c r="K243" s="43"/>
      <c r="L243" s="29">
        <f t="shared" si="42"/>
        <v>-63</v>
      </c>
      <c r="M243" s="29">
        <f t="shared" si="43"/>
        <v>-63</v>
      </c>
      <c r="N243" s="29"/>
      <c r="O243" s="29"/>
    </row>
    <row r="244" spans="1:17" s="12" customFormat="1" hidden="1" outlineLevel="1">
      <c r="A244" s="95">
        <v>45340</v>
      </c>
      <c r="B244" s="25" t="s">
        <v>17</v>
      </c>
      <c r="C244" s="69"/>
      <c r="D244" s="99"/>
      <c r="E244" s="87">
        <f t="shared" si="40"/>
        <v>99</v>
      </c>
      <c r="G244" s="64"/>
      <c r="H244" s="63"/>
      <c r="I244" s="27"/>
      <c r="J244" s="28"/>
      <c r="K244" s="43"/>
      <c r="L244" s="29">
        <f t="shared" si="42"/>
        <v>-63</v>
      </c>
      <c r="M244" s="29">
        <f t="shared" si="43"/>
        <v>-63</v>
      </c>
      <c r="N244" s="29"/>
      <c r="O244" s="29"/>
    </row>
    <row r="245" spans="1:17" hidden="1" outlineLevel="1">
      <c r="A245" s="96">
        <v>45341</v>
      </c>
      <c r="B245" s="17" t="s">
        <v>18</v>
      </c>
      <c r="C245" s="68">
        <v>56</v>
      </c>
      <c r="D245" s="100">
        <v>64</v>
      </c>
      <c r="E245" s="22">
        <f t="shared" si="40"/>
        <v>107</v>
      </c>
      <c r="G245" s="78">
        <f>56+64</f>
        <v>120</v>
      </c>
      <c r="H245" s="62">
        <f>C241+I245</f>
        <v>56</v>
      </c>
      <c r="I245" s="20"/>
      <c r="J245" s="21"/>
      <c r="K245" s="57">
        <v>56</v>
      </c>
      <c r="L245" s="23">
        <f t="shared" si="42"/>
        <v>-127</v>
      </c>
      <c r="M245" s="23">
        <f t="shared" si="43"/>
        <v>-127</v>
      </c>
      <c r="N245" s="23"/>
      <c r="O245" s="23">
        <v>8</v>
      </c>
    </row>
    <row r="246" spans="1:17" hidden="1" outlineLevel="1">
      <c r="A246" s="96">
        <v>45342</v>
      </c>
      <c r="B246" s="17" t="s">
        <v>19</v>
      </c>
      <c r="C246" s="68">
        <v>56</v>
      </c>
      <c r="D246" s="100">
        <v>56</v>
      </c>
      <c r="E246" s="22">
        <f t="shared" si="40"/>
        <v>107</v>
      </c>
      <c r="G246" s="78">
        <v>64</v>
      </c>
      <c r="H246" s="62">
        <f>C242+I246</f>
        <v>56</v>
      </c>
      <c r="I246" s="20"/>
      <c r="J246" s="21"/>
      <c r="K246" s="57">
        <v>56</v>
      </c>
      <c r="L246" s="23">
        <f t="shared" si="42"/>
        <v>-135</v>
      </c>
      <c r="M246" s="23">
        <f t="shared" si="43"/>
        <v>-135</v>
      </c>
      <c r="N246" s="23"/>
      <c r="O246" s="23">
        <v>0</v>
      </c>
    </row>
    <row r="247" spans="1:17" hidden="1" outlineLevel="1">
      <c r="A247" s="96">
        <v>45343</v>
      </c>
      <c r="B247" s="17" t="s">
        <v>20</v>
      </c>
      <c r="C247" s="68">
        <v>56</v>
      </c>
      <c r="D247" s="100">
        <v>56</v>
      </c>
      <c r="E247" s="22">
        <f t="shared" si="40"/>
        <v>107</v>
      </c>
      <c r="G247" s="78">
        <v>72</v>
      </c>
      <c r="H247" s="62">
        <f>C245+I247</f>
        <v>56</v>
      </c>
      <c r="I247" s="20"/>
      <c r="J247" s="21"/>
      <c r="K247" s="57">
        <v>56</v>
      </c>
      <c r="L247" s="23">
        <f t="shared" si="42"/>
        <v>-151</v>
      </c>
      <c r="M247" s="23">
        <f t="shared" si="43"/>
        <v>-151</v>
      </c>
      <c r="N247" s="23"/>
      <c r="O247" s="23">
        <v>9</v>
      </c>
    </row>
    <row r="248" spans="1:17" hidden="1" outlineLevel="1">
      <c r="A248" s="96">
        <v>45344</v>
      </c>
      <c r="B248" s="17" t="s">
        <v>14</v>
      </c>
      <c r="C248" s="68">
        <v>56</v>
      </c>
      <c r="D248" s="100">
        <v>56</v>
      </c>
      <c r="E248" s="22">
        <f t="shared" si="40"/>
        <v>107</v>
      </c>
      <c r="G248" s="78">
        <v>56</v>
      </c>
      <c r="H248" s="62">
        <f>C246+I248</f>
        <v>56</v>
      </c>
      <c r="I248" s="20"/>
      <c r="J248" s="21"/>
      <c r="K248" s="57">
        <v>56</v>
      </c>
      <c r="L248" s="23">
        <f t="shared" si="42"/>
        <v>-151</v>
      </c>
      <c r="M248" s="23">
        <f t="shared" si="43"/>
        <v>-151</v>
      </c>
      <c r="N248" s="23"/>
      <c r="O248" s="23">
        <v>7</v>
      </c>
    </row>
    <row r="249" spans="1:17" hidden="1" outlineLevel="1">
      <c r="A249" s="96">
        <v>45345</v>
      </c>
      <c r="B249" s="17" t="s">
        <v>15</v>
      </c>
      <c r="C249" s="68">
        <v>48</v>
      </c>
      <c r="D249" s="100">
        <v>64</v>
      </c>
      <c r="E249" s="22">
        <f t="shared" si="40"/>
        <v>123</v>
      </c>
      <c r="G249" s="78">
        <v>16</v>
      </c>
      <c r="H249" s="62">
        <f t="shared" si="41"/>
        <v>56</v>
      </c>
      <c r="I249" s="20"/>
      <c r="J249" s="21"/>
      <c r="K249" s="57">
        <v>56</v>
      </c>
      <c r="L249" s="23">
        <f t="shared" si="42"/>
        <v>-111</v>
      </c>
      <c r="M249" s="23">
        <f t="shared" si="43"/>
        <v>-111</v>
      </c>
      <c r="N249" s="23"/>
      <c r="O249" s="23">
        <v>9</v>
      </c>
      <c r="Q249" s="1">
        <f>AVERAGE(G245:G249)</f>
        <v>65.599999999999994</v>
      </c>
    </row>
    <row r="250" spans="1:17" s="12" customFormat="1" hidden="1" outlineLevel="1" collapsed="1">
      <c r="A250" s="95">
        <v>45346</v>
      </c>
      <c r="B250" s="25" t="s">
        <v>16</v>
      </c>
      <c r="C250" s="69"/>
      <c r="D250" s="99"/>
      <c r="E250" s="87">
        <f t="shared" si="40"/>
        <v>123</v>
      </c>
      <c r="G250" s="64"/>
      <c r="H250" s="63"/>
      <c r="I250" s="27"/>
      <c r="J250" s="28"/>
      <c r="K250" s="43"/>
      <c r="L250" s="29">
        <f t="shared" si="42"/>
        <v>-111</v>
      </c>
      <c r="M250" s="29">
        <f t="shared" si="43"/>
        <v>-111</v>
      </c>
      <c r="N250" s="29"/>
      <c r="O250" s="29"/>
    </row>
    <row r="251" spans="1:17" s="12" customFormat="1" hidden="1" outlineLevel="1">
      <c r="A251" s="95">
        <v>45347</v>
      </c>
      <c r="B251" s="25" t="s">
        <v>17</v>
      </c>
      <c r="C251" s="69"/>
      <c r="D251" s="99"/>
      <c r="E251" s="87">
        <f t="shared" si="40"/>
        <v>123</v>
      </c>
      <c r="G251" s="64"/>
      <c r="H251" s="63"/>
      <c r="I251" s="27"/>
      <c r="J251" s="28"/>
      <c r="K251" s="43"/>
      <c r="L251" s="29">
        <f t="shared" si="42"/>
        <v>-111</v>
      </c>
      <c r="M251" s="29">
        <f t="shared" si="43"/>
        <v>-111</v>
      </c>
      <c r="N251" s="29"/>
      <c r="O251" s="29"/>
    </row>
    <row r="252" spans="1:17" hidden="1" outlineLevel="1">
      <c r="A252" s="96">
        <v>45348</v>
      </c>
      <c r="B252" s="17" t="s">
        <v>18</v>
      </c>
      <c r="C252" s="68">
        <v>56</v>
      </c>
      <c r="D252" s="100">
        <v>56</v>
      </c>
      <c r="E252" s="22">
        <f t="shared" si="40"/>
        <v>123</v>
      </c>
      <c r="G252" s="78">
        <v>56</v>
      </c>
      <c r="H252" s="62">
        <f>C248+I252</f>
        <v>56</v>
      </c>
      <c r="I252" s="20"/>
      <c r="J252" s="21"/>
      <c r="K252" s="57">
        <v>56</v>
      </c>
      <c r="L252" s="23">
        <f t="shared" si="42"/>
        <v>-111</v>
      </c>
      <c r="M252" s="23">
        <f t="shared" si="43"/>
        <v>-111</v>
      </c>
      <c r="N252" s="23"/>
      <c r="O252" s="23">
        <v>6</v>
      </c>
    </row>
    <row r="253" spans="1:17" hidden="1" outlineLevel="1">
      <c r="A253" s="96">
        <v>45349</v>
      </c>
      <c r="B253" s="17" t="s">
        <v>19</v>
      </c>
      <c r="C253" s="68">
        <v>56</v>
      </c>
      <c r="D253" s="100">
        <v>56</v>
      </c>
      <c r="E253" s="22">
        <f t="shared" si="40"/>
        <v>123</v>
      </c>
      <c r="G253" s="78">
        <v>72</v>
      </c>
      <c r="H253" s="62">
        <f>C249+I253</f>
        <v>48</v>
      </c>
      <c r="I253" s="20"/>
      <c r="J253" s="21"/>
      <c r="K253" s="57">
        <v>48</v>
      </c>
      <c r="L253" s="23">
        <f t="shared" si="42"/>
        <v>-135</v>
      </c>
      <c r="M253" s="23">
        <f t="shared" si="43"/>
        <v>-135</v>
      </c>
      <c r="N253" s="23"/>
      <c r="O253" s="23">
        <v>8</v>
      </c>
    </row>
    <row r="254" spans="1:17" hidden="1" outlineLevel="1">
      <c r="A254" s="96">
        <v>45350</v>
      </c>
      <c r="B254" s="17" t="s">
        <v>20</v>
      </c>
      <c r="C254" s="68">
        <v>64</v>
      </c>
      <c r="D254" s="100">
        <v>64</v>
      </c>
      <c r="E254" s="22">
        <f t="shared" si="40"/>
        <v>123</v>
      </c>
      <c r="G254" s="78">
        <v>72</v>
      </c>
      <c r="H254" s="62">
        <f>C252+I254</f>
        <v>56</v>
      </c>
      <c r="I254" s="20"/>
      <c r="J254" s="21"/>
      <c r="K254" s="57">
        <v>56</v>
      </c>
      <c r="L254" s="23">
        <f t="shared" si="42"/>
        <v>-151</v>
      </c>
      <c r="M254" s="23">
        <f t="shared" si="43"/>
        <v>-151</v>
      </c>
      <c r="N254" s="23"/>
      <c r="O254" s="23">
        <v>5</v>
      </c>
    </row>
    <row r="255" spans="1:17" hidden="1" outlineLevel="1">
      <c r="A255" s="96">
        <v>45351</v>
      </c>
      <c r="B255" s="17" t="s">
        <v>14</v>
      </c>
      <c r="C255" s="68">
        <v>64</v>
      </c>
      <c r="D255" s="100">
        <v>64</v>
      </c>
      <c r="E255" s="22">
        <f t="shared" si="40"/>
        <v>123</v>
      </c>
      <c r="G255" s="78">
        <v>32</v>
      </c>
      <c r="H255" s="62">
        <f>C253+I255</f>
        <v>56</v>
      </c>
      <c r="I255" s="20"/>
      <c r="J255" s="21"/>
      <c r="K255" s="57">
        <v>56</v>
      </c>
      <c r="L255" s="23">
        <f t="shared" si="42"/>
        <v>-127</v>
      </c>
      <c r="M255" s="23">
        <f t="shared" si="43"/>
        <v>-127</v>
      </c>
      <c r="N255" s="23"/>
      <c r="O255" s="23">
        <v>8</v>
      </c>
    </row>
    <row r="256" spans="1:17" hidden="1" outlineLevel="1">
      <c r="A256" s="96">
        <v>45352</v>
      </c>
      <c r="B256" s="17" t="s">
        <v>15</v>
      </c>
      <c r="C256" s="68">
        <v>64</v>
      </c>
      <c r="D256" s="100">
        <v>38</v>
      </c>
      <c r="E256" s="22">
        <f t="shared" si="40"/>
        <v>97</v>
      </c>
      <c r="G256" s="78">
        <v>0</v>
      </c>
      <c r="H256" s="62">
        <f t="shared" ref="H256" si="44">C254+I256</f>
        <v>64</v>
      </c>
      <c r="I256" s="20"/>
      <c r="J256" s="21"/>
      <c r="K256" s="57">
        <v>64</v>
      </c>
      <c r="L256" s="23">
        <f t="shared" si="42"/>
        <v>-63</v>
      </c>
      <c r="M256" s="23">
        <f t="shared" si="43"/>
        <v>-63</v>
      </c>
      <c r="N256" s="23"/>
      <c r="O256" s="23">
        <v>8</v>
      </c>
      <c r="Q256" s="1">
        <f>AVERAGE(G252:G256)</f>
        <v>46.4</v>
      </c>
    </row>
    <row r="257" spans="1:17" s="12" customFormat="1" hidden="1" outlineLevel="1" collapsed="1">
      <c r="A257" s="95">
        <v>45353</v>
      </c>
      <c r="B257" s="25" t="s">
        <v>16</v>
      </c>
      <c r="C257" s="69"/>
      <c r="D257" s="99"/>
      <c r="E257" s="87">
        <f t="shared" si="40"/>
        <v>97</v>
      </c>
      <c r="G257" s="64"/>
      <c r="H257" s="63"/>
      <c r="I257" s="27"/>
      <c r="J257" s="28"/>
      <c r="K257" s="43"/>
      <c r="L257" s="29">
        <f t="shared" si="42"/>
        <v>-63</v>
      </c>
      <c r="M257" s="29">
        <f t="shared" si="43"/>
        <v>-63</v>
      </c>
      <c r="N257" s="29"/>
      <c r="O257" s="29"/>
    </row>
    <row r="258" spans="1:17" s="12" customFormat="1" hidden="1" outlineLevel="1">
      <c r="A258" s="95">
        <v>45354</v>
      </c>
      <c r="B258" s="25" t="s">
        <v>17</v>
      </c>
      <c r="C258" s="69"/>
      <c r="D258" s="99"/>
      <c r="E258" s="87">
        <f t="shared" si="40"/>
        <v>97</v>
      </c>
      <c r="G258" s="64"/>
      <c r="H258" s="63"/>
      <c r="I258" s="27"/>
      <c r="J258" s="28"/>
      <c r="K258" s="43"/>
      <c r="L258" s="29">
        <f t="shared" si="42"/>
        <v>-63</v>
      </c>
      <c r="M258" s="29">
        <f t="shared" si="43"/>
        <v>-63</v>
      </c>
      <c r="N258" s="29"/>
      <c r="O258" s="29"/>
    </row>
    <row r="259" spans="1:17" hidden="1" outlineLevel="1">
      <c r="A259" s="96">
        <v>45355</v>
      </c>
      <c r="B259" s="17" t="s">
        <v>18</v>
      </c>
      <c r="C259" s="94">
        <v>0</v>
      </c>
      <c r="D259" s="100">
        <v>26</v>
      </c>
      <c r="E259" s="22">
        <f t="shared" si="40"/>
        <v>123</v>
      </c>
      <c r="G259" s="78">
        <v>56</v>
      </c>
      <c r="H259" s="62">
        <f>C255+I259</f>
        <v>64</v>
      </c>
      <c r="I259" s="20"/>
      <c r="J259" s="21"/>
      <c r="K259" s="57">
        <v>64</v>
      </c>
      <c r="L259" s="23">
        <f t="shared" si="42"/>
        <v>-55</v>
      </c>
      <c r="M259" s="23">
        <f t="shared" si="43"/>
        <v>-55</v>
      </c>
      <c r="N259" s="23"/>
      <c r="O259" s="23">
        <v>6</v>
      </c>
    </row>
    <row r="260" spans="1:17" hidden="1" outlineLevel="1">
      <c r="A260" s="96">
        <v>45356</v>
      </c>
      <c r="B260" s="17" t="s">
        <v>19</v>
      </c>
      <c r="C260" s="68">
        <v>48</v>
      </c>
      <c r="D260" s="100">
        <v>48</v>
      </c>
      <c r="E260" s="22">
        <f t="shared" si="40"/>
        <v>123</v>
      </c>
      <c r="G260" s="78">
        <v>56</v>
      </c>
      <c r="H260" s="62">
        <f>C256+I260</f>
        <v>64</v>
      </c>
      <c r="I260" s="20"/>
      <c r="J260" s="21"/>
      <c r="K260" s="57">
        <v>64</v>
      </c>
      <c r="L260" s="23">
        <f t="shared" si="42"/>
        <v>-47</v>
      </c>
      <c r="M260" s="23">
        <f t="shared" si="43"/>
        <v>-47</v>
      </c>
      <c r="N260" s="23"/>
      <c r="O260" s="23">
        <v>0</v>
      </c>
    </row>
    <row r="261" spans="1:17" hidden="1" outlineLevel="1">
      <c r="A261" s="96">
        <v>45357</v>
      </c>
      <c r="B261" s="17" t="s">
        <v>20</v>
      </c>
      <c r="C261" s="68">
        <v>56</v>
      </c>
      <c r="D261" s="100">
        <v>56</v>
      </c>
      <c r="E261" s="22">
        <f t="shared" si="40"/>
        <v>123</v>
      </c>
      <c r="G261" s="78">
        <v>56</v>
      </c>
      <c r="H261" s="62">
        <f>C259+I261</f>
        <v>0</v>
      </c>
      <c r="I261" s="20"/>
      <c r="J261" s="21"/>
      <c r="K261" s="57">
        <v>0</v>
      </c>
      <c r="L261" s="23">
        <f t="shared" si="42"/>
        <v>-103</v>
      </c>
      <c r="M261" s="23">
        <f t="shared" si="43"/>
        <v>-103</v>
      </c>
      <c r="N261" s="23"/>
      <c r="O261" s="23">
        <v>7</v>
      </c>
    </row>
    <row r="262" spans="1:17" hidden="1" outlineLevel="1">
      <c r="A262" s="96">
        <v>45358</v>
      </c>
      <c r="B262" s="17" t="s">
        <v>14</v>
      </c>
      <c r="C262" s="68">
        <v>56</v>
      </c>
      <c r="D262" s="100">
        <v>56</v>
      </c>
      <c r="E262" s="22">
        <f t="shared" si="40"/>
        <v>123</v>
      </c>
      <c r="G262" s="78">
        <v>56</v>
      </c>
      <c r="H262" s="62">
        <f>C260+I262</f>
        <v>48</v>
      </c>
      <c r="I262" s="20"/>
      <c r="J262" s="21"/>
      <c r="K262" s="57">
        <v>48</v>
      </c>
      <c r="L262" s="23">
        <f t="shared" si="42"/>
        <v>-111</v>
      </c>
      <c r="M262" s="23">
        <f t="shared" si="43"/>
        <v>-111</v>
      </c>
      <c r="N262" s="23"/>
      <c r="O262" s="23">
        <v>0</v>
      </c>
    </row>
    <row r="263" spans="1:17" hidden="1" outlineLevel="1">
      <c r="A263" s="96">
        <v>45359</v>
      </c>
      <c r="B263" s="17" t="s">
        <v>15</v>
      </c>
      <c r="C263" s="68">
        <v>56</v>
      </c>
      <c r="D263" s="100">
        <v>56</v>
      </c>
      <c r="E263" s="22">
        <f t="shared" si="40"/>
        <v>123</v>
      </c>
      <c r="G263" s="78">
        <v>56</v>
      </c>
      <c r="H263" s="62">
        <f t="shared" ref="H263" si="45">C261+I263</f>
        <v>56</v>
      </c>
      <c r="I263" s="20"/>
      <c r="J263" s="21"/>
      <c r="K263" s="57">
        <v>56</v>
      </c>
      <c r="L263" s="23">
        <f t="shared" si="42"/>
        <v>-111</v>
      </c>
      <c r="M263" s="23">
        <f t="shared" si="43"/>
        <v>-111</v>
      </c>
      <c r="N263" s="23"/>
      <c r="O263" s="23">
        <v>16</v>
      </c>
      <c r="Q263" s="1">
        <f>AVERAGE(G259:G263)</f>
        <v>56</v>
      </c>
    </row>
    <row r="264" spans="1:17" s="12" customFormat="1" hidden="1" outlineLevel="1" collapsed="1">
      <c r="A264" s="95">
        <v>45360</v>
      </c>
      <c r="B264" s="25" t="s">
        <v>16</v>
      </c>
      <c r="C264" s="69"/>
      <c r="D264" s="99"/>
      <c r="E264" s="87">
        <f t="shared" si="40"/>
        <v>123</v>
      </c>
      <c r="G264" s="79"/>
      <c r="H264" s="63"/>
      <c r="I264" s="27"/>
      <c r="J264" s="28"/>
      <c r="K264" s="43"/>
      <c r="L264" s="29">
        <f t="shared" si="42"/>
        <v>-111</v>
      </c>
      <c r="M264" s="29">
        <f t="shared" si="43"/>
        <v>-111</v>
      </c>
      <c r="N264" s="29"/>
      <c r="O264" s="29"/>
    </row>
    <row r="265" spans="1:17" s="12" customFormat="1" hidden="1" outlineLevel="1">
      <c r="A265" s="95">
        <v>45361</v>
      </c>
      <c r="B265" s="25" t="s">
        <v>17</v>
      </c>
      <c r="C265" s="69"/>
      <c r="D265" s="99"/>
      <c r="E265" s="87">
        <f t="shared" si="40"/>
        <v>123</v>
      </c>
      <c r="G265" s="79"/>
      <c r="H265" s="63"/>
      <c r="I265" s="27"/>
      <c r="J265" s="28"/>
      <c r="K265" s="43"/>
      <c r="L265" s="29">
        <f t="shared" si="42"/>
        <v>-111</v>
      </c>
      <c r="M265" s="29">
        <f t="shared" si="43"/>
        <v>-111</v>
      </c>
      <c r="N265" s="29"/>
      <c r="O265" s="29"/>
    </row>
    <row r="266" spans="1:17" hidden="1" outlineLevel="1">
      <c r="A266" s="96">
        <v>45362</v>
      </c>
      <c r="B266" s="17" t="s">
        <v>18</v>
      </c>
      <c r="C266" s="68">
        <v>48</v>
      </c>
      <c r="D266" s="100">
        <v>56</v>
      </c>
      <c r="E266" s="22">
        <f t="shared" si="40"/>
        <v>131</v>
      </c>
      <c r="G266" s="78">
        <v>56</v>
      </c>
      <c r="H266" s="62">
        <f>C262+I266</f>
        <v>56</v>
      </c>
      <c r="I266" s="20"/>
      <c r="J266" s="21"/>
      <c r="K266" s="57">
        <v>56</v>
      </c>
      <c r="L266" s="23">
        <f t="shared" si="42"/>
        <v>-111</v>
      </c>
      <c r="M266" s="23">
        <f t="shared" si="43"/>
        <v>-111</v>
      </c>
      <c r="N266" s="23"/>
      <c r="O266" s="23">
        <v>0</v>
      </c>
    </row>
    <row r="267" spans="1:17" hidden="1" outlineLevel="1">
      <c r="A267" s="96">
        <v>45363</v>
      </c>
      <c r="B267" s="17" t="s">
        <v>19</v>
      </c>
      <c r="C267" s="68">
        <v>56</v>
      </c>
      <c r="D267" s="100">
        <v>56</v>
      </c>
      <c r="E267" s="22">
        <f t="shared" si="40"/>
        <v>131</v>
      </c>
      <c r="G267" s="78">
        <v>56</v>
      </c>
      <c r="H267" s="62">
        <f>C263+I267</f>
        <v>56</v>
      </c>
      <c r="I267" s="20"/>
      <c r="J267" s="21"/>
      <c r="K267" s="57">
        <v>56</v>
      </c>
      <c r="L267" s="23">
        <f t="shared" si="42"/>
        <v>-111</v>
      </c>
      <c r="M267" s="23">
        <f t="shared" si="43"/>
        <v>-111</v>
      </c>
      <c r="N267" s="23"/>
      <c r="O267" s="23">
        <v>0</v>
      </c>
    </row>
    <row r="268" spans="1:17" hidden="1" outlineLevel="1">
      <c r="A268" s="96">
        <v>45364</v>
      </c>
      <c r="B268" s="17" t="s">
        <v>20</v>
      </c>
      <c r="C268" s="68">
        <v>56</v>
      </c>
      <c r="D268" s="100">
        <v>56</v>
      </c>
      <c r="E268" s="22">
        <f t="shared" si="40"/>
        <v>131</v>
      </c>
      <c r="G268" s="78">
        <v>56</v>
      </c>
      <c r="H268" s="62">
        <f>C266+I268</f>
        <v>48</v>
      </c>
      <c r="I268" s="20"/>
      <c r="J268" s="21"/>
      <c r="K268" s="57">
        <v>48</v>
      </c>
      <c r="L268" s="23">
        <f t="shared" si="42"/>
        <v>-119</v>
      </c>
      <c r="M268" s="23">
        <f t="shared" si="43"/>
        <v>-119</v>
      </c>
      <c r="N268" s="23"/>
      <c r="O268" s="23">
        <v>7</v>
      </c>
    </row>
    <row r="269" spans="1:17" hidden="1" outlineLevel="1">
      <c r="A269" s="96">
        <v>45365</v>
      </c>
      <c r="B269" s="17" t="s">
        <v>14</v>
      </c>
      <c r="C269" s="68">
        <v>56</v>
      </c>
      <c r="D269" s="100">
        <v>56</v>
      </c>
      <c r="E269" s="22">
        <f t="shared" si="40"/>
        <v>131</v>
      </c>
      <c r="G269" s="78">
        <v>56</v>
      </c>
      <c r="H269" s="62">
        <f>C267+I269</f>
        <v>56</v>
      </c>
      <c r="I269" s="20"/>
      <c r="J269" s="21"/>
      <c r="K269" s="57">
        <v>56</v>
      </c>
      <c r="L269" s="23">
        <f t="shared" si="42"/>
        <v>-119</v>
      </c>
      <c r="M269" s="23">
        <f t="shared" si="43"/>
        <v>-119</v>
      </c>
      <c r="N269" s="23"/>
      <c r="O269" s="23">
        <v>6</v>
      </c>
    </row>
    <row r="270" spans="1:17" hidden="1" outlineLevel="1">
      <c r="A270" s="96">
        <v>45366</v>
      </c>
      <c r="B270" s="17" t="s">
        <v>15</v>
      </c>
      <c r="C270" s="68">
        <v>52</v>
      </c>
      <c r="D270" s="100">
        <v>56</v>
      </c>
      <c r="E270" s="22">
        <f t="shared" si="40"/>
        <v>135</v>
      </c>
      <c r="G270" s="78">
        <v>56</v>
      </c>
      <c r="H270" s="62">
        <f t="shared" ref="H270" si="46">C268+I270</f>
        <v>56</v>
      </c>
      <c r="I270" s="20"/>
      <c r="J270" s="21"/>
      <c r="K270" s="57">
        <v>56</v>
      </c>
      <c r="L270" s="23">
        <f t="shared" si="42"/>
        <v>-119</v>
      </c>
      <c r="M270" s="23">
        <f t="shared" si="43"/>
        <v>-119</v>
      </c>
      <c r="N270" s="23"/>
      <c r="O270" s="23">
        <v>5</v>
      </c>
      <c r="Q270" s="1">
        <f>AVERAGE(G266:G270)</f>
        <v>56</v>
      </c>
    </row>
    <row r="271" spans="1:17" s="12" customFormat="1" hidden="1" outlineLevel="1" collapsed="1">
      <c r="A271" s="95">
        <v>45367</v>
      </c>
      <c r="B271" s="25" t="s">
        <v>16</v>
      </c>
      <c r="C271" s="69"/>
      <c r="D271" s="99"/>
      <c r="E271" s="87">
        <f t="shared" si="40"/>
        <v>135</v>
      </c>
      <c r="G271" s="64"/>
      <c r="H271" s="63"/>
      <c r="I271" s="27"/>
      <c r="J271" s="28"/>
      <c r="K271" s="43"/>
      <c r="L271" s="29">
        <f t="shared" si="42"/>
        <v>-119</v>
      </c>
      <c r="M271" s="29">
        <f t="shared" si="43"/>
        <v>-119</v>
      </c>
      <c r="N271" s="29"/>
      <c r="O271" s="29"/>
    </row>
    <row r="272" spans="1:17" s="12" customFormat="1" hidden="1" outlineLevel="1">
      <c r="A272" s="95">
        <v>45368</v>
      </c>
      <c r="B272" s="25" t="s">
        <v>17</v>
      </c>
      <c r="C272" s="69"/>
      <c r="D272" s="99"/>
      <c r="E272" s="87">
        <f t="shared" si="40"/>
        <v>135</v>
      </c>
      <c r="G272" s="64"/>
      <c r="H272" s="63"/>
      <c r="I272" s="27"/>
      <c r="J272" s="28"/>
      <c r="K272" s="43"/>
      <c r="L272" s="29">
        <f t="shared" si="42"/>
        <v>-119</v>
      </c>
      <c r="M272" s="29">
        <f t="shared" si="43"/>
        <v>-119</v>
      </c>
      <c r="N272" s="29"/>
      <c r="O272" s="29"/>
    </row>
    <row r="273" spans="1:17" hidden="1" outlineLevel="1">
      <c r="A273" s="96">
        <v>45369</v>
      </c>
      <c r="B273" s="17" t="s">
        <v>18</v>
      </c>
      <c r="C273" s="68">
        <v>48</v>
      </c>
      <c r="D273" s="100">
        <v>56</v>
      </c>
      <c r="E273" s="22">
        <f t="shared" si="40"/>
        <v>143</v>
      </c>
      <c r="G273" s="78">
        <v>56</v>
      </c>
      <c r="H273" s="62">
        <f>C269+I273</f>
        <v>56</v>
      </c>
      <c r="I273" s="20"/>
      <c r="J273" s="21"/>
      <c r="K273" s="57">
        <v>56</v>
      </c>
      <c r="L273" s="23">
        <f t="shared" si="42"/>
        <v>-119</v>
      </c>
      <c r="M273" s="23">
        <f t="shared" si="43"/>
        <v>-119</v>
      </c>
      <c r="N273" s="23"/>
      <c r="O273" s="23">
        <v>8</v>
      </c>
    </row>
    <row r="274" spans="1:17" hidden="1" outlineLevel="1">
      <c r="A274" s="96">
        <v>45370</v>
      </c>
      <c r="B274" s="17" t="s">
        <v>19</v>
      </c>
      <c r="C274" s="68">
        <v>56</v>
      </c>
      <c r="D274" s="100">
        <v>56</v>
      </c>
      <c r="E274" s="22">
        <f t="shared" si="40"/>
        <v>143</v>
      </c>
      <c r="G274" s="78">
        <f>56+20</f>
        <v>76</v>
      </c>
      <c r="H274" s="62">
        <f>C270+I274</f>
        <v>52</v>
      </c>
      <c r="I274" s="20"/>
      <c r="J274" s="21"/>
      <c r="K274" s="57">
        <v>52</v>
      </c>
      <c r="L274" s="23">
        <f t="shared" si="42"/>
        <v>-143</v>
      </c>
      <c r="M274" s="23">
        <f t="shared" si="43"/>
        <v>-143</v>
      </c>
      <c r="N274" s="23"/>
      <c r="O274" s="23">
        <v>6</v>
      </c>
    </row>
    <row r="275" spans="1:17" hidden="1" outlineLevel="1">
      <c r="A275" s="96">
        <v>45371</v>
      </c>
      <c r="B275" s="17" t="s">
        <v>20</v>
      </c>
      <c r="C275" s="68">
        <v>56</v>
      </c>
      <c r="D275" s="100">
        <v>56</v>
      </c>
      <c r="E275" s="22">
        <f t="shared" si="40"/>
        <v>143</v>
      </c>
      <c r="G275" s="78">
        <v>64</v>
      </c>
      <c r="H275" s="62">
        <f>C273+I275</f>
        <v>48</v>
      </c>
      <c r="I275" s="20"/>
      <c r="J275" s="21"/>
      <c r="K275" s="57">
        <v>48</v>
      </c>
      <c r="L275" s="23">
        <f t="shared" si="42"/>
        <v>-159</v>
      </c>
      <c r="M275" s="23">
        <f t="shared" si="43"/>
        <v>-159</v>
      </c>
      <c r="N275" s="23"/>
      <c r="O275" s="23"/>
    </row>
    <row r="276" spans="1:17" hidden="1" outlineLevel="1">
      <c r="A276" s="96">
        <v>45372</v>
      </c>
      <c r="B276" s="17" t="s">
        <v>14</v>
      </c>
      <c r="C276" s="68">
        <v>56</v>
      </c>
      <c r="D276" s="100">
        <v>64</v>
      </c>
      <c r="E276" s="22">
        <f t="shared" si="40"/>
        <v>151</v>
      </c>
      <c r="G276" s="78">
        <v>48</v>
      </c>
      <c r="H276" s="62">
        <f>C274+I276</f>
        <v>56</v>
      </c>
      <c r="I276" s="20"/>
      <c r="J276" s="21"/>
      <c r="K276" s="57">
        <v>56</v>
      </c>
      <c r="L276" s="23">
        <f t="shared" si="42"/>
        <v>-151</v>
      </c>
      <c r="M276" s="23">
        <f t="shared" si="43"/>
        <v>-151</v>
      </c>
      <c r="N276" s="23"/>
      <c r="O276" s="23">
        <v>7</v>
      </c>
    </row>
    <row r="277" spans="1:17" hidden="1" outlineLevel="1">
      <c r="A277" s="96">
        <v>45373</v>
      </c>
      <c r="B277" s="17" t="s">
        <v>15</v>
      </c>
      <c r="C277" s="68">
        <v>56</v>
      </c>
      <c r="D277" s="100">
        <v>64</v>
      </c>
      <c r="E277" s="22">
        <f t="shared" si="40"/>
        <v>159</v>
      </c>
      <c r="G277" s="78">
        <v>56</v>
      </c>
      <c r="H277" s="62">
        <f t="shared" ref="H277" si="47">C275+I277</f>
        <v>56</v>
      </c>
      <c r="I277" s="20"/>
      <c r="J277" s="21"/>
      <c r="K277" s="57">
        <v>56</v>
      </c>
      <c r="L277" s="23">
        <f t="shared" si="42"/>
        <v>-151</v>
      </c>
      <c r="M277" s="23">
        <f t="shared" si="43"/>
        <v>-151</v>
      </c>
      <c r="N277" s="23"/>
      <c r="O277" s="23">
        <v>7</v>
      </c>
      <c r="Q277" s="1">
        <f>AVERAGE(G273:G277)</f>
        <v>60</v>
      </c>
    </row>
    <row r="278" spans="1:17" s="12" customFormat="1" hidden="1" outlineLevel="1" collapsed="1">
      <c r="A278" s="95">
        <v>45374</v>
      </c>
      <c r="B278" s="25" t="s">
        <v>16</v>
      </c>
      <c r="C278" s="69"/>
      <c r="D278" s="99"/>
      <c r="E278" s="87">
        <f t="shared" si="40"/>
        <v>159</v>
      </c>
      <c r="G278" s="64"/>
      <c r="H278" s="63"/>
      <c r="I278" s="27"/>
      <c r="J278" s="28"/>
      <c r="K278" s="43"/>
      <c r="L278" s="29">
        <f t="shared" si="42"/>
        <v>-151</v>
      </c>
      <c r="M278" s="29">
        <f t="shared" si="43"/>
        <v>-151</v>
      </c>
      <c r="N278" s="29"/>
      <c r="O278" s="29"/>
    </row>
    <row r="279" spans="1:17" s="12" customFormat="1" hidden="1" outlineLevel="1">
      <c r="A279" s="95">
        <v>45375</v>
      </c>
      <c r="B279" s="25" t="s">
        <v>17</v>
      </c>
      <c r="C279" s="69"/>
      <c r="D279" s="99"/>
      <c r="E279" s="87">
        <f t="shared" si="40"/>
        <v>159</v>
      </c>
      <c r="G279" s="64"/>
      <c r="H279" s="63"/>
      <c r="I279" s="27"/>
      <c r="J279" s="28"/>
      <c r="K279" s="43"/>
      <c r="L279" s="29">
        <f t="shared" si="42"/>
        <v>-151</v>
      </c>
      <c r="M279" s="29">
        <f t="shared" si="43"/>
        <v>-151</v>
      </c>
      <c r="N279" s="29"/>
      <c r="O279" s="29"/>
    </row>
    <row r="280" spans="1:17" hidden="1" outlineLevel="1">
      <c r="A280" s="96">
        <v>45376</v>
      </c>
      <c r="B280" s="17" t="s">
        <v>18</v>
      </c>
      <c r="C280" s="68">
        <v>48</v>
      </c>
      <c r="D280" s="100">
        <v>40</v>
      </c>
      <c r="E280" s="22">
        <f t="shared" si="40"/>
        <v>151</v>
      </c>
      <c r="G280" s="78">
        <v>64</v>
      </c>
      <c r="H280" s="62">
        <f>C276+I280</f>
        <v>56</v>
      </c>
      <c r="I280" s="20"/>
      <c r="J280" s="21"/>
      <c r="K280" s="57">
        <v>56</v>
      </c>
      <c r="L280" s="23">
        <f t="shared" si="42"/>
        <v>-159</v>
      </c>
      <c r="M280" s="23">
        <f t="shared" si="43"/>
        <v>-159</v>
      </c>
      <c r="N280" s="23"/>
      <c r="O280" s="23">
        <v>7</v>
      </c>
    </row>
    <row r="281" spans="1:17" hidden="1" outlineLevel="1">
      <c r="A281" s="96">
        <v>45377</v>
      </c>
      <c r="B281" s="17" t="s">
        <v>19</v>
      </c>
      <c r="C281" s="68">
        <v>48</v>
      </c>
      <c r="D281" s="100">
        <v>40</v>
      </c>
      <c r="E281" s="22">
        <f t="shared" si="40"/>
        <v>143</v>
      </c>
      <c r="G281" s="78">
        <v>56</v>
      </c>
      <c r="H281" s="62">
        <f>C277+I281</f>
        <v>56</v>
      </c>
      <c r="I281" s="20"/>
      <c r="J281" s="21"/>
      <c r="K281" s="57">
        <v>56</v>
      </c>
      <c r="L281" s="23">
        <f t="shared" si="42"/>
        <v>-159</v>
      </c>
      <c r="M281" s="23">
        <f t="shared" si="43"/>
        <v>-159</v>
      </c>
      <c r="N281" s="23"/>
      <c r="O281" s="23">
        <v>7</v>
      </c>
    </row>
    <row r="282" spans="1:17" hidden="1" outlineLevel="1">
      <c r="A282" s="96">
        <v>45378</v>
      </c>
      <c r="B282" s="17" t="s">
        <v>20</v>
      </c>
      <c r="C282" s="68">
        <v>64</v>
      </c>
      <c r="D282" s="100">
        <v>48</v>
      </c>
      <c r="E282" s="22">
        <f t="shared" si="40"/>
        <v>127</v>
      </c>
      <c r="G282" s="78">
        <v>64</v>
      </c>
      <c r="H282" s="62">
        <f>C280+I282</f>
        <v>48</v>
      </c>
      <c r="I282" s="20"/>
      <c r="J282" s="21"/>
      <c r="K282" s="57">
        <v>48</v>
      </c>
      <c r="L282" s="23">
        <f t="shared" si="42"/>
        <v>-175</v>
      </c>
      <c r="M282" s="23">
        <f t="shared" si="43"/>
        <v>-175</v>
      </c>
      <c r="N282" s="23"/>
      <c r="O282" s="23">
        <v>8</v>
      </c>
    </row>
    <row r="283" spans="1:17" hidden="1" outlineLevel="1">
      <c r="A283" s="96">
        <v>45379</v>
      </c>
      <c r="B283" s="17" t="s">
        <v>14</v>
      </c>
      <c r="C283" s="68">
        <v>64</v>
      </c>
      <c r="D283" s="100">
        <v>64</v>
      </c>
      <c r="E283" s="22">
        <f t="shared" si="40"/>
        <v>127</v>
      </c>
      <c r="G283" s="78">
        <v>72</v>
      </c>
      <c r="H283" s="62">
        <f>C281+I283</f>
        <v>48</v>
      </c>
      <c r="I283" s="20"/>
      <c r="J283" s="21"/>
      <c r="K283" s="57">
        <v>48</v>
      </c>
      <c r="L283" s="23">
        <f t="shared" si="42"/>
        <v>-199</v>
      </c>
      <c r="M283" s="23">
        <f t="shared" si="43"/>
        <v>-199</v>
      </c>
      <c r="N283" s="23"/>
      <c r="O283" s="23">
        <v>0</v>
      </c>
    </row>
    <row r="284" spans="1:17" hidden="1" outlineLevel="1">
      <c r="A284" s="96">
        <v>45380</v>
      </c>
      <c r="B284" s="17" t="s">
        <v>15</v>
      </c>
      <c r="C284" s="68">
        <v>64</v>
      </c>
      <c r="D284" s="100">
        <v>14</v>
      </c>
      <c r="E284" s="22">
        <f t="shared" si="40"/>
        <v>77</v>
      </c>
      <c r="G284" s="78">
        <v>24</v>
      </c>
      <c r="H284" s="62">
        <f t="shared" ref="H284" si="48">C282+I284</f>
        <v>64</v>
      </c>
      <c r="I284" s="20"/>
      <c r="J284" s="21"/>
      <c r="K284" s="57">
        <v>64</v>
      </c>
      <c r="L284" s="23">
        <f t="shared" si="42"/>
        <v>-159</v>
      </c>
      <c r="M284" s="23">
        <f t="shared" si="43"/>
        <v>-159</v>
      </c>
      <c r="N284" s="23"/>
      <c r="O284" s="23">
        <v>8</v>
      </c>
      <c r="Q284" s="1">
        <f>AVERAGE(G280:G284)</f>
        <v>56</v>
      </c>
    </row>
    <row r="285" spans="1:17" s="12" customFormat="1" hidden="1" outlineLevel="1" collapsed="1">
      <c r="A285" s="95">
        <v>45381</v>
      </c>
      <c r="B285" s="25" t="s">
        <v>16</v>
      </c>
      <c r="C285" s="69"/>
      <c r="D285" s="99"/>
      <c r="E285" s="87">
        <f t="shared" si="40"/>
        <v>77</v>
      </c>
      <c r="G285" s="64"/>
      <c r="H285" s="63"/>
      <c r="I285" s="27"/>
      <c r="J285" s="28"/>
      <c r="K285" s="43"/>
      <c r="L285" s="29">
        <f t="shared" si="42"/>
        <v>-159</v>
      </c>
      <c r="M285" s="29">
        <f t="shared" si="43"/>
        <v>-159</v>
      </c>
      <c r="N285" s="29"/>
      <c r="O285" s="29"/>
    </row>
    <row r="286" spans="1:17" s="12" customFormat="1" hidden="1" outlineLevel="1">
      <c r="A286" s="95">
        <v>45382</v>
      </c>
      <c r="B286" s="25" t="s">
        <v>17</v>
      </c>
      <c r="C286" s="69"/>
      <c r="D286" s="99"/>
      <c r="E286" s="87">
        <f t="shared" si="40"/>
        <v>77</v>
      </c>
      <c r="G286" s="64"/>
      <c r="H286" s="63"/>
      <c r="I286" s="27"/>
      <c r="J286" s="28"/>
      <c r="K286" s="43"/>
      <c r="L286" s="29">
        <f t="shared" si="42"/>
        <v>-159</v>
      </c>
      <c r="M286" s="29">
        <f t="shared" si="43"/>
        <v>-159</v>
      </c>
      <c r="N286" s="29"/>
      <c r="O286" s="29"/>
    </row>
    <row r="287" spans="1:17" hidden="1" outlineLevel="1">
      <c r="A287" s="96">
        <v>45383</v>
      </c>
      <c r="B287" s="17" t="s">
        <v>18</v>
      </c>
      <c r="C287" s="68">
        <v>64</v>
      </c>
      <c r="D287" s="100">
        <v>80</v>
      </c>
      <c r="E287" s="22">
        <f t="shared" si="40"/>
        <v>93</v>
      </c>
      <c r="G287" s="78">
        <v>56</v>
      </c>
      <c r="H287" s="62">
        <f>C283+I287</f>
        <v>64</v>
      </c>
      <c r="I287" s="20"/>
      <c r="J287" s="21"/>
      <c r="K287" s="57">
        <v>64</v>
      </c>
      <c r="L287" s="23">
        <f t="shared" si="42"/>
        <v>-151</v>
      </c>
      <c r="M287" s="23">
        <f t="shared" si="43"/>
        <v>-151</v>
      </c>
      <c r="N287" s="23"/>
      <c r="O287" s="23">
        <v>9</v>
      </c>
    </row>
    <row r="288" spans="1:17" hidden="1" outlineLevel="1">
      <c r="A288" s="96">
        <v>45384</v>
      </c>
      <c r="B288" s="17" t="s">
        <v>19</v>
      </c>
      <c r="C288" s="68">
        <v>64</v>
      </c>
      <c r="D288" s="100">
        <v>65</v>
      </c>
      <c r="E288" s="22">
        <f t="shared" si="40"/>
        <v>94</v>
      </c>
      <c r="G288" s="78">
        <v>72</v>
      </c>
      <c r="H288" s="62">
        <f>C284+I288</f>
        <v>64</v>
      </c>
      <c r="I288" s="20"/>
      <c r="J288" s="21"/>
      <c r="K288" s="57">
        <v>64</v>
      </c>
      <c r="L288" s="23">
        <f t="shared" si="42"/>
        <v>-159</v>
      </c>
      <c r="M288" s="23">
        <f t="shared" si="43"/>
        <v>-159</v>
      </c>
      <c r="N288" s="23"/>
      <c r="O288" s="23">
        <v>10</v>
      </c>
    </row>
    <row r="289" spans="1:17" s="12" customFormat="1" hidden="1" outlineLevel="1">
      <c r="A289" s="95">
        <v>45385</v>
      </c>
      <c r="B289" s="25" t="s">
        <v>20</v>
      </c>
      <c r="C289" s="69">
        <v>64</v>
      </c>
      <c r="D289" s="99">
        <v>77</v>
      </c>
      <c r="E289" s="87">
        <f t="shared" si="40"/>
        <v>107</v>
      </c>
      <c r="G289" s="79">
        <v>0</v>
      </c>
      <c r="H289" s="63">
        <v>0</v>
      </c>
      <c r="I289" s="27"/>
      <c r="J289" s="28"/>
      <c r="K289" s="43">
        <v>0</v>
      </c>
      <c r="L289" s="29">
        <f t="shared" si="42"/>
        <v>-159</v>
      </c>
      <c r="M289" s="29">
        <f t="shared" si="43"/>
        <v>-159</v>
      </c>
      <c r="N289" s="29"/>
      <c r="O289" s="29">
        <v>15</v>
      </c>
    </row>
    <row r="290" spans="1:17" hidden="1" outlineLevel="1">
      <c r="A290" s="96">
        <v>45386</v>
      </c>
      <c r="B290" s="17" t="s">
        <v>14</v>
      </c>
      <c r="C290" s="68">
        <v>64</v>
      </c>
      <c r="D290" s="100">
        <v>67</v>
      </c>
      <c r="E290" s="22">
        <f t="shared" si="40"/>
        <v>110</v>
      </c>
      <c r="G290" s="78">
        <v>56</v>
      </c>
      <c r="H290" s="62">
        <f>C287+I290</f>
        <v>64</v>
      </c>
      <c r="I290" s="20"/>
      <c r="J290" s="21"/>
      <c r="K290" s="57">
        <v>64</v>
      </c>
      <c r="L290" s="23">
        <f t="shared" si="42"/>
        <v>-151</v>
      </c>
      <c r="M290" s="23">
        <f t="shared" si="43"/>
        <v>-151</v>
      </c>
      <c r="N290" s="23"/>
      <c r="O290" s="23">
        <v>0</v>
      </c>
    </row>
    <row r="291" spans="1:17" hidden="1" outlineLevel="1">
      <c r="A291" s="96">
        <v>45387</v>
      </c>
      <c r="B291" s="17" t="s">
        <v>15</v>
      </c>
      <c r="C291" s="68">
        <v>64</v>
      </c>
      <c r="D291" s="100">
        <v>64</v>
      </c>
      <c r="E291" s="22">
        <f t="shared" si="40"/>
        <v>110</v>
      </c>
      <c r="G291" s="78">
        <v>72</v>
      </c>
      <c r="H291" s="62">
        <f>C288+I291</f>
        <v>96</v>
      </c>
      <c r="I291" s="20">
        <f>J294/2</f>
        <v>32</v>
      </c>
      <c r="J291" s="21"/>
      <c r="K291" s="57">
        <v>96</v>
      </c>
      <c r="L291" s="23">
        <f t="shared" si="42"/>
        <v>-127</v>
      </c>
      <c r="M291" s="23">
        <f t="shared" si="43"/>
        <v>-127</v>
      </c>
      <c r="N291" s="23"/>
      <c r="O291" s="23">
        <v>0</v>
      </c>
      <c r="Q291" s="1">
        <f>AVERAGE(G287:G291)</f>
        <v>51.2</v>
      </c>
    </row>
    <row r="292" spans="1:17" s="12" customFormat="1" hidden="1" outlineLevel="1" collapsed="1">
      <c r="A292" s="95">
        <v>45388</v>
      </c>
      <c r="B292" s="25" t="s">
        <v>16</v>
      </c>
      <c r="C292" s="69"/>
      <c r="D292" s="99"/>
      <c r="E292" s="87">
        <f t="shared" ref="E292:E299" si="49">E291-C292+D292</f>
        <v>110</v>
      </c>
      <c r="G292" s="64"/>
      <c r="H292" s="63"/>
      <c r="I292" s="27"/>
      <c r="J292" s="28"/>
      <c r="K292" s="43"/>
      <c r="L292" s="29">
        <f t="shared" ref="L292:L299" si="50">L291-G292+K292</f>
        <v>-127</v>
      </c>
      <c r="M292" s="29">
        <f t="shared" ref="M292:M299" si="51">M291-G292+H292</f>
        <v>-127</v>
      </c>
      <c r="N292" s="29"/>
      <c r="O292" s="29"/>
    </row>
    <row r="293" spans="1:17" s="12" customFormat="1" hidden="1" outlineLevel="1">
      <c r="A293" s="95">
        <v>45389</v>
      </c>
      <c r="B293" s="25" t="s">
        <v>17</v>
      </c>
      <c r="C293" s="69"/>
      <c r="D293" s="99"/>
      <c r="E293" s="87">
        <f t="shared" si="49"/>
        <v>110</v>
      </c>
      <c r="G293" s="64"/>
      <c r="H293" s="63"/>
      <c r="I293" s="27"/>
      <c r="J293" s="28"/>
      <c r="K293" s="43"/>
      <c r="L293" s="29">
        <f t="shared" si="50"/>
        <v>-127</v>
      </c>
      <c r="M293" s="29">
        <f t="shared" si="51"/>
        <v>-127</v>
      </c>
      <c r="N293" s="29"/>
      <c r="O293" s="29"/>
    </row>
    <row r="294" spans="1:17" hidden="1" outlineLevel="1">
      <c r="A294" s="96">
        <v>45390</v>
      </c>
      <c r="B294" s="17" t="s">
        <v>18</v>
      </c>
      <c r="C294" s="68">
        <v>56</v>
      </c>
      <c r="D294" s="100">
        <v>56</v>
      </c>
      <c r="E294" s="22">
        <f t="shared" si="49"/>
        <v>110</v>
      </c>
      <c r="G294" s="78">
        <v>56</v>
      </c>
      <c r="H294" s="62">
        <f>C290+I294</f>
        <v>96</v>
      </c>
      <c r="I294" s="20">
        <f>J294/2</f>
        <v>32</v>
      </c>
      <c r="J294" s="21">
        <f>C289</f>
        <v>64</v>
      </c>
      <c r="K294" s="57">
        <v>96</v>
      </c>
      <c r="L294" s="23">
        <f t="shared" si="50"/>
        <v>-87</v>
      </c>
      <c r="M294" s="23">
        <f t="shared" si="51"/>
        <v>-87</v>
      </c>
      <c r="N294" s="23"/>
      <c r="O294" s="23">
        <v>7</v>
      </c>
    </row>
    <row r="295" spans="1:17" hidden="1" outlineLevel="1">
      <c r="A295" s="96">
        <v>45391</v>
      </c>
      <c r="B295" s="17" t="s">
        <v>19</v>
      </c>
      <c r="C295" s="68">
        <v>56</v>
      </c>
      <c r="D295" s="100">
        <v>56</v>
      </c>
      <c r="E295" s="22">
        <f t="shared" si="49"/>
        <v>110</v>
      </c>
      <c r="G295" s="78">
        <v>72</v>
      </c>
      <c r="H295" s="62">
        <f>C291+I295</f>
        <v>64</v>
      </c>
      <c r="I295" s="20"/>
      <c r="J295" s="21"/>
      <c r="K295" s="57">
        <v>64</v>
      </c>
      <c r="L295" s="23">
        <f t="shared" si="50"/>
        <v>-95</v>
      </c>
      <c r="M295" s="23">
        <f t="shared" si="51"/>
        <v>-95</v>
      </c>
      <c r="N295" s="23"/>
      <c r="O295" s="23">
        <v>9</v>
      </c>
    </row>
    <row r="296" spans="1:17" hidden="1" outlineLevel="1">
      <c r="A296" s="96">
        <v>45392</v>
      </c>
      <c r="B296" s="17" t="s">
        <v>20</v>
      </c>
      <c r="C296" s="68">
        <v>56</v>
      </c>
      <c r="D296" s="100">
        <v>56</v>
      </c>
      <c r="E296" s="22">
        <f t="shared" si="49"/>
        <v>110</v>
      </c>
      <c r="G296" s="78">
        <v>64</v>
      </c>
      <c r="H296" s="62">
        <f>C294+I296</f>
        <v>56</v>
      </c>
      <c r="I296" s="20"/>
      <c r="J296" s="21"/>
      <c r="K296" s="57">
        <v>56</v>
      </c>
      <c r="L296" s="23">
        <f t="shared" si="50"/>
        <v>-103</v>
      </c>
      <c r="M296" s="23">
        <f t="shared" si="51"/>
        <v>-103</v>
      </c>
      <c r="N296" s="23"/>
      <c r="O296" s="23">
        <v>6</v>
      </c>
    </row>
    <row r="297" spans="1:17" hidden="1" outlineLevel="1">
      <c r="A297" s="96">
        <v>45393</v>
      </c>
      <c r="B297" s="17" t="s">
        <v>14</v>
      </c>
      <c r="C297" s="68">
        <v>56</v>
      </c>
      <c r="D297" s="100">
        <v>56</v>
      </c>
      <c r="E297" s="22">
        <f t="shared" si="49"/>
        <v>110</v>
      </c>
      <c r="G297" s="78">
        <v>56</v>
      </c>
      <c r="H297" s="62">
        <f>C295+I297</f>
        <v>56</v>
      </c>
      <c r="I297" s="20"/>
      <c r="J297" s="21"/>
      <c r="K297" s="57">
        <v>56</v>
      </c>
      <c r="L297" s="23">
        <f t="shared" si="50"/>
        <v>-103</v>
      </c>
      <c r="M297" s="23">
        <f t="shared" si="51"/>
        <v>-103</v>
      </c>
      <c r="N297" s="23"/>
      <c r="O297" s="23">
        <v>6</v>
      </c>
    </row>
    <row r="298" spans="1:17" hidden="1" outlineLevel="1">
      <c r="A298" s="96">
        <v>45394</v>
      </c>
      <c r="B298" s="17" t="s">
        <v>15</v>
      </c>
      <c r="C298" s="68">
        <v>56</v>
      </c>
      <c r="D298" s="100">
        <v>56</v>
      </c>
      <c r="E298" s="22">
        <f t="shared" si="49"/>
        <v>110</v>
      </c>
      <c r="G298" s="78">
        <v>72</v>
      </c>
      <c r="H298" s="62">
        <f t="shared" ref="H298" si="52">C296+I298</f>
        <v>56</v>
      </c>
      <c r="I298" s="20"/>
      <c r="J298" s="21"/>
      <c r="K298" s="57">
        <v>56</v>
      </c>
      <c r="L298" s="23">
        <f t="shared" si="50"/>
        <v>-119</v>
      </c>
      <c r="M298" s="23">
        <f t="shared" si="51"/>
        <v>-119</v>
      </c>
      <c r="N298" s="23"/>
      <c r="O298" s="23">
        <v>10</v>
      </c>
      <c r="Q298" s="1">
        <f>AVERAGE(G294:G298)</f>
        <v>64</v>
      </c>
    </row>
    <row r="299" spans="1:17" s="12" customFormat="1" hidden="1" outlineLevel="1" collapsed="1">
      <c r="A299" s="95">
        <v>45395</v>
      </c>
      <c r="B299" s="25" t="s">
        <v>16</v>
      </c>
      <c r="C299" s="69"/>
      <c r="D299" s="99"/>
      <c r="E299" s="87">
        <f t="shared" si="49"/>
        <v>110</v>
      </c>
      <c r="G299" s="79"/>
      <c r="H299" s="63"/>
      <c r="I299" s="27"/>
      <c r="J299" s="28"/>
      <c r="K299" s="43"/>
      <c r="L299" s="29">
        <f t="shared" si="50"/>
        <v>-119</v>
      </c>
      <c r="M299" s="29">
        <f t="shared" si="51"/>
        <v>-119</v>
      </c>
      <c r="N299" s="29"/>
      <c r="O299" s="29"/>
    </row>
    <row r="300" spans="1:17" s="12" customFormat="1" hidden="1" outlineLevel="1">
      <c r="A300" s="95">
        <v>45396</v>
      </c>
      <c r="B300" s="25" t="s">
        <v>17</v>
      </c>
      <c r="C300" s="69"/>
      <c r="D300" s="99"/>
      <c r="E300" s="87">
        <f t="shared" ref="E300:E316" si="53">E299-C300+D300</f>
        <v>110</v>
      </c>
      <c r="G300" s="79"/>
      <c r="H300" s="63"/>
      <c r="I300" s="27"/>
      <c r="J300" s="28"/>
      <c r="K300" s="43"/>
      <c r="L300" s="29">
        <f t="shared" ref="L300:L316" si="54">L299-G300+K300</f>
        <v>-119</v>
      </c>
      <c r="M300" s="29">
        <f t="shared" ref="M300:M316" si="55">M299-G300+H300</f>
        <v>-119</v>
      </c>
      <c r="N300" s="29"/>
      <c r="O300" s="29"/>
    </row>
    <row r="301" spans="1:17" hidden="1" outlineLevel="1">
      <c r="A301" s="96">
        <v>45397</v>
      </c>
      <c r="B301" s="17" t="s">
        <v>18</v>
      </c>
      <c r="C301" s="68">
        <v>56</v>
      </c>
      <c r="D301" s="100">
        <v>56</v>
      </c>
      <c r="E301" s="22">
        <f t="shared" si="53"/>
        <v>110</v>
      </c>
      <c r="G301" s="78">
        <v>48</v>
      </c>
      <c r="H301" s="62">
        <f>C297+I301</f>
        <v>56</v>
      </c>
      <c r="I301" s="20"/>
      <c r="J301" s="21"/>
      <c r="K301" s="57">
        <v>56</v>
      </c>
      <c r="L301" s="23">
        <f t="shared" si="54"/>
        <v>-111</v>
      </c>
      <c r="M301" s="23">
        <f t="shared" si="55"/>
        <v>-111</v>
      </c>
      <c r="N301" s="23"/>
      <c r="O301" s="23">
        <v>7</v>
      </c>
    </row>
    <row r="302" spans="1:17" hidden="1" outlineLevel="1">
      <c r="A302" s="96">
        <v>45398</v>
      </c>
      <c r="B302" s="17" t="s">
        <v>19</v>
      </c>
      <c r="C302" s="68">
        <v>56</v>
      </c>
      <c r="D302" s="100">
        <v>56</v>
      </c>
      <c r="E302" s="22">
        <f t="shared" si="53"/>
        <v>110</v>
      </c>
      <c r="G302" s="78">
        <v>72</v>
      </c>
      <c r="H302" s="62">
        <f>C298+I302</f>
        <v>56</v>
      </c>
      <c r="I302" s="20"/>
      <c r="J302" s="21"/>
      <c r="K302" s="57">
        <v>56</v>
      </c>
      <c r="L302" s="23">
        <f t="shared" si="54"/>
        <v>-127</v>
      </c>
      <c r="M302" s="23">
        <f t="shared" si="55"/>
        <v>-127</v>
      </c>
      <c r="N302" s="23"/>
      <c r="O302" s="23">
        <v>7</v>
      </c>
    </row>
    <row r="303" spans="1:17" hidden="1" outlineLevel="1">
      <c r="A303" s="96">
        <v>45399</v>
      </c>
      <c r="B303" s="17" t="s">
        <v>20</v>
      </c>
      <c r="C303" s="68">
        <v>56</v>
      </c>
      <c r="D303" s="100">
        <v>56</v>
      </c>
      <c r="E303" s="22">
        <f t="shared" si="53"/>
        <v>110</v>
      </c>
      <c r="G303" s="78">
        <v>72</v>
      </c>
      <c r="H303" s="62">
        <f>C301+I303</f>
        <v>56</v>
      </c>
      <c r="I303" s="20"/>
      <c r="J303" s="21"/>
      <c r="K303" s="57">
        <v>56</v>
      </c>
      <c r="L303" s="23">
        <f t="shared" si="54"/>
        <v>-143</v>
      </c>
      <c r="M303" s="23">
        <f t="shared" si="55"/>
        <v>-143</v>
      </c>
      <c r="N303" s="23"/>
      <c r="O303" s="23">
        <v>8</v>
      </c>
    </row>
    <row r="304" spans="1:17" hidden="1" outlineLevel="1">
      <c r="A304" s="96">
        <v>45400</v>
      </c>
      <c r="B304" s="17" t="s">
        <v>14</v>
      </c>
      <c r="C304" s="68">
        <v>56</v>
      </c>
      <c r="D304" s="100">
        <v>56</v>
      </c>
      <c r="E304" s="22">
        <f t="shared" si="53"/>
        <v>110</v>
      </c>
      <c r="G304" s="78">
        <v>40</v>
      </c>
      <c r="H304" s="62">
        <f>C302+I304</f>
        <v>56</v>
      </c>
      <c r="I304" s="20"/>
      <c r="J304" s="21"/>
      <c r="K304" s="57">
        <v>56</v>
      </c>
      <c r="L304" s="23">
        <f t="shared" si="54"/>
        <v>-127</v>
      </c>
      <c r="M304" s="23">
        <f t="shared" si="55"/>
        <v>-127</v>
      </c>
      <c r="N304" s="23"/>
      <c r="O304" s="23">
        <v>6</v>
      </c>
    </row>
    <row r="305" spans="1:17" hidden="1" outlineLevel="1">
      <c r="A305" s="96">
        <v>45401</v>
      </c>
      <c r="B305" s="17" t="s">
        <v>15</v>
      </c>
      <c r="C305" s="68">
        <v>56</v>
      </c>
      <c r="D305" s="100">
        <v>56</v>
      </c>
      <c r="E305" s="22">
        <f t="shared" si="53"/>
        <v>110</v>
      </c>
      <c r="G305" s="78">
        <v>72</v>
      </c>
      <c r="H305" s="62">
        <f>C303+I305</f>
        <v>56</v>
      </c>
      <c r="I305" s="20"/>
      <c r="J305" s="21"/>
      <c r="K305" s="57">
        <v>56</v>
      </c>
      <c r="L305" s="23">
        <f t="shared" si="54"/>
        <v>-143</v>
      </c>
      <c r="M305" s="23">
        <f t="shared" si="55"/>
        <v>-143</v>
      </c>
      <c r="N305" s="23"/>
      <c r="O305" s="23">
        <v>7</v>
      </c>
      <c r="Q305" s="1">
        <f>AVERAGE(G301:G305)</f>
        <v>60.8</v>
      </c>
    </row>
    <row r="306" spans="1:17" s="12" customFormat="1" hidden="1" outlineLevel="1">
      <c r="A306" s="95">
        <v>45402</v>
      </c>
      <c r="B306" s="25" t="s">
        <v>16</v>
      </c>
      <c r="C306" s="69"/>
      <c r="D306" s="99"/>
      <c r="E306" s="87">
        <f t="shared" si="53"/>
        <v>110</v>
      </c>
      <c r="G306" s="79"/>
      <c r="H306" s="63"/>
      <c r="I306" s="27"/>
      <c r="J306" s="28"/>
      <c r="K306" s="43"/>
      <c r="L306" s="29">
        <f t="shared" si="54"/>
        <v>-143</v>
      </c>
      <c r="M306" s="29">
        <f t="shared" si="55"/>
        <v>-143</v>
      </c>
      <c r="N306" s="29"/>
      <c r="O306" s="29"/>
    </row>
    <row r="307" spans="1:17" s="12" customFormat="1" hidden="1" outlineLevel="1">
      <c r="A307" s="95">
        <v>45403</v>
      </c>
      <c r="B307" s="25" t="s">
        <v>17</v>
      </c>
      <c r="C307" s="69"/>
      <c r="D307" s="99"/>
      <c r="E307" s="87">
        <f t="shared" si="53"/>
        <v>110</v>
      </c>
      <c r="G307" s="79"/>
      <c r="H307" s="63"/>
      <c r="I307" s="27"/>
      <c r="J307" s="28"/>
      <c r="K307" s="43"/>
      <c r="L307" s="29">
        <f t="shared" si="54"/>
        <v>-143</v>
      </c>
      <c r="M307" s="29">
        <f t="shared" si="55"/>
        <v>-143</v>
      </c>
      <c r="N307" s="29"/>
      <c r="O307" s="29"/>
    </row>
    <row r="308" spans="1:17" hidden="1" outlineLevel="1">
      <c r="A308" s="96">
        <v>45404</v>
      </c>
      <c r="B308" s="17" t="s">
        <v>18</v>
      </c>
      <c r="C308" s="68">
        <v>64</v>
      </c>
      <c r="D308" s="100">
        <v>64</v>
      </c>
      <c r="E308" s="22">
        <f t="shared" si="53"/>
        <v>110</v>
      </c>
      <c r="G308" s="78">
        <v>8</v>
      </c>
      <c r="H308" s="62">
        <f>C304+I308</f>
        <v>56</v>
      </c>
      <c r="I308" s="20"/>
      <c r="J308" s="21"/>
      <c r="K308" s="57">
        <v>56</v>
      </c>
      <c r="L308" s="23">
        <f t="shared" si="54"/>
        <v>-95</v>
      </c>
      <c r="M308" s="23">
        <f t="shared" si="55"/>
        <v>-95</v>
      </c>
      <c r="N308" s="23"/>
      <c r="O308" s="23">
        <v>6</v>
      </c>
    </row>
    <row r="309" spans="1:17" hidden="1" outlineLevel="1">
      <c r="A309" s="96">
        <v>45405</v>
      </c>
      <c r="B309" s="17" t="s">
        <v>19</v>
      </c>
      <c r="C309" s="68">
        <v>64</v>
      </c>
      <c r="D309" s="100">
        <v>64</v>
      </c>
      <c r="E309" s="22">
        <f t="shared" si="53"/>
        <v>110</v>
      </c>
      <c r="G309" s="78">
        <v>72</v>
      </c>
      <c r="H309" s="62">
        <f>C305+I309</f>
        <v>56</v>
      </c>
      <c r="I309" s="20"/>
      <c r="J309" s="21"/>
      <c r="K309" s="57">
        <v>56</v>
      </c>
      <c r="L309" s="23">
        <f t="shared" si="54"/>
        <v>-111</v>
      </c>
      <c r="M309" s="23">
        <f t="shared" si="55"/>
        <v>-111</v>
      </c>
      <c r="N309" s="23"/>
      <c r="O309" s="23">
        <v>8</v>
      </c>
    </row>
    <row r="310" spans="1:17" hidden="1" outlineLevel="1">
      <c r="A310" s="96">
        <v>45406</v>
      </c>
      <c r="B310" s="17" t="s">
        <v>20</v>
      </c>
      <c r="C310" s="68">
        <v>64</v>
      </c>
      <c r="D310" s="100">
        <v>64</v>
      </c>
      <c r="E310" s="22">
        <f t="shared" si="53"/>
        <v>110</v>
      </c>
      <c r="G310" s="78">
        <v>80</v>
      </c>
      <c r="H310" s="62">
        <f>C308+I310</f>
        <v>64</v>
      </c>
      <c r="I310" s="20"/>
      <c r="J310" s="21"/>
      <c r="K310" s="57">
        <v>64</v>
      </c>
      <c r="L310" s="23">
        <f t="shared" si="54"/>
        <v>-127</v>
      </c>
      <c r="M310" s="23">
        <f t="shared" si="55"/>
        <v>-127</v>
      </c>
      <c r="N310" s="23"/>
      <c r="O310" s="23">
        <v>16</v>
      </c>
    </row>
    <row r="311" spans="1:17" hidden="1" outlineLevel="1">
      <c r="A311" s="96">
        <v>45407</v>
      </c>
      <c r="B311" s="17" t="s">
        <v>14</v>
      </c>
      <c r="C311" s="68">
        <v>64</v>
      </c>
      <c r="D311" s="100">
        <v>128</v>
      </c>
      <c r="E311" s="22">
        <f t="shared" si="53"/>
        <v>174</v>
      </c>
      <c r="G311" s="78">
        <v>56</v>
      </c>
      <c r="H311" s="62">
        <f>C309+I311</f>
        <v>64</v>
      </c>
      <c r="I311" s="20"/>
      <c r="J311" s="21"/>
      <c r="K311" s="57">
        <v>64</v>
      </c>
      <c r="L311" s="23">
        <f t="shared" si="54"/>
        <v>-119</v>
      </c>
      <c r="M311" s="23">
        <f t="shared" si="55"/>
        <v>-119</v>
      </c>
      <c r="N311" s="23"/>
      <c r="O311" s="23">
        <v>0</v>
      </c>
    </row>
    <row r="312" spans="1:17" hidden="1" outlineLevel="1">
      <c r="A312" s="96">
        <v>45408</v>
      </c>
      <c r="B312" s="17" t="s">
        <v>15</v>
      </c>
      <c r="C312" s="68">
        <v>64</v>
      </c>
      <c r="D312" s="100"/>
      <c r="E312" s="22">
        <f t="shared" si="53"/>
        <v>110</v>
      </c>
      <c r="G312" s="78">
        <v>72</v>
      </c>
      <c r="H312" s="62">
        <f>C310+I312</f>
        <v>64</v>
      </c>
      <c r="I312" s="20"/>
      <c r="J312" s="21"/>
      <c r="K312" s="57">
        <v>64</v>
      </c>
      <c r="L312" s="23">
        <f t="shared" si="54"/>
        <v>-127</v>
      </c>
      <c r="M312" s="23">
        <f t="shared" si="55"/>
        <v>-127</v>
      </c>
      <c r="N312" s="23"/>
      <c r="O312" s="23">
        <v>6</v>
      </c>
      <c r="Q312" s="1">
        <f>AVERAGE(G308:G312)</f>
        <v>57.6</v>
      </c>
    </row>
    <row r="313" spans="1:17" s="12" customFormat="1" hidden="1" outlineLevel="1">
      <c r="A313" s="95">
        <v>45409</v>
      </c>
      <c r="B313" s="25" t="s">
        <v>16</v>
      </c>
      <c r="C313" s="69"/>
      <c r="D313" s="99"/>
      <c r="E313" s="87">
        <f t="shared" si="53"/>
        <v>110</v>
      </c>
      <c r="G313" s="64"/>
      <c r="H313" s="63"/>
      <c r="I313" s="27"/>
      <c r="J313" s="28"/>
      <c r="K313" s="43"/>
      <c r="L313" s="29">
        <f t="shared" si="54"/>
        <v>-127</v>
      </c>
      <c r="M313" s="29">
        <f t="shared" si="55"/>
        <v>-127</v>
      </c>
      <c r="N313" s="29"/>
      <c r="O313" s="29"/>
    </row>
    <row r="314" spans="1:17" s="12" customFormat="1" hidden="1" outlineLevel="1">
      <c r="A314" s="95">
        <v>45410</v>
      </c>
      <c r="B314" s="25" t="s">
        <v>17</v>
      </c>
      <c r="C314" s="69"/>
      <c r="D314" s="99"/>
      <c r="E314" s="87">
        <f t="shared" si="53"/>
        <v>110</v>
      </c>
      <c r="G314" s="64"/>
      <c r="H314" s="63"/>
      <c r="I314" s="27"/>
      <c r="J314" s="28"/>
      <c r="K314" s="43"/>
      <c r="L314" s="29">
        <f t="shared" si="54"/>
        <v>-127</v>
      </c>
      <c r="M314" s="29">
        <f t="shared" si="55"/>
        <v>-127</v>
      </c>
      <c r="N314" s="29"/>
      <c r="O314" s="29"/>
    </row>
    <row r="315" spans="1:17" s="12" customFormat="1" hidden="1" outlineLevel="1">
      <c r="A315" s="95">
        <v>45411</v>
      </c>
      <c r="B315" s="25" t="s">
        <v>18</v>
      </c>
      <c r="C315" s="69"/>
      <c r="D315" s="99"/>
      <c r="E315" s="87">
        <f t="shared" si="53"/>
        <v>110</v>
      </c>
      <c r="G315" s="64"/>
      <c r="H315" s="63"/>
      <c r="I315" s="27"/>
      <c r="J315" s="28"/>
      <c r="K315" s="43"/>
      <c r="L315" s="29">
        <f t="shared" si="54"/>
        <v>-127</v>
      </c>
      <c r="M315" s="29">
        <f t="shared" si="55"/>
        <v>-127</v>
      </c>
      <c r="N315" s="29"/>
      <c r="O315" s="29"/>
    </row>
    <row r="316" spans="1:17" s="12" customFormat="1" hidden="1" outlineLevel="1">
      <c r="A316" s="95">
        <v>45412</v>
      </c>
      <c r="B316" s="25" t="s">
        <v>19</v>
      </c>
      <c r="C316" s="69"/>
      <c r="D316" s="99"/>
      <c r="E316" s="87">
        <f t="shared" si="53"/>
        <v>110</v>
      </c>
      <c r="G316" s="64"/>
      <c r="H316" s="63"/>
      <c r="I316" s="27"/>
      <c r="J316" s="28"/>
      <c r="K316" s="43"/>
      <c r="L316" s="29">
        <f t="shared" si="54"/>
        <v>-127</v>
      </c>
      <c r="M316" s="29">
        <f t="shared" si="55"/>
        <v>-127</v>
      </c>
      <c r="N316" s="29"/>
      <c r="O316" s="29"/>
    </row>
    <row r="317" spans="1:17" s="12" customFormat="1" hidden="1" outlineLevel="1">
      <c r="A317" s="95">
        <v>45413</v>
      </c>
      <c r="B317" s="25" t="s">
        <v>20</v>
      </c>
      <c r="C317" s="69"/>
      <c r="D317" s="99"/>
      <c r="E317" s="87">
        <f t="shared" ref="E317:E318" si="56">E316-C317+D317</f>
        <v>110</v>
      </c>
      <c r="G317" s="64"/>
      <c r="H317" s="63"/>
      <c r="I317" s="27"/>
      <c r="J317" s="28"/>
      <c r="K317" s="43"/>
      <c r="L317" s="29">
        <f t="shared" ref="L317:L318" si="57">L316-G317+K317</f>
        <v>-127</v>
      </c>
      <c r="M317" s="29">
        <f t="shared" ref="M317:M318" si="58">M316-G317+H317</f>
        <v>-127</v>
      </c>
      <c r="N317" s="29"/>
      <c r="O317" s="29"/>
    </row>
    <row r="318" spans="1:17" s="12" customFormat="1" hidden="1" outlineLevel="1">
      <c r="A318" s="95">
        <v>45414</v>
      </c>
      <c r="B318" s="25" t="s">
        <v>14</v>
      </c>
      <c r="C318" s="69"/>
      <c r="D318" s="99"/>
      <c r="E318" s="87">
        <f t="shared" si="56"/>
        <v>110</v>
      </c>
      <c r="G318" s="64"/>
      <c r="H318" s="63"/>
      <c r="I318" s="27"/>
      <c r="J318" s="28"/>
      <c r="K318" s="43"/>
      <c r="L318" s="29">
        <f t="shared" si="57"/>
        <v>-127</v>
      </c>
      <c r="M318" s="29">
        <f t="shared" si="58"/>
        <v>-127</v>
      </c>
      <c r="N318" s="29"/>
      <c r="O318" s="29"/>
    </row>
    <row r="319" spans="1:17" s="12" customFormat="1" hidden="1" outlineLevel="1">
      <c r="A319" s="95">
        <v>45415</v>
      </c>
      <c r="B319" s="25" t="s">
        <v>15</v>
      </c>
      <c r="C319" s="69"/>
      <c r="D319" s="99"/>
      <c r="E319" s="87">
        <f t="shared" ref="E319:E378" si="59">E318-C319+D319</f>
        <v>110</v>
      </c>
      <c r="G319" s="64"/>
      <c r="H319" s="63"/>
      <c r="I319" s="27"/>
      <c r="J319" s="28"/>
      <c r="K319" s="43"/>
      <c r="L319" s="29">
        <f t="shared" ref="L319:L347" si="60">L318-G319+K319</f>
        <v>-127</v>
      </c>
      <c r="M319" s="29">
        <f t="shared" ref="M319:M347" si="61">M318-G319+H319</f>
        <v>-127</v>
      </c>
      <c r="N319" s="29"/>
      <c r="O319" s="29"/>
    </row>
    <row r="320" spans="1:17" s="12" customFormat="1" hidden="1" outlineLevel="1">
      <c r="A320" s="95">
        <v>45416</v>
      </c>
      <c r="B320" s="25" t="s">
        <v>16</v>
      </c>
      <c r="C320" s="69"/>
      <c r="D320" s="99"/>
      <c r="E320" s="87">
        <f t="shared" si="59"/>
        <v>110</v>
      </c>
      <c r="G320" s="64"/>
      <c r="H320" s="63"/>
      <c r="I320" s="27"/>
      <c r="J320" s="28"/>
      <c r="K320" s="43"/>
      <c r="L320" s="29">
        <f t="shared" si="60"/>
        <v>-127</v>
      </c>
      <c r="M320" s="29">
        <f t="shared" si="61"/>
        <v>-127</v>
      </c>
      <c r="N320" s="29"/>
      <c r="O320" s="29"/>
    </row>
    <row r="321" spans="1:17" s="12" customFormat="1" hidden="1" outlineLevel="1">
      <c r="A321" s="95">
        <v>45417</v>
      </c>
      <c r="B321" s="25" t="s">
        <v>17</v>
      </c>
      <c r="C321" s="69"/>
      <c r="D321" s="99"/>
      <c r="E321" s="87">
        <f t="shared" si="59"/>
        <v>110</v>
      </c>
      <c r="G321" s="64"/>
      <c r="H321" s="63"/>
      <c r="I321" s="27"/>
      <c r="J321" s="28"/>
      <c r="K321" s="43"/>
      <c r="L321" s="29">
        <f t="shared" si="60"/>
        <v>-127</v>
      </c>
      <c r="M321" s="29">
        <f t="shared" si="61"/>
        <v>-127</v>
      </c>
      <c r="N321" s="29"/>
      <c r="O321" s="29"/>
    </row>
    <row r="322" spans="1:17" hidden="1" outlineLevel="1" collapsed="1">
      <c r="A322" s="96">
        <v>45418</v>
      </c>
      <c r="B322" s="17" t="s">
        <v>18</v>
      </c>
      <c r="C322" s="68">
        <f>72-16</f>
        <v>56</v>
      </c>
      <c r="D322" s="100">
        <v>56</v>
      </c>
      <c r="E322" s="22">
        <f t="shared" si="59"/>
        <v>110</v>
      </c>
      <c r="G322" s="78">
        <v>56</v>
      </c>
      <c r="H322" s="62">
        <f>C311+I322</f>
        <v>64</v>
      </c>
      <c r="I322" s="20"/>
      <c r="J322" s="21"/>
      <c r="K322" s="57">
        <v>64</v>
      </c>
      <c r="L322" s="23">
        <f t="shared" si="60"/>
        <v>-119</v>
      </c>
      <c r="M322" s="23">
        <f t="shared" si="61"/>
        <v>-119</v>
      </c>
      <c r="N322" s="23"/>
      <c r="O322" s="23">
        <v>7</v>
      </c>
    </row>
    <row r="323" spans="1:17" hidden="1" outlineLevel="1">
      <c r="A323" s="96">
        <v>45419</v>
      </c>
      <c r="B323" s="17" t="s">
        <v>19</v>
      </c>
      <c r="C323" s="68">
        <f>72-16</f>
        <v>56</v>
      </c>
      <c r="D323" s="100">
        <v>56</v>
      </c>
      <c r="E323" s="22">
        <f t="shared" si="59"/>
        <v>110</v>
      </c>
      <c r="G323" s="78">
        <v>80</v>
      </c>
      <c r="H323" s="62">
        <f>C312+I323</f>
        <v>64</v>
      </c>
      <c r="I323" s="20"/>
      <c r="J323" s="21"/>
      <c r="K323" s="57">
        <v>64</v>
      </c>
      <c r="L323" s="23">
        <f t="shared" si="60"/>
        <v>-135</v>
      </c>
      <c r="M323" s="23">
        <f t="shared" si="61"/>
        <v>-135</v>
      </c>
      <c r="N323" s="23"/>
      <c r="O323" s="23">
        <v>0</v>
      </c>
    </row>
    <row r="324" spans="1:17" hidden="1" outlineLevel="1">
      <c r="A324" s="96">
        <v>45420</v>
      </c>
      <c r="B324" s="17" t="s">
        <v>20</v>
      </c>
      <c r="C324" s="68">
        <f>72-8</f>
        <v>64</v>
      </c>
      <c r="D324" s="100">
        <v>64</v>
      </c>
      <c r="E324" s="22">
        <f t="shared" si="59"/>
        <v>110</v>
      </c>
      <c r="G324" s="78">
        <v>16</v>
      </c>
      <c r="H324" s="62">
        <f>C322+I324</f>
        <v>56</v>
      </c>
      <c r="I324" s="20"/>
      <c r="J324" s="21"/>
      <c r="K324" s="57">
        <v>56</v>
      </c>
      <c r="L324" s="23">
        <f t="shared" si="60"/>
        <v>-95</v>
      </c>
      <c r="M324" s="23">
        <f t="shared" si="61"/>
        <v>-95</v>
      </c>
      <c r="N324" s="23"/>
      <c r="O324" s="23">
        <v>9</v>
      </c>
    </row>
    <row r="325" spans="1:17" hidden="1" outlineLevel="1">
      <c r="A325" s="96">
        <v>45421</v>
      </c>
      <c r="B325" s="17" t="s">
        <v>14</v>
      </c>
      <c r="C325" s="68">
        <f>72-8</f>
        <v>64</v>
      </c>
      <c r="D325" s="100">
        <v>64</v>
      </c>
      <c r="E325" s="22">
        <f t="shared" si="59"/>
        <v>110</v>
      </c>
      <c r="G325" s="78">
        <v>56</v>
      </c>
      <c r="H325" s="62">
        <f>C323+I325</f>
        <v>56</v>
      </c>
      <c r="I325" s="20"/>
      <c r="J325" s="21"/>
      <c r="K325" s="57">
        <v>56</v>
      </c>
      <c r="L325" s="23">
        <f t="shared" si="60"/>
        <v>-95</v>
      </c>
      <c r="M325" s="23">
        <f t="shared" si="61"/>
        <v>-95</v>
      </c>
      <c r="N325" s="23"/>
      <c r="O325" s="23">
        <v>8</v>
      </c>
    </row>
    <row r="326" spans="1:17" hidden="1" outlineLevel="1">
      <c r="A326" s="96">
        <v>45422</v>
      </c>
      <c r="B326" s="17" t="s">
        <v>15</v>
      </c>
      <c r="C326" s="68">
        <v>64</v>
      </c>
      <c r="D326" s="100">
        <v>64</v>
      </c>
      <c r="E326" s="22">
        <f t="shared" si="59"/>
        <v>110</v>
      </c>
      <c r="G326" s="78">
        <v>72</v>
      </c>
      <c r="H326" s="62">
        <f>C324+I326</f>
        <v>64</v>
      </c>
      <c r="I326" s="20"/>
      <c r="J326" s="21"/>
      <c r="K326" s="57">
        <v>64</v>
      </c>
      <c r="L326" s="23">
        <f t="shared" si="60"/>
        <v>-103</v>
      </c>
      <c r="M326" s="23">
        <f t="shared" si="61"/>
        <v>-103</v>
      </c>
      <c r="N326" s="23"/>
      <c r="O326" s="23">
        <v>8</v>
      </c>
      <c r="Q326" s="1">
        <f>AVERAGE(G322:G326)</f>
        <v>56</v>
      </c>
    </row>
    <row r="327" spans="1:17" s="12" customFormat="1" hidden="1" outlineLevel="1">
      <c r="A327" s="95">
        <v>45423</v>
      </c>
      <c r="B327" s="25" t="s">
        <v>16</v>
      </c>
      <c r="C327" s="69"/>
      <c r="D327" s="99"/>
      <c r="E327" s="87">
        <f t="shared" si="59"/>
        <v>110</v>
      </c>
      <c r="G327" s="79"/>
      <c r="H327" s="63"/>
      <c r="I327" s="27"/>
      <c r="J327" s="28"/>
      <c r="K327" s="43"/>
      <c r="L327" s="29">
        <f t="shared" si="60"/>
        <v>-103</v>
      </c>
      <c r="M327" s="29">
        <f t="shared" si="61"/>
        <v>-103</v>
      </c>
      <c r="N327" s="29"/>
      <c r="O327" s="29"/>
    </row>
    <row r="328" spans="1:17" s="12" customFormat="1" hidden="1" outlineLevel="1">
      <c r="A328" s="95">
        <v>45424</v>
      </c>
      <c r="B328" s="25" t="s">
        <v>17</v>
      </c>
      <c r="C328" s="69"/>
      <c r="D328" s="99"/>
      <c r="E328" s="87">
        <f t="shared" si="59"/>
        <v>110</v>
      </c>
      <c r="G328" s="79"/>
      <c r="H328" s="63"/>
      <c r="I328" s="27"/>
      <c r="J328" s="28"/>
      <c r="K328" s="43"/>
      <c r="L328" s="29">
        <f t="shared" si="60"/>
        <v>-103</v>
      </c>
      <c r="M328" s="29">
        <f t="shared" si="61"/>
        <v>-103</v>
      </c>
      <c r="N328" s="29"/>
      <c r="O328" s="29"/>
    </row>
    <row r="329" spans="1:17" hidden="1" outlineLevel="1" collapsed="1">
      <c r="A329" s="96">
        <v>45425</v>
      </c>
      <c r="B329" s="17" t="s">
        <v>18</v>
      </c>
      <c r="C329" s="68">
        <v>72</v>
      </c>
      <c r="D329" s="100">
        <v>72</v>
      </c>
      <c r="E329" s="22">
        <f t="shared" si="59"/>
        <v>110</v>
      </c>
      <c r="G329" s="78">
        <v>64</v>
      </c>
      <c r="H329" s="62">
        <f>C325+I329</f>
        <v>64</v>
      </c>
      <c r="I329" s="20"/>
      <c r="J329" s="21"/>
      <c r="K329" s="57">
        <v>64</v>
      </c>
      <c r="L329" s="23">
        <f t="shared" si="60"/>
        <v>-103</v>
      </c>
      <c r="M329" s="23">
        <f t="shared" si="61"/>
        <v>-103</v>
      </c>
      <c r="N329" s="23"/>
      <c r="O329" s="23">
        <v>0</v>
      </c>
    </row>
    <row r="330" spans="1:17" hidden="1" outlineLevel="1">
      <c r="A330" s="96">
        <v>45426</v>
      </c>
      <c r="B330" s="17" t="s">
        <v>19</v>
      </c>
      <c r="C330" s="68">
        <f>72-8</f>
        <v>64</v>
      </c>
      <c r="D330" s="100">
        <v>64</v>
      </c>
      <c r="E330" s="22">
        <f t="shared" si="59"/>
        <v>110</v>
      </c>
      <c r="G330" s="78">
        <v>88</v>
      </c>
      <c r="H330" s="62">
        <f>C326+I330</f>
        <v>64</v>
      </c>
      <c r="I330" s="20"/>
      <c r="J330" s="21"/>
      <c r="K330" s="57">
        <v>64</v>
      </c>
      <c r="L330" s="23">
        <f t="shared" si="60"/>
        <v>-127</v>
      </c>
      <c r="M330" s="23">
        <f t="shared" si="61"/>
        <v>-127</v>
      </c>
      <c r="N330" s="23"/>
      <c r="O330" s="23">
        <v>7</v>
      </c>
    </row>
    <row r="331" spans="1:17" hidden="1" outlineLevel="1">
      <c r="A331" s="96">
        <v>45427</v>
      </c>
      <c r="B331" s="17" t="s">
        <v>20</v>
      </c>
      <c r="C331" s="68">
        <v>64</v>
      </c>
      <c r="D331" s="100">
        <v>72</v>
      </c>
      <c r="E331" s="22">
        <f t="shared" si="59"/>
        <v>118</v>
      </c>
      <c r="G331" s="78">
        <v>72</v>
      </c>
      <c r="H331" s="62">
        <f>C329+I331</f>
        <v>72</v>
      </c>
      <c r="I331" s="20"/>
      <c r="J331" s="21"/>
      <c r="K331" s="57">
        <v>72</v>
      </c>
      <c r="L331" s="23">
        <f t="shared" si="60"/>
        <v>-127</v>
      </c>
      <c r="M331" s="23">
        <f t="shared" si="61"/>
        <v>-127</v>
      </c>
      <c r="N331" s="23"/>
      <c r="O331" s="23">
        <v>13</v>
      </c>
    </row>
    <row r="332" spans="1:17" hidden="1" outlineLevel="1">
      <c r="A332" s="96">
        <v>45428</v>
      </c>
      <c r="B332" s="17" t="s">
        <v>14</v>
      </c>
      <c r="C332" s="68">
        <v>64</v>
      </c>
      <c r="D332" s="100">
        <v>72</v>
      </c>
      <c r="E332" s="22">
        <f t="shared" si="59"/>
        <v>126</v>
      </c>
      <c r="G332" s="78">
        <v>64</v>
      </c>
      <c r="H332" s="62">
        <f>C330+I332</f>
        <v>64</v>
      </c>
      <c r="I332" s="20"/>
      <c r="J332" s="21"/>
      <c r="K332" s="57">
        <v>64</v>
      </c>
      <c r="L332" s="23">
        <f>L331-G332+K332</f>
        <v>-127</v>
      </c>
      <c r="M332" s="23">
        <f t="shared" si="61"/>
        <v>-127</v>
      </c>
      <c r="N332" s="23"/>
      <c r="O332" s="23">
        <v>5</v>
      </c>
    </row>
    <row r="333" spans="1:17" hidden="1" outlineLevel="1">
      <c r="A333" s="96">
        <v>45429</v>
      </c>
      <c r="B333" s="17" t="s">
        <v>15</v>
      </c>
      <c r="C333" s="68">
        <v>64</v>
      </c>
      <c r="D333" s="100">
        <v>64</v>
      </c>
      <c r="E333" s="22">
        <f t="shared" si="59"/>
        <v>126</v>
      </c>
      <c r="G333" s="78">
        <v>72</v>
      </c>
      <c r="H333" s="62">
        <f>C331+I333</f>
        <v>64</v>
      </c>
      <c r="I333" s="20"/>
      <c r="J333" s="21"/>
      <c r="K333" s="57">
        <v>64</v>
      </c>
      <c r="L333" s="23">
        <f t="shared" si="60"/>
        <v>-135</v>
      </c>
      <c r="M333" s="23">
        <f t="shared" si="61"/>
        <v>-135</v>
      </c>
      <c r="N333" s="23"/>
      <c r="O333" s="23"/>
      <c r="Q333" s="1">
        <f>AVERAGE(G329:G333)</f>
        <v>72</v>
      </c>
    </row>
    <row r="334" spans="1:17" s="12" customFormat="1" hidden="1" outlineLevel="1" collapsed="1">
      <c r="A334" s="95">
        <v>45430</v>
      </c>
      <c r="B334" s="25" t="s">
        <v>16</v>
      </c>
      <c r="C334" s="69"/>
      <c r="D334" s="99"/>
      <c r="E334" s="87">
        <f t="shared" si="59"/>
        <v>126</v>
      </c>
      <c r="G334" s="79"/>
      <c r="H334" s="63"/>
      <c r="I334" s="27"/>
      <c r="J334" s="28"/>
      <c r="K334" s="43"/>
      <c r="L334" s="29">
        <f t="shared" si="60"/>
        <v>-135</v>
      </c>
      <c r="M334" s="29">
        <f t="shared" si="61"/>
        <v>-135</v>
      </c>
      <c r="N334" s="29"/>
      <c r="O334" s="29"/>
    </row>
    <row r="335" spans="1:17" s="12" customFormat="1" hidden="1" outlineLevel="1">
      <c r="A335" s="95">
        <v>45431</v>
      </c>
      <c r="B335" s="25" t="s">
        <v>17</v>
      </c>
      <c r="C335" s="69"/>
      <c r="D335" s="99"/>
      <c r="E335" s="87">
        <f t="shared" si="59"/>
        <v>126</v>
      </c>
      <c r="G335" s="79"/>
      <c r="H335" s="63"/>
      <c r="I335" s="27"/>
      <c r="J335" s="28"/>
      <c r="K335" s="43"/>
      <c r="L335" s="29">
        <f t="shared" si="60"/>
        <v>-135</v>
      </c>
      <c r="M335" s="29">
        <f t="shared" si="61"/>
        <v>-135</v>
      </c>
      <c r="N335" s="29"/>
      <c r="O335" s="29"/>
    </row>
    <row r="336" spans="1:17" hidden="1" outlineLevel="1">
      <c r="A336" s="96">
        <v>45432</v>
      </c>
      <c r="B336" s="17" t="s">
        <v>18</v>
      </c>
      <c r="C336" s="68">
        <v>64</v>
      </c>
      <c r="D336" s="100">
        <v>72</v>
      </c>
      <c r="E336" s="22">
        <f t="shared" si="59"/>
        <v>134</v>
      </c>
      <c r="G336" s="78">
        <v>56</v>
      </c>
      <c r="H336" s="62">
        <f>C332+I336</f>
        <v>64</v>
      </c>
      <c r="I336" s="20"/>
      <c r="J336" s="21"/>
      <c r="K336" s="57">
        <v>64</v>
      </c>
      <c r="L336" s="23">
        <f t="shared" si="60"/>
        <v>-127</v>
      </c>
      <c r="M336" s="23">
        <f t="shared" si="61"/>
        <v>-127</v>
      </c>
      <c r="N336" s="23"/>
      <c r="O336" s="23"/>
    </row>
    <row r="337" spans="1:17" hidden="1" outlineLevel="1">
      <c r="A337" s="96">
        <v>45433</v>
      </c>
      <c r="B337" s="17" t="s">
        <v>19</v>
      </c>
      <c r="C337" s="68">
        <v>64</v>
      </c>
      <c r="D337" s="100">
        <v>64</v>
      </c>
      <c r="E337" s="22">
        <f t="shared" si="59"/>
        <v>134</v>
      </c>
      <c r="G337" s="78">
        <v>80</v>
      </c>
      <c r="H337" s="62">
        <f>C333+I337</f>
        <v>64</v>
      </c>
      <c r="I337" s="20"/>
      <c r="J337" s="21"/>
      <c r="K337" s="57">
        <v>64</v>
      </c>
      <c r="L337" s="23">
        <f t="shared" si="60"/>
        <v>-143</v>
      </c>
      <c r="M337" s="23">
        <f t="shared" si="61"/>
        <v>-143</v>
      </c>
      <c r="N337" s="23"/>
      <c r="O337" s="23"/>
    </row>
    <row r="338" spans="1:17" hidden="1" outlineLevel="1">
      <c r="A338" s="96">
        <v>45434</v>
      </c>
      <c r="B338" s="17" t="s">
        <v>20</v>
      </c>
      <c r="C338" s="68">
        <v>64</v>
      </c>
      <c r="D338" s="100">
        <v>64</v>
      </c>
      <c r="E338" s="22">
        <f t="shared" si="59"/>
        <v>134</v>
      </c>
      <c r="G338" s="78">
        <v>72</v>
      </c>
      <c r="H338" s="62">
        <f>C336+I338</f>
        <v>64</v>
      </c>
      <c r="I338" s="20"/>
      <c r="J338" s="21"/>
      <c r="K338" s="57">
        <v>64</v>
      </c>
      <c r="L338" s="23">
        <f t="shared" si="60"/>
        <v>-151</v>
      </c>
      <c r="M338" s="23">
        <f t="shared" si="61"/>
        <v>-151</v>
      </c>
      <c r="N338" s="23"/>
      <c r="O338" s="23"/>
    </row>
    <row r="339" spans="1:17" hidden="1" outlineLevel="1">
      <c r="A339" s="96">
        <v>45435</v>
      </c>
      <c r="B339" s="17" t="s">
        <v>14</v>
      </c>
      <c r="C339" s="68">
        <v>64</v>
      </c>
      <c r="D339" s="100">
        <v>64</v>
      </c>
      <c r="E339" s="22">
        <f t="shared" si="59"/>
        <v>134</v>
      </c>
      <c r="G339" s="78">
        <v>72</v>
      </c>
      <c r="H339" s="62">
        <f>C337+I339</f>
        <v>64</v>
      </c>
      <c r="I339" s="20"/>
      <c r="J339" s="21"/>
      <c r="K339" s="57">
        <v>64</v>
      </c>
      <c r="L339" s="23">
        <f t="shared" si="60"/>
        <v>-159</v>
      </c>
      <c r="M339" s="23">
        <f t="shared" si="61"/>
        <v>-159</v>
      </c>
      <c r="N339" s="23"/>
      <c r="O339" s="23">
        <v>8</v>
      </c>
    </row>
    <row r="340" spans="1:17" hidden="1" outlineLevel="1">
      <c r="A340" s="96">
        <v>45436</v>
      </c>
      <c r="B340" s="17" t="s">
        <v>15</v>
      </c>
      <c r="C340" s="68">
        <v>64</v>
      </c>
      <c r="D340" s="100">
        <v>64</v>
      </c>
      <c r="E340" s="22">
        <f t="shared" si="59"/>
        <v>134</v>
      </c>
      <c r="G340" s="78">
        <v>56</v>
      </c>
      <c r="H340" s="62">
        <f>C338+I340</f>
        <v>64</v>
      </c>
      <c r="I340" s="20"/>
      <c r="J340" s="21"/>
      <c r="K340" s="57">
        <v>64</v>
      </c>
      <c r="L340" s="23">
        <f t="shared" si="60"/>
        <v>-151</v>
      </c>
      <c r="M340" s="23">
        <f t="shared" si="61"/>
        <v>-151</v>
      </c>
      <c r="N340" s="23"/>
      <c r="O340" s="23">
        <v>9</v>
      </c>
      <c r="Q340" s="1">
        <f>AVERAGE(G336:G340)</f>
        <v>67.2</v>
      </c>
    </row>
    <row r="341" spans="1:17" s="12" customFormat="1" hidden="1" outlineLevel="1" collapsed="1">
      <c r="A341" s="95">
        <v>45437</v>
      </c>
      <c r="B341" s="25" t="s">
        <v>16</v>
      </c>
      <c r="C341" s="69"/>
      <c r="D341" s="99"/>
      <c r="E341" s="87">
        <f t="shared" si="59"/>
        <v>134</v>
      </c>
      <c r="G341" s="79"/>
      <c r="H341" s="63"/>
      <c r="I341" s="27"/>
      <c r="J341" s="28"/>
      <c r="K341" s="43"/>
      <c r="L341" s="29">
        <f t="shared" si="60"/>
        <v>-151</v>
      </c>
      <c r="M341" s="29">
        <f t="shared" si="61"/>
        <v>-151</v>
      </c>
      <c r="N341" s="29"/>
      <c r="O341" s="29"/>
    </row>
    <row r="342" spans="1:17" s="12" customFormat="1" hidden="1" outlineLevel="1">
      <c r="A342" s="95">
        <v>45438</v>
      </c>
      <c r="B342" s="25" t="s">
        <v>17</v>
      </c>
      <c r="C342" s="69"/>
      <c r="D342" s="99"/>
      <c r="E342" s="87">
        <f t="shared" si="59"/>
        <v>134</v>
      </c>
      <c r="G342" s="79"/>
      <c r="H342" s="63"/>
      <c r="I342" s="27"/>
      <c r="J342" s="28"/>
      <c r="K342" s="43"/>
      <c r="L342" s="29">
        <f t="shared" si="60"/>
        <v>-151</v>
      </c>
      <c r="M342" s="29">
        <f t="shared" si="61"/>
        <v>-151</v>
      </c>
      <c r="N342" s="29"/>
      <c r="O342" s="29"/>
    </row>
    <row r="343" spans="1:17" hidden="1" outlineLevel="1">
      <c r="A343" s="96">
        <v>45439</v>
      </c>
      <c r="B343" s="17" t="s">
        <v>18</v>
      </c>
      <c r="C343" s="68">
        <v>72</v>
      </c>
      <c r="D343" s="100"/>
      <c r="E343" s="22">
        <f t="shared" si="59"/>
        <v>62</v>
      </c>
      <c r="G343" s="78">
        <v>72</v>
      </c>
      <c r="H343" s="62">
        <f>C339+I343</f>
        <v>64</v>
      </c>
      <c r="I343" s="20"/>
      <c r="J343" s="21"/>
      <c r="K343" s="57">
        <v>64</v>
      </c>
      <c r="L343" s="23">
        <f t="shared" si="60"/>
        <v>-159</v>
      </c>
      <c r="M343" s="23">
        <f t="shared" si="61"/>
        <v>-159</v>
      </c>
      <c r="N343" s="23"/>
      <c r="O343" s="23">
        <v>7</v>
      </c>
    </row>
    <row r="344" spans="1:17" hidden="1" outlineLevel="1">
      <c r="A344" s="96">
        <v>45440</v>
      </c>
      <c r="B344" s="17" t="s">
        <v>19</v>
      </c>
      <c r="C344" s="68">
        <v>0</v>
      </c>
      <c r="D344" s="100">
        <v>72</v>
      </c>
      <c r="E344" s="22">
        <f t="shared" si="59"/>
        <v>134</v>
      </c>
      <c r="G344" s="78">
        <v>48</v>
      </c>
      <c r="H344" s="62">
        <f>C340+I344</f>
        <v>64</v>
      </c>
      <c r="I344" s="20"/>
      <c r="J344" s="21"/>
      <c r="K344" s="57">
        <v>64</v>
      </c>
      <c r="L344" s="23">
        <f t="shared" si="60"/>
        <v>-143</v>
      </c>
      <c r="M344" s="23">
        <f t="shared" si="61"/>
        <v>-143</v>
      </c>
      <c r="N344" s="23"/>
      <c r="O344" s="23">
        <v>11</v>
      </c>
    </row>
    <row r="345" spans="1:17" hidden="1" outlineLevel="1">
      <c r="A345" s="96">
        <v>45441</v>
      </c>
      <c r="B345" s="17" t="s">
        <v>20</v>
      </c>
      <c r="C345" s="68">
        <v>0</v>
      </c>
      <c r="D345" s="100">
        <v>48</v>
      </c>
      <c r="E345" s="22">
        <f t="shared" si="59"/>
        <v>182</v>
      </c>
      <c r="G345" s="78">
        <v>48</v>
      </c>
      <c r="H345" s="62">
        <f>C343+I345</f>
        <v>72</v>
      </c>
      <c r="I345" s="20"/>
      <c r="J345" s="21"/>
      <c r="K345" s="57">
        <v>72</v>
      </c>
      <c r="L345" s="23">
        <f t="shared" si="60"/>
        <v>-119</v>
      </c>
      <c r="M345" s="23">
        <f t="shared" si="61"/>
        <v>-119</v>
      </c>
      <c r="N345" s="23"/>
      <c r="O345" s="23">
        <v>7</v>
      </c>
    </row>
    <row r="346" spans="1:17" hidden="1" outlineLevel="1">
      <c r="A346" s="96">
        <v>45442</v>
      </c>
      <c r="B346" s="17" t="s">
        <v>14</v>
      </c>
      <c r="C346" s="68">
        <f>72-8</f>
        <v>64</v>
      </c>
      <c r="D346" s="100">
        <v>48</v>
      </c>
      <c r="E346" s="22">
        <f t="shared" si="59"/>
        <v>166</v>
      </c>
      <c r="G346" s="211">
        <v>0</v>
      </c>
      <c r="H346" s="202">
        <f>C344+I346</f>
        <v>0</v>
      </c>
      <c r="I346" s="20"/>
      <c r="J346" s="21"/>
      <c r="K346" s="57">
        <v>0</v>
      </c>
      <c r="L346" s="23">
        <f t="shared" si="60"/>
        <v>-119</v>
      </c>
      <c r="M346" s="23">
        <f t="shared" si="61"/>
        <v>-119</v>
      </c>
      <c r="N346" s="23"/>
      <c r="O346" s="23"/>
    </row>
    <row r="347" spans="1:17" hidden="1" outlineLevel="1">
      <c r="A347" s="96">
        <v>45443</v>
      </c>
      <c r="B347" s="17" t="s">
        <v>15</v>
      </c>
      <c r="C347" s="68">
        <f>72-8</f>
        <v>64</v>
      </c>
      <c r="D347" s="100">
        <v>48</v>
      </c>
      <c r="E347" s="22">
        <f t="shared" si="59"/>
        <v>150</v>
      </c>
      <c r="G347" s="211">
        <v>0</v>
      </c>
      <c r="H347" s="202">
        <f>C345+I347</f>
        <v>0</v>
      </c>
      <c r="I347" s="20"/>
      <c r="J347" s="21"/>
      <c r="K347" s="57">
        <v>0</v>
      </c>
      <c r="L347" s="23">
        <f t="shared" si="60"/>
        <v>-119</v>
      </c>
      <c r="M347" s="23">
        <f t="shared" si="61"/>
        <v>-119</v>
      </c>
      <c r="N347" s="23"/>
      <c r="O347" s="23"/>
      <c r="Q347" s="1">
        <f>AVERAGE(G343:G347)</f>
        <v>33.6</v>
      </c>
    </row>
    <row r="348" spans="1:17" s="12" customFormat="1" hidden="1" outlineLevel="1" collapsed="1">
      <c r="A348" s="95">
        <v>45444</v>
      </c>
      <c r="B348" s="25" t="s">
        <v>16</v>
      </c>
      <c r="C348" s="69"/>
      <c r="D348" s="99"/>
      <c r="E348" s="87">
        <f t="shared" si="59"/>
        <v>150</v>
      </c>
      <c r="G348" s="79"/>
      <c r="H348" s="63"/>
      <c r="I348" s="27"/>
      <c r="J348" s="28"/>
      <c r="K348" s="43"/>
      <c r="L348" s="29">
        <f t="shared" ref="L348:L378" si="62">L347-G348+K348</f>
        <v>-119</v>
      </c>
      <c r="M348" s="29">
        <f t="shared" ref="M348:M378" si="63">M347-G348+H348</f>
        <v>-119</v>
      </c>
      <c r="N348" s="29"/>
      <c r="O348" s="29"/>
    </row>
    <row r="349" spans="1:17" s="12" customFormat="1" hidden="1" outlineLevel="1">
      <c r="A349" s="95">
        <v>45445</v>
      </c>
      <c r="B349" s="25" t="s">
        <v>17</v>
      </c>
      <c r="C349" s="69"/>
      <c r="D349" s="99"/>
      <c r="E349" s="87">
        <f t="shared" si="59"/>
        <v>150</v>
      </c>
      <c r="G349" s="79"/>
      <c r="H349" s="63"/>
      <c r="I349" s="27"/>
      <c r="J349" s="28"/>
      <c r="K349" s="43"/>
      <c r="L349" s="29">
        <f t="shared" si="62"/>
        <v>-119</v>
      </c>
      <c r="M349" s="29">
        <f t="shared" si="63"/>
        <v>-119</v>
      </c>
      <c r="N349" s="29"/>
      <c r="O349" s="29"/>
    </row>
    <row r="350" spans="1:17" hidden="1" outlineLevel="1">
      <c r="A350" s="96">
        <v>45446</v>
      </c>
      <c r="B350" s="17" t="s">
        <v>18</v>
      </c>
      <c r="C350" s="68">
        <f>72-8-8</f>
        <v>56</v>
      </c>
      <c r="D350" s="100">
        <v>56</v>
      </c>
      <c r="E350" s="22">
        <f t="shared" si="59"/>
        <v>150</v>
      </c>
      <c r="G350" s="78">
        <v>56</v>
      </c>
      <c r="H350" s="62">
        <f>C346+I350</f>
        <v>64</v>
      </c>
      <c r="I350" s="20"/>
      <c r="J350" s="21"/>
      <c r="K350" s="57">
        <v>64</v>
      </c>
      <c r="L350" s="23">
        <f t="shared" si="62"/>
        <v>-111</v>
      </c>
      <c r="M350" s="23">
        <f t="shared" si="63"/>
        <v>-111</v>
      </c>
      <c r="N350" s="23"/>
      <c r="O350" s="23"/>
    </row>
    <row r="351" spans="1:17" hidden="1" outlineLevel="1">
      <c r="A351" s="96">
        <v>45447</v>
      </c>
      <c r="B351" s="17" t="s">
        <v>19</v>
      </c>
      <c r="C351" s="68">
        <f>72-8</f>
        <v>64</v>
      </c>
      <c r="D351" s="100">
        <v>64</v>
      </c>
      <c r="E351" s="22">
        <f t="shared" si="59"/>
        <v>150</v>
      </c>
      <c r="G351" s="78">
        <v>56</v>
      </c>
      <c r="H351" s="62">
        <f>C347+I351</f>
        <v>64</v>
      </c>
      <c r="I351" s="20"/>
      <c r="J351" s="21"/>
      <c r="K351" s="57">
        <v>64</v>
      </c>
      <c r="L351" s="23">
        <f t="shared" si="62"/>
        <v>-103</v>
      </c>
      <c r="M351" s="23">
        <f t="shared" si="63"/>
        <v>-103</v>
      </c>
      <c r="N351" s="23"/>
      <c r="O351" s="23">
        <v>7</v>
      </c>
    </row>
    <row r="352" spans="1:17" hidden="1" outlineLevel="1">
      <c r="A352" s="96">
        <v>45448</v>
      </c>
      <c r="B352" s="17" t="s">
        <v>20</v>
      </c>
      <c r="C352" s="68">
        <f>72-8</f>
        <v>64</v>
      </c>
      <c r="D352" s="100"/>
      <c r="E352" s="22">
        <f t="shared" si="59"/>
        <v>86</v>
      </c>
      <c r="G352" s="78">
        <v>72</v>
      </c>
      <c r="H352" s="62">
        <f>C350+I352</f>
        <v>56</v>
      </c>
      <c r="I352" s="20"/>
      <c r="J352" s="21"/>
      <c r="K352" s="57">
        <v>56</v>
      </c>
      <c r="L352" s="23">
        <f t="shared" si="62"/>
        <v>-119</v>
      </c>
      <c r="M352" s="23">
        <f t="shared" si="63"/>
        <v>-119</v>
      </c>
      <c r="N352" s="23"/>
      <c r="O352" s="23">
        <v>7</v>
      </c>
    </row>
    <row r="353" spans="1:19" hidden="1" outlineLevel="1">
      <c r="A353" s="96">
        <v>45449</v>
      </c>
      <c r="B353" s="17" t="s">
        <v>14</v>
      </c>
      <c r="C353" s="68">
        <f>72-8</f>
        <v>64</v>
      </c>
      <c r="D353" s="100">
        <v>64</v>
      </c>
      <c r="E353" s="22">
        <f t="shared" si="59"/>
        <v>86</v>
      </c>
      <c r="G353" s="78">
        <v>56</v>
      </c>
      <c r="H353" s="62">
        <f>C351+I353</f>
        <v>64</v>
      </c>
      <c r="I353" s="20"/>
      <c r="J353" s="21"/>
      <c r="K353" s="57">
        <v>64</v>
      </c>
      <c r="L353" s="23">
        <f t="shared" si="62"/>
        <v>-111</v>
      </c>
      <c r="M353" s="23">
        <f t="shared" si="63"/>
        <v>-111</v>
      </c>
      <c r="N353" s="23"/>
      <c r="O353" s="23">
        <v>7</v>
      </c>
    </row>
    <row r="354" spans="1:19" hidden="1" outlineLevel="1">
      <c r="A354" s="96">
        <v>45450</v>
      </c>
      <c r="B354" s="17" t="s">
        <v>15</v>
      </c>
      <c r="C354" s="68">
        <f>72-8-8</f>
        <v>56</v>
      </c>
      <c r="D354" s="100">
        <v>56</v>
      </c>
      <c r="E354" s="22">
        <f t="shared" si="59"/>
        <v>86</v>
      </c>
      <c r="G354" s="78">
        <v>184</v>
      </c>
      <c r="H354" s="62">
        <f>C352+I354</f>
        <v>64</v>
      </c>
      <c r="I354" s="20"/>
      <c r="J354" s="21"/>
      <c r="K354" s="57">
        <v>64</v>
      </c>
      <c r="L354" s="23">
        <f t="shared" si="62"/>
        <v>-231</v>
      </c>
      <c r="M354" s="23">
        <f t="shared" si="63"/>
        <v>-231</v>
      </c>
      <c r="N354" s="23"/>
      <c r="O354" s="23">
        <v>9</v>
      </c>
      <c r="Q354" s="1">
        <f>AVERAGE(G350:G354)</f>
        <v>84.8</v>
      </c>
    </row>
    <row r="355" spans="1:19" s="12" customFormat="1" hidden="1" outlineLevel="1">
      <c r="A355" s="95">
        <v>45451</v>
      </c>
      <c r="B355" s="25" t="s">
        <v>16</v>
      </c>
      <c r="C355" s="69"/>
      <c r="D355" s="99"/>
      <c r="E355" s="87">
        <f t="shared" si="59"/>
        <v>86</v>
      </c>
      <c r="G355" s="64"/>
      <c r="H355" s="63"/>
      <c r="I355" s="27"/>
      <c r="J355" s="28"/>
      <c r="K355" s="43"/>
      <c r="L355" s="29">
        <f t="shared" si="62"/>
        <v>-231</v>
      </c>
      <c r="M355" s="29">
        <f t="shared" si="63"/>
        <v>-231</v>
      </c>
      <c r="N355" s="29"/>
      <c r="O355" s="29"/>
    </row>
    <row r="356" spans="1:19" s="12" customFormat="1" hidden="1" outlineLevel="1">
      <c r="A356" s="95">
        <v>45452</v>
      </c>
      <c r="B356" s="25" t="s">
        <v>17</v>
      </c>
      <c r="C356" s="69"/>
      <c r="D356" s="99"/>
      <c r="E356" s="87">
        <f t="shared" si="59"/>
        <v>86</v>
      </c>
      <c r="G356" s="64"/>
      <c r="H356" s="63"/>
      <c r="I356" s="27"/>
      <c r="J356" s="28"/>
      <c r="K356" s="43"/>
      <c r="L356" s="29">
        <f t="shared" si="62"/>
        <v>-231</v>
      </c>
      <c r="M356" s="29">
        <f t="shared" si="63"/>
        <v>-231</v>
      </c>
      <c r="N356" s="29"/>
      <c r="O356" s="29"/>
    </row>
    <row r="357" spans="1:19" hidden="1" outlineLevel="1">
      <c r="A357" s="96">
        <v>45453</v>
      </c>
      <c r="B357" s="17" t="s">
        <v>18</v>
      </c>
      <c r="C357" s="68">
        <v>64</v>
      </c>
      <c r="D357" s="100">
        <v>42</v>
      </c>
      <c r="E357" s="22">
        <f t="shared" si="59"/>
        <v>64</v>
      </c>
      <c r="G357" s="78">
        <v>72</v>
      </c>
      <c r="H357" s="62">
        <f>C353+I357</f>
        <v>64</v>
      </c>
      <c r="I357" s="20"/>
      <c r="J357" s="21"/>
      <c r="K357" s="57">
        <v>64</v>
      </c>
      <c r="L357" s="23">
        <f t="shared" si="62"/>
        <v>-239</v>
      </c>
      <c r="M357" s="23">
        <f t="shared" si="63"/>
        <v>-239</v>
      </c>
      <c r="N357" s="23"/>
      <c r="O357" s="23">
        <v>10</v>
      </c>
    </row>
    <row r="358" spans="1:19" hidden="1" outlineLevel="1">
      <c r="A358" s="96">
        <v>45454</v>
      </c>
      <c r="B358" s="17" t="s">
        <v>19</v>
      </c>
      <c r="C358" s="68">
        <v>64</v>
      </c>
      <c r="D358" s="100">
        <v>54</v>
      </c>
      <c r="E358" s="22">
        <f t="shared" si="59"/>
        <v>54</v>
      </c>
      <c r="G358" s="78">
        <v>72</v>
      </c>
      <c r="H358" s="62">
        <f>C354+I358</f>
        <v>56</v>
      </c>
      <c r="I358" s="20"/>
      <c r="J358" s="21"/>
      <c r="K358" s="57">
        <v>56</v>
      </c>
      <c r="L358" s="23">
        <f t="shared" si="62"/>
        <v>-255</v>
      </c>
      <c r="M358" s="23">
        <f t="shared" si="63"/>
        <v>-255</v>
      </c>
      <c r="N358" s="23"/>
      <c r="O358" s="23">
        <v>9</v>
      </c>
    </row>
    <row r="359" spans="1:19" hidden="1" outlineLevel="1">
      <c r="A359" s="96">
        <v>45455</v>
      </c>
      <c r="B359" s="17" t="s">
        <v>20</v>
      </c>
      <c r="C359" s="68">
        <v>72</v>
      </c>
      <c r="D359" s="100">
        <v>72</v>
      </c>
      <c r="E359" s="22">
        <f t="shared" si="59"/>
        <v>54</v>
      </c>
      <c r="G359" s="78">
        <v>56</v>
      </c>
      <c r="H359" s="62">
        <f>C357+I359</f>
        <v>64</v>
      </c>
      <c r="I359" s="20"/>
      <c r="J359" s="21"/>
      <c r="K359" s="57">
        <v>64</v>
      </c>
      <c r="L359" s="23">
        <f t="shared" si="62"/>
        <v>-247</v>
      </c>
      <c r="M359" s="23">
        <f t="shared" si="63"/>
        <v>-247</v>
      </c>
      <c r="N359" s="23"/>
      <c r="O359" s="23"/>
    </row>
    <row r="360" spans="1:19" hidden="1" outlineLevel="1">
      <c r="A360" s="96">
        <v>45456</v>
      </c>
      <c r="B360" s="17" t="s">
        <v>14</v>
      </c>
      <c r="C360" s="68">
        <v>64</v>
      </c>
      <c r="D360" s="100">
        <v>64</v>
      </c>
      <c r="E360" s="22">
        <f t="shared" si="59"/>
        <v>54</v>
      </c>
      <c r="G360" s="78">
        <v>72</v>
      </c>
      <c r="H360" s="62">
        <f>C358+I360</f>
        <v>64</v>
      </c>
      <c r="I360" s="20"/>
      <c r="J360" s="21"/>
      <c r="K360" s="57">
        <v>64</v>
      </c>
      <c r="L360" s="23">
        <f t="shared" si="62"/>
        <v>-255</v>
      </c>
      <c r="M360" s="23">
        <f t="shared" si="63"/>
        <v>-255</v>
      </c>
      <c r="N360" s="23"/>
      <c r="O360" s="23"/>
    </row>
    <row r="361" spans="1:19" hidden="1" outlineLevel="1">
      <c r="A361" s="96">
        <v>45457</v>
      </c>
      <c r="B361" s="17" t="s">
        <v>15</v>
      </c>
      <c r="C361" s="68">
        <v>64</v>
      </c>
      <c r="D361" s="100">
        <v>64</v>
      </c>
      <c r="E361" s="22">
        <f t="shared" si="59"/>
        <v>54</v>
      </c>
      <c r="G361" s="83">
        <v>56</v>
      </c>
      <c r="H361" s="62">
        <f>C359+I361</f>
        <v>72</v>
      </c>
      <c r="I361" s="20"/>
      <c r="J361" s="21"/>
      <c r="K361" s="57">
        <v>72</v>
      </c>
      <c r="L361" s="23">
        <f t="shared" si="62"/>
        <v>-239</v>
      </c>
      <c r="M361" s="23">
        <f t="shared" si="63"/>
        <v>-239</v>
      </c>
      <c r="N361" s="23"/>
      <c r="O361" s="23"/>
      <c r="Q361" s="1">
        <f>AVERAGE(G357:G361)</f>
        <v>65.599999999999994</v>
      </c>
      <c r="S361" s="1" t="s">
        <v>49</v>
      </c>
    </row>
    <row r="362" spans="1:19" s="12" customFormat="1" hidden="1" outlineLevel="1" collapsed="1">
      <c r="A362" s="95">
        <v>45458</v>
      </c>
      <c r="B362" s="25" t="s">
        <v>16</v>
      </c>
      <c r="C362" s="69"/>
      <c r="D362" s="99"/>
      <c r="E362" s="87">
        <f t="shared" si="59"/>
        <v>54</v>
      </c>
      <c r="G362" s="64"/>
      <c r="H362" s="63"/>
      <c r="I362" s="27"/>
      <c r="J362" s="28"/>
      <c r="K362" s="43"/>
      <c r="L362" s="29">
        <f t="shared" si="62"/>
        <v>-239</v>
      </c>
      <c r="M362" s="29">
        <f t="shared" si="63"/>
        <v>-239</v>
      </c>
      <c r="N362" s="29"/>
      <c r="O362" s="29"/>
    </row>
    <row r="363" spans="1:19" s="12" customFormat="1" hidden="1" outlineLevel="1">
      <c r="A363" s="95">
        <v>45459</v>
      </c>
      <c r="B363" s="25" t="s">
        <v>17</v>
      </c>
      <c r="C363" s="69"/>
      <c r="D363" s="99"/>
      <c r="E363" s="87">
        <f t="shared" si="59"/>
        <v>54</v>
      </c>
      <c r="G363" s="64"/>
      <c r="H363" s="63"/>
      <c r="I363" s="27"/>
      <c r="J363" s="28"/>
      <c r="K363" s="43"/>
      <c r="L363" s="29">
        <f t="shared" si="62"/>
        <v>-239</v>
      </c>
      <c r="M363" s="29">
        <f t="shared" si="63"/>
        <v>-239</v>
      </c>
      <c r="N363" s="29"/>
      <c r="O363" s="29"/>
    </row>
    <row r="364" spans="1:19" hidden="1" outlineLevel="1">
      <c r="A364" s="96">
        <v>45460</v>
      </c>
      <c r="B364" s="17" t="s">
        <v>18</v>
      </c>
      <c r="C364" s="68">
        <v>64</v>
      </c>
      <c r="D364" s="100">
        <v>64</v>
      </c>
      <c r="E364" s="22">
        <f t="shared" si="59"/>
        <v>54</v>
      </c>
      <c r="G364" s="78">
        <v>72</v>
      </c>
      <c r="H364" s="62">
        <f>C360+I364</f>
        <v>64</v>
      </c>
      <c r="I364" s="20"/>
      <c r="J364" s="21"/>
      <c r="K364" s="57">
        <v>64</v>
      </c>
      <c r="L364" s="23">
        <f t="shared" si="62"/>
        <v>-247</v>
      </c>
      <c r="M364" s="23">
        <f t="shared" si="63"/>
        <v>-247</v>
      </c>
      <c r="N364" s="23"/>
      <c r="O364" s="23">
        <v>9</v>
      </c>
    </row>
    <row r="365" spans="1:19" hidden="1" outlineLevel="1">
      <c r="A365" s="96">
        <v>45461</v>
      </c>
      <c r="B365" s="17" t="s">
        <v>19</v>
      </c>
      <c r="C365" s="68">
        <v>64</v>
      </c>
      <c r="D365" s="100">
        <v>64</v>
      </c>
      <c r="E365" s="22">
        <f t="shared" si="59"/>
        <v>54</v>
      </c>
      <c r="G365" s="78">
        <v>72</v>
      </c>
      <c r="H365" s="62">
        <f>C361+I365</f>
        <v>64</v>
      </c>
      <c r="I365" s="20"/>
      <c r="J365" s="21"/>
      <c r="K365" s="57">
        <v>64</v>
      </c>
      <c r="L365" s="23">
        <f t="shared" si="62"/>
        <v>-255</v>
      </c>
      <c r="M365" s="23">
        <f t="shared" si="63"/>
        <v>-255</v>
      </c>
      <c r="N365" s="23"/>
      <c r="O365" s="23"/>
    </row>
    <row r="366" spans="1:19" hidden="1" outlineLevel="1">
      <c r="A366" s="96">
        <v>45462</v>
      </c>
      <c r="B366" s="17" t="s">
        <v>20</v>
      </c>
      <c r="C366" s="68">
        <v>64</v>
      </c>
      <c r="D366" s="100">
        <v>64</v>
      </c>
      <c r="E366" s="22">
        <f t="shared" si="59"/>
        <v>54</v>
      </c>
      <c r="G366" s="78">
        <v>56</v>
      </c>
      <c r="H366" s="62">
        <f>C364+I366</f>
        <v>64</v>
      </c>
      <c r="I366" s="20"/>
      <c r="J366" s="21"/>
      <c r="K366" s="57">
        <v>64</v>
      </c>
      <c r="L366" s="23">
        <f t="shared" si="62"/>
        <v>-247</v>
      </c>
      <c r="M366" s="23">
        <f t="shared" si="63"/>
        <v>-247</v>
      </c>
      <c r="N366" s="23"/>
      <c r="O366" s="23"/>
    </row>
    <row r="367" spans="1:19" hidden="1" outlineLevel="1">
      <c r="A367" s="96">
        <v>45463</v>
      </c>
      <c r="B367" s="17" t="s">
        <v>14</v>
      </c>
      <c r="C367" s="68">
        <v>64</v>
      </c>
      <c r="D367" s="100">
        <v>64</v>
      </c>
      <c r="E367" s="22">
        <f t="shared" si="59"/>
        <v>54</v>
      </c>
      <c r="G367" s="78">
        <v>72</v>
      </c>
      <c r="H367" s="62">
        <f>C365+I367</f>
        <v>64</v>
      </c>
      <c r="I367" s="20"/>
      <c r="J367" s="21"/>
      <c r="K367" s="57">
        <v>64</v>
      </c>
      <c r="L367" s="23">
        <f t="shared" si="62"/>
        <v>-255</v>
      </c>
      <c r="M367" s="23">
        <f t="shared" si="63"/>
        <v>-255</v>
      </c>
      <c r="N367" s="23"/>
      <c r="O367" s="23">
        <v>8</v>
      </c>
    </row>
    <row r="368" spans="1:19" hidden="1" outlineLevel="1">
      <c r="A368" s="96">
        <v>45464</v>
      </c>
      <c r="B368" s="17" t="s">
        <v>15</v>
      </c>
      <c r="C368" s="68">
        <v>64</v>
      </c>
      <c r="D368" s="100">
        <v>64</v>
      </c>
      <c r="E368" s="22">
        <f t="shared" si="59"/>
        <v>54</v>
      </c>
      <c r="G368" s="83">
        <v>48</v>
      </c>
      <c r="H368" s="62">
        <f>C366+I368</f>
        <v>64</v>
      </c>
      <c r="I368" s="20"/>
      <c r="J368" s="21"/>
      <c r="K368" s="57">
        <v>64</v>
      </c>
      <c r="L368" s="23">
        <f t="shared" si="62"/>
        <v>-239</v>
      </c>
      <c r="M368" s="23">
        <f t="shared" si="63"/>
        <v>-239</v>
      </c>
      <c r="N368" s="23"/>
      <c r="O368" s="23"/>
      <c r="Q368" s="1">
        <f>AVERAGE(G364:G368)</f>
        <v>64</v>
      </c>
    </row>
    <row r="369" spans="1:17" s="12" customFormat="1" hidden="1" outlineLevel="1" collapsed="1">
      <c r="A369" s="95">
        <v>45465</v>
      </c>
      <c r="B369" s="25" t="s">
        <v>16</v>
      </c>
      <c r="C369" s="69"/>
      <c r="D369" s="99"/>
      <c r="E369" s="87">
        <f t="shared" si="59"/>
        <v>54</v>
      </c>
      <c r="G369" s="64"/>
      <c r="H369" s="63"/>
      <c r="I369" s="27"/>
      <c r="J369" s="28"/>
      <c r="K369" s="43"/>
      <c r="L369" s="29">
        <f t="shared" si="62"/>
        <v>-239</v>
      </c>
      <c r="M369" s="29">
        <f t="shared" si="63"/>
        <v>-239</v>
      </c>
      <c r="N369" s="29"/>
      <c r="O369" s="29"/>
    </row>
    <row r="370" spans="1:17" s="12" customFormat="1" hidden="1" outlineLevel="1">
      <c r="A370" s="95">
        <v>45466</v>
      </c>
      <c r="B370" s="25" t="s">
        <v>17</v>
      </c>
      <c r="C370" s="69"/>
      <c r="D370" s="99"/>
      <c r="E370" s="87">
        <f t="shared" si="59"/>
        <v>54</v>
      </c>
      <c r="G370" s="64"/>
      <c r="H370" s="63"/>
      <c r="I370" s="27"/>
      <c r="J370" s="28"/>
      <c r="K370" s="43"/>
      <c r="L370" s="29">
        <f t="shared" si="62"/>
        <v>-239</v>
      </c>
      <c r="M370" s="29">
        <f t="shared" si="63"/>
        <v>-239</v>
      </c>
      <c r="N370" s="29"/>
      <c r="O370" s="29"/>
    </row>
    <row r="371" spans="1:17" hidden="1" outlineLevel="1">
      <c r="A371" s="96">
        <v>45467</v>
      </c>
      <c r="B371" s="17" t="s">
        <v>18</v>
      </c>
      <c r="C371" s="68">
        <v>72</v>
      </c>
      <c r="D371" s="100">
        <v>72</v>
      </c>
      <c r="E371" s="22">
        <f t="shared" si="59"/>
        <v>54</v>
      </c>
      <c r="G371" s="83">
        <v>24</v>
      </c>
      <c r="H371" s="62">
        <f>C367+I371</f>
        <v>64</v>
      </c>
      <c r="I371" s="20"/>
      <c r="J371" s="21"/>
      <c r="K371" s="57">
        <v>64</v>
      </c>
      <c r="L371" s="23">
        <f t="shared" si="62"/>
        <v>-199</v>
      </c>
      <c r="M371" s="23">
        <f t="shared" si="63"/>
        <v>-199</v>
      </c>
      <c r="N371" s="23"/>
      <c r="O371" s="23">
        <v>10</v>
      </c>
    </row>
    <row r="372" spans="1:17" hidden="1" outlineLevel="1">
      <c r="A372" s="96">
        <v>45468</v>
      </c>
      <c r="B372" s="17" t="s">
        <v>19</v>
      </c>
      <c r="C372" s="68">
        <v>72</v>
      </c>
      <c r="D372" s="100">
        <v>72</v>
      </c>
      <c r="E372" s="22">
        <f t="shared" si="59"/>
        <v>54</v>
      </c>
      <c r="G372" s="83">
        <v>80</v>
      </c>
      <c r="H372" s="62">
        <f>C368+I372</f>
        <v>64</v>
      </c>
      <c r="I372" s="20"/>
      <c r="J372" s="21"/>
      <c r="K372" s="57">
        <v>64</v>
      </c>
      <c r="L372" s="23">
        <f t="shared" si="62"/>
        <v>-215</v>
      </c>
      <c r="M372" s="23">
        <f t="shared" si="63"/>
        <v>-215</v>
      </c>
      <c r="N372" s="23"/>
      <c r="O372" s="23">
        <v>6</v>
      </c>
    </row>
    <row r="373" spans="1:17" hidden="1" outlineLevel="1">
      <c r="A373" s="96">
        <v>45469</v>
      </c>
      <c r="B373" s="17" t="s">
        <v>20</v>
      </c>
      <c r="C373" s="68">
        <v>72</v>
      </c>
      <c r="D373" s="100">
        <v>72</v>
      </c>
      <c r="E373" s="22">
        <f t="shared" si="59"/>
        <v>54</v>
      </c>
      <c r="G373" s="78">
        <v>0</v>
      </c>
      <c r="H373" s="62">
        <f>C371+I373</f>
        <v>72</v>
      </c>
      <c r="I373" s="20"/>
      <c r="J373" s="21"/>
      <c r="K373" s="57">
        <v>72</v>
      </c>
      <c r="L373" s="23">
        <f t="shared" si="62"/>
        <v>-143</v>
      </c>
      <c r="M373" s="23">
        <f t="shared" si="63"/>
        <v>-143</v>
      </c>
      <c r="N373" s="23"/>
      <c r="O373" s="23">
        <v>8</v>
      </c>
    </row>
    <row r="374" spans="1:17" hidden="1" outlineLevel="1">
      <c r="A374" s="96">
        <v>45470</v>
      </c>
      <c r="B374" s="17" t="s">
        <v>14</v>
      </c>
      <c r="C374" s="68">
        <v>72</v>
      </c>
      <c r="D374" s="100">
        <v>72</v>
      </c>
      <c r="E374" s="22">
        <f t="shared" si="59"/>
        <v>54</v>
      </c>
      <c r="G374" s="78">
        <v>64</v>
      </c>
      <c r="H374" s="62">
        <f>C372+I374</f>
        <v>72</v>
      </c>
      <c r="I374" s="20"/>
      <c r="J374" s="21"/>
      <c r="K374" s="57">
        <v>72</v>
      </c>
      <c r="L374" s="23">
        <f t="shared" si="62"/>
        <v>-135</v>
      </c>
      <c r="M374" s="23">
        <f t="shared" si="63"/>
        <v>-135</v>
      </c>
      <c r="N374" s="23"/>
      <c r="O374" s="23">
        <v>16</v>
      </c>
    </row>
    <row r="375" spans="1:17" hidden="1" outlineLevel="1">
      <c r="A375" s="96">
        <v>45471</v>
      </c>
      <c r="B375" s="17" t="s">
        <v>15</v>
      </c>
      <c r="C375" s="68">
        <v>64</v>
      </c>
      <c r="D375" s="100">
        <v>64</v>
      </c>
      <c r="E375" s="22">
        <f t="shared" si="59"/>
        <v>54</v>
      </c>
      <c r="G375" s="78">
        <v>88</v>
      </c>
      <c r="H375" s="62">
        <f>C373+I375</f>
        <v>72</v>
      </c>
      <c r="I375" s="20"/>
      <c r="J375" s="21"/>
      <c r="K375" s="57">
        <v>72</v>
      </c>
      <c r="L375" s="23">
        <f t="shared" si="62"/>
        <v>-151</v>
      </c>
      <c r="M375" s="23">
        <f t="shared" si="63"/>
        <v>-151</v>
      </c>
      <c r="N375" s="23"/>
      <c r="O375" s="23"/>
      <c r="Q375" s="1">
        <f>AVERAGE(G371:G375)</f>
        <v>51.2</v>
      </c>
    </row>
    <row r="376" spans="1:17" s="12" customFormat="1" hidden="1" outlineLevel="1" collapsed="1">
      <c r="A376" s="95">
        <v>45472</v>
      </c>
      <c r="B376" s="25" t="s">
        <v>16</v>
      </c>
      <c r="C376" s="69"/>
      <c r="D376" s="99"/>
      <c r="E376" s="87">
        <f t="shared" si="59"/>
        <v>54</v>
      </c>
      <c r="G376" s="64"/>
      <c r="H376" s="63"/>
      <c r="I376" s="27"/>
      <c r="J376" s="28"/>
      <c r="K376" s="43"/>
      <c r="L376" s="29">
        <f t="shared" si="62"/>
        <v>-151</v>
      </c>
      <c r="M376" s="29">
        <f t="shared" si="63"/>
        <v>-151</v>
      </c>
      <c r="N376" s="29"/>
      <c r="O376" s="29"/>
    </row>
    <row r="377" spans="1:17" s="12" customFormat="1" hidden="1" outlineLevel="1">
      <c r="A377" s="95">
        <v>45473</v>
      </c>
      <c r="B377" s="25" t="s">
        <v>17</v>
      </c>
      <c r="C377" s="69"/>
      <c r="D377" s="99"/>
      <c r="E377" s="87">
        <f t="shared" si="59"/>
        <v>54</v>
      </c>
      <c r="G377" s="64"/>
      <c r="H377" s="63"/>
      <c r="I377" s="27"/>
      <c r="J377" s="28"/>
      <c r="K377" s="43"/>
      <c r="L377" s="29">
        <f t="shared" si="62"/>
        <v>-151</v>
      </c>
      <c r="M377" s="29">
        <f t="shared" si="63"/>
        <v>-151</v>
      </c>
      <c r="N377" s="29"/>
      <c r="O377" s="29"/>
    </row>
    <row r="378" spans="1:17" hidden="1" outlineLevel="1">
      <c r="A378" s="96">
        <v>45474</v>
      </c>
      <c r="B378" s="17" t="s">
        <v>18</v>
      </c>
      <c r="C378" s="68">
        <v>72</v>
      </c>
      <c r="D378" s="100">
        <v>72</v>
      </c>
      <c r="E378" s="22">
        <f t="shared" si="59"/>
        <v>54</v>
      </c>
      <c r="G378" s="78">
        <v>88</v>
      </c>
      <c r="H378" s="62">
        <f>C374+I378</f>
        <v>72</v>
      </c>
      <c r="I378" s="20"/>
      <c r="J378" s="21"/>
      <c r="K378" s="57">
        <v>72</v>
      </c>
      <c r="L378" s="23">
        <f t="shared" si="62"/>
        <v>-167</v>
      </c>
      <c r="M378" s="23">
        <f t="shared" si="63"/>
        <v>-167</v>
      </c>
      <c r="N378" s="23"/>
      <c r="O378" s="23">
        <v>10</v>
      </c>
    </row>
    <row r="379" spans="1:17" hidden="1" outlineLevel="1">
      <c r="A379" s="96">
        <v>45475</v>
      </c>
      <c r="B379" s="17" t="s">
        <v>19</v>
      </c>
      <c r="C379" s="68">
        <v>72</v>
      </c>
      <c r="D379" s="100">
        <v>72</v>
      </c>
      <c r="E379" s="22">
        <f t="shared" ref="E379:E442" si="64">E378-C379+D379</f>
        <v>54</v>
      </c>
      <c r="G379" s="78">
        <v>80</v>
      </c>
      <c r="H379" s="62">
        <f>C375+I379</f>
        <v>64</v>
      </c>
      <c r="I379" s="20"/>
      <c r="J379" s="21"/>
      <c r="K379" s="57">
        <v>64</v>
      </c>
      <c r="L379" s="23">
        <f t="shared" ref="L379:L409" si="65">L378-G379+K379</f>
        <v>-183</v>
      </c>
      <c r="M379" s="23">
        <f t="shared" ref="M379:M409" si="66">M378-G379+H379</f>
        <v>-183</v>
      </c>
      <c r="N379" s="23"/>
      <c r="O379" s="23">
        <v>9</v>
      </c>
    </row>
    <row r="380" spans="1:17" hidden="1" outlineLevel="1">
      <c r="A380" s="96">
        <v>45476</v>
      </c>
      <c r="B380" s="17" t="s">
        <v>20</v>
      </c>
      <c r="C380" s="68">
        <v>72</v>
      </c>
      <c r="D380" s="100">
        <v>72</v>
      </c>
      <c r="E380" s="22">
        <f t="shared" si="64"/>
        <v>54</v>
      </c>
      <c r="G380" s="78">
        <v>88</v>
      </c>
      <c r="H380" s="62">
        <f>C378+I380</f>
        <v>72</v>
      </c>
      <c r="I380" s="20"/>
      <c r="J380" s="21"/>
      <c r="K380" s="57">
        <v>72</v>
      </c>
      <c r="L380" s="23">
        <f t="shared" si="65"/>
        <v>-199</v>
      </c>
      <c r="M380" s="23">
        <f t="shared" si="66"/>
        <v>-199</v>
      </c>
      <c r="N380" s="23"/>
      <c r="O380" s="23">
        <v>6</v>
      </c>
    </row>
    <row r="381" spans="1:17" hidden="1" outlineLevel="1">
      <c r="A381" s="96">
        <v>45477</v>
      </c>
      <c r="B381" s="17" t="s">
        <v>14</v>
      </c>
      <c r="C381" s="68">
        <v>72</v>
      </c>
      <c r="D381" s="100">
        <v>72</v>
      </c>
      <c r="E381" s="22">
        <f t="shared" si="64"/>
        <v>54</v>
      </c>
      <c r="G381" s="78">
        <v>72</v>
      </c>
      <c r="H381" s="62">
        <f>C379+I381</f>
        <v>72</v>
      </c>
      <c r="I381" s="20"/>
      <c r="J381" s="21"/>
      <c r="K381" s="57">
        <v>72</v>
      </c>
      <c r="L381" s="23">
        <f t="shared" si="65"/>
        <v>-199</v>
      </c>
      <c r="M381" s="23">
        <f t="shared" si="66"/>
        <v>-199</v>
      </c>
      <c r="N381" s="23"/>
      <c r="O381" s="23">
        <v>8</v>
      </c>
    </row>
    <row r="382" spans="1:17" s="12" customFormat="1" hidden="1" outlineLevel="1" collapsed="1">
      <c r="A382" s="95">
        <v>45478</v>
      </c>
      <c r="B382" s="25" t="s">
        <v>15</v>
      </c>
      <c r="C382" s="68">
        <v>64</v>
      </c>
      <c r="D382" s="99">
        <v>64</v>
      </c>
      <c r="E382" s="87">
        <f t="shared" si="64"/>
        <v>54</v>
      </c>
      <c r="G382" s="213">
        <v>0</v>
      </c>
      <c r="H382" s="63">
        <v>0</v>
      </c>
      <c r="I382" s="27"/>
      <c r="J382" s="28"/>
      <c r="K382" s="43">
        <v>0</v>
      </c>
      <c r="L382" s="29">
        <f t="shared" si="65"/>
        <v>-199</v>
      </c>
      <c r="M382" s="29">
        <f t="shared" si="66"/>
        <v>-199</v>
      </c>
      <c r="N382" s="29"/>
      <c r="O382" s="29">
        <v>7</v>
      </c>
      <c r="Q382" s="12">
        <f>AVERAGE(G378:G382)</f>
        <v>65.599999999999994</v>
      </c>
    </row>
    <row r="383" spans="1:17" s="12" customFormat="1" hidden="1" outlineLevel="1">
      <c r="A383" s="95">
        <v>45479</v>
      </c>
      <c r="B383" s="25" t="s">
        <v>16</v>
      </c>
      <c r="C383" s="69"/>
      <c r="D383" s="99"/>
      <c r="E383" s="87">
        <f t="shared" si="64"/>
        <v>54</v>
      </c>
      <c r="G383" s="64"/>
      <c r="H383" s="63"/>
      <c r="I383" s="27"/>
      <c r="J383" s="28"/>
      <c r="K383" s="43"/>
      <c r="L383" s="29">
        <f t="shared" si="65"/>
        <v>-199</v>
      </c>
      <c r="M383" s="29">
        <f t="shared" si="66"/>
        <v>-199</v>
      </c>
      <c r="N383" s="29"/>
      <c r="O383" s="29"/>
    </row>
    <row r="384" spans="1:17" s="12" customFormat="1" hidden="1" outlineLevel="1">
      <c r="A384" s="95">
        <v>45480</v>
      </c>
      <c r="B384" s="25" t="s">
        <v>17</v>
      </c>
      <c r="C384" s="69"/>
      <c r="D384" s="99"/>
      <c r="E384" s="87">
        <f t="shared" si="64"/>
        <v>54</v>
      </c>
      <c r="G384" s="64"/>
      <c r="H384" s="63"/>
      <c r="I384" s="27"/>
      <c r="J384" s="28"/>
      <c r="K384" s="43"/>
      <c r="L384" s="29">
        <f t="shared" si="65"/>
        <v>-199</v>
      </c>
      <c r="M384" s="29">
        <f t="shared" si="66"/>
        <v>-199</v>
      </c>
      <c r="N384" s="29"/>
      <c r="O384" s="29"/>
    </row>
    <row r="385" spans="1:17" hidden="1" outlineLevel="1">
      <c r="A385" s="96">
        <v>45481</v>
      </c>
      <c r="B385" s="17" t="s">
        <v>18</v>
      </c>
      <c r="C385" s="68">
        <v>72</v>
      </c>
      <c r="D385" s="100">
        <v>72</v>
      </c>
      <c r="E385" s="22">
        <f t="shared" si="64"/>
        <v>54</v>
      </c>
      <c r="G385" s="78">
        <v>80</v>
      </c>
      <c r="H385" s="62">
        <f>C380+I385</f>
        <v>88</v>
      </c>
      <c r="I385" s="20">
        <v>16</v>
      </c>
      <c r="J385" s="21"/>
      <c r="K385" s="57">
        <v>88</v>
      </c>
      <c r="L385" s="23">
        <f t="shared" si="65"/>
        <v>-191</v>
      </c>
      <c r="M385" s="23">
        <f t="shared" si="66"/>
        <v>-191</v>
      </c>
      <c r="N385" s="23"/>
      <c r="O385" s="23"/>
    </row>
    <row r="386" spans="1:17" hidden="1" outlineLevel="1">
      <c r="A386" s="96">
        <v>45482</v>
      </c>
      <c r="B386" s="17" t="s">
        <v>19</v>
      </c>
      <c r="C386" s="68">
        <v>72</v>
      </c>
      <c r="D386" s="100">
        <v>72</v>
      </c>
      <c r="E386" s="22">
        <f t="shared" si="64"/>
        <v>54</v>
      </c>
      <c r="G386" s="78">
        <v>64</v>
      </c>
      <c r="H386" s="62">
        <f>C381+I386</f>
        <v>88</v>
      </c>
      <c r="I386" s="20">
        <v>16</v>
      </c>
      <c r="J386" s="21"/>
      <c r="K386" s="57">
        <v>88</v>
      </c>
      <c r="L386" s="23">
        <f t="shared" si="65"/>
        <v>-167</v>
      </c>
      <c r="M386" s="23">
        <f t="shared" si="66"/>
        <v>-167</v>
      </c>
      <c r="N386" s="23"/>
      <c r="O386" s="23"/>
    </row>
    <row r="387" spans="1:17" hidden="1" outlineLevel="1">
      <c r="A387" s="96">
        <v>45483</v>
      </c>
      <c r="B387" s="17" t="s">
        <v>20</v>
      </c>
      <c r="C387" s="68">
        <v>72</v>
      </c>
      <c r="D387" s="100">
        <v>72</v>
      </c>
      <c r="E387" s="22">
        <f t="shared" si="64"/>
        <v>54</v>
      </c>
      <c r="G387" s="78">
        <v>80</v>
      </c>
      <c r="H387" s="62">
        <f>C385+I387</f>
        <v>88</v>
      </c>
      <c r="I387" s="20">
        <v>16</v>
      </c>
      <c r="J387" s="21"/>
      <c r="K387" s="57">
        <v>88</v>
      </c>
      <c r="L387" s="23">
        <f t="shared" si="65"/>
        <v>-159</v>
      </c>
      <c r="M387" s="23">
        <f t="shared" si="66"/>
        <v>-159</v>
      </c>
      <c r="N387" s="23"/>
      <c r="O387" s="23">
        <v>20</v>
      </c>
    </row>
    <row r="388" spans="1:17" hidden="1" outlineLevel="1">
      <c r="A388" s="96">
        <v>45484</v>
      </c>
      <c r="B388" s="17" t="s">
        <v>14</v>
      </c>
      <c r="C388" s="68">
        <v>72</v>
      </c>
      <c r="D388" s="100">
        <v>72</v>
      </c>
      <c r="E388" s="22">
        <f t="shared" si="64"/>
        <v>54</v>
      </c>
      <c r="G388" s="78">
        <v>64</v>
      </c>
      <c r="H388" s="62">
        <f>C386+I388</f>
        <v>88</v>
      </c>
      <c r="I388" s="20">
        <v>16</v>
      </c>
      <c r="J388" s="21">
        <f>SUM(I385:I388)</f>
        <v>64</v>
      </c>
      <c r="K388" s="57">
        <v>88</v>
      </c>
      <c r="L388" s="23">
        <f t="shared" si="65"/>
        <v>-135</v>
      </c>
      <c r="M388" s="23">
        <f t="shared" si="66"/>
        <v>-135</v>
      </c>
      <c r="N388" s="23"/>
      <c r="O388" s="23"/>
    </row>
    <row r="389" spans="1:17" hidden="1" outlineLevel="1">
      <c r="A389" s="96">
        <v>45485</v>
      </c>
      <c r="B389" s="17" t="s">
        <v>15</v>
      </c>
      <c r="C389" s="68">
        <v>72</v>
      </c>
      <c r="D389" s="100">
        <v>72</v>
      </c>
      <c r="E389" s="22">
        <f t="shared" si="64"/>
        <v>54</v>
      </c>
      <c r="G389" s="78">
        <v>80</v>
      </c>
      <c r="H389" s="62">
        <f>C387+I389</f>
        <v>72</v>
      </c>
      <c r="I389" s="20"/>
      <c r="J389" s="21"/>
      <c r="K389" s="57">
        <v>72</v>
      </c>
      <c r="L389" s="23">
        <f t="shared" si="65"/>
        <v>-143</v>
      </c>
      <c r="M389" s="23">
        <f t="shared" si="66"/>
        <v>-143</v>
      </c>
      <c r="N389" s="23"/>
      <c r="O389" s="23"/>
      <c r="Q389" s="1">
        <f>AVERAGE(G385:G389)</f>
        <v>73.599999999999994</v>
      </c>
    </row>
    <row r="390" spans="1:17" s="12" customFormat="1" hidden="1" outlineLevel="1">
      <c r="A390" s="95">
        <v>45486</v>
      </c>
      <c r="B390" s="25" t="s">
        <v>16</v>
      </c>
      <c r="C390" s="69"/>
      <c r="D390" s="99"/>
      <c r="E390" s="87">
        <f t="shared" si="64"/>
        <v>54</v>
      </c>
      <c r="G390" s="64"/>
      <c r="H390" s="63"/>
      <c r="I390" s="27"/>
      <c r="J390" s="28"/>
      <c r="K390" s="43"/>
      <c r="L390" s="29">
        <f t="shared" si="65"/>
        <v>-143</v>
      </c>
      <c r="M390" s="29">
        <f t="shared" si="66"/>
        <v>-143</v>
      </c>
      <c r="N390" s="29"/>
      <c r="O390" s="29"/>
    </row>
    <row r="391" spans="1:17" s="12" customFormat="1" hidden="1" outlineLevel="1" collapsed="1">
      <c r="A391" s="95">
        <v>45487</v>
      </c>
      <c r="B391" s="25" t="s">
        <v>17</v>
      </c>
      <c r="C391" s="69"/>
      <c r="D391" s="99"/>
      <c r="E391" s="87">
        <f t="shared" si="64"/>
        <v>54</v>
      </c>
      <c r="G391" s="64"/>
      <c r="H391" s="63"/>
      <c r="I391" s="27"/>
      <c r="J391" s="28"/>
      <c r="K391" s="43"/>
      <c r="L391" s="29">
        <f t="shared" si="65"/>
        <v>-143</v>
      </c>
      <c r="M391" s="29">
        <f t="shared" si="66"/>
        <v>-143</v>
      </c>
      <c r="N391" s="29"/>
      <c r="O391" s="29"/>
    </row>
    <row r="392" spans="1:17" s="12" customFormat="1" hidden="1" outlineLevel="1">
      <c r="A392" s="95">
        <v>45488</v>
      </c>
      <c r="B392" s="25" t="s">
        <v>18</v>
      </c>
      <c r="C392" s="69"/>
      <c r="D392" s="99"/>
      <c r="E392" s="87">
        <f t="shared" si="64"/>
        <v>54</v>
      </c>
      <c r="G392" s="64"/>
      <c r="H392" s="63"/>
      <c r="I392" s="27"/>
      <c r="J392" s="28"/>
      <c r="K392" s="43"/>
      <c r="L392" s="29">
        <f t="shared" si="65"/>
        <v>-143</v>
      </c>
      <c r="M392" s="29">
        <f t="shared" si="66"/>
        <v>-143</v>
      </c>
      <c r="N392" s="29"/>
      <c r="O392" s="29"/>
    </row>
    <row r="393" spans="1:17" hidden="1" outlineLevel="1">
      <c r="A393" s="96">
        <v>45489</v>
      </c>
      <c r="B393" s="17" t="s">
        <v>19</v>
      </c>
      <c r="C393" s="68">
        <f>72-8</f>
        <v>64</v>
      </c>
      <c r="D393" s="100">
        <v>64</v>
      </c>
      <c r="E393" s="22">
        <f t="shared" si="64"/>
        <v>54</v>
      </c>
      <c r="G393" s="78">
        <v>8</v>
      </c>
      <c r="H393" s="62">
        <f>C388+I393</f>
        <v>72</v>
      </c>
      <c r="I393" s="20"/>
      <c r="J393" s="21"/>
      <c r="K393" s="57">
        <v>72</v>
      </c>
      <c r="L393" s="23">
        <f t="shared" si="65"/>
        <v>-79</v>
      </c>
      <c r="M393" s="23">
        <f t="shared" si="66"/>
        <v>-79</v>
      </c>
      <c r="N393" s="23"/>
      <c r="O393" s="23">
        <v>10</v>
      </c>
    </row>
    <row r="394" spans="1:17" hidden="1" outlineLevel="1">
      <c r="A394" s="96">
        <v>45490</v>
      </c>
      <c r="B394" s="17" t="s">
        <v>20</v>
      </c>
      <c r="C394" s="68">
        <f>72-8</f>
        <v>64</v>
      </c>
      <c r="D394" s="100">
        <v>64</v>
      </c>
      <c r="E394" s="22">
        <f t="shared" si="64"/>
        <v>54</v>
      </c>
      <c r="G394" s="78">
        <v>64</v>
      </c>
      <c r="H394" s="62">
        <f>C389+I394</f>
        <v>72</v>
      </c>
      <c r="I394" s="20"/>
      <c r="J394" s="21"/>
      <c r="K394" s="57">
        <v>72</v>
      </c>
      <c r="L394" s="23">
        <f t="shared" si="65"/>
        <v>-71</v>
      </c>
      <c r="M394" s="23">
        <f t="shared" si="66"/>
        <v>-71</v>
      </c>
      <c r="N394" s="23"/>
      <c r="O394" s="23">
        <v>8</v>
      </c>
    </row>
    <row r="395" spans="1:17" hidden="1" outlineLevel="1">
      <c r="A395" s="96">
        <v>45491</v>
      </c>
      <c r="B395" s="17" t="s">
        <v>14</v>
      </c>
      <c r="C395" s="68">
        <f>72-8</f>
        <v>64</v>
      </c>
      <c r="D395" s="100">
        <v>4</v>
      </c>
      <c r="E395" s="22">
        <f t="shared" si="64"/>
        <v>-6</v>
      </c>
      <c r="G395" s="78">
        <v>80</v>
      </c>
      <c r="H395" s="62">
        <f>C393+I395</f>
        <v>64</v>
      </c>
      <c r="I395" s="20"/>
      <c r="J395" s="21"/>
      <c r="K395" s="57">
        <v>64</v>
      </c>
      <c r="L395" s="23">
        <f t="shared" si="65"/>
        <v>-87</v>
      </c>
      <c r="M395" s="23">
        <f t="shared" si="66"/>
        <v>-87</v>
      </c>
      <c r="N395" s="23"/>
      <c r="O395" s="23">
        <v>23</v>
      </c>
    </row>
    <row r="396" spans="1:17" hidden="1" outlineLevel="1">
      <c r="A396" s="96">
        <v>45492</v>
      </c>
      <c r="B396" s="17" t="s">
        <v>15</v>
      </c>
      <c r="C396" s="68">
        <f>72-8</f>
        <v>64</v>
      </c>
      <c r="D396" s="100">
        <v>64</v>
      </c>
      <c r="E396" s="22">
        <f t="shared" si="64"/>
        <v>-6</v>
      </c>
      <c r="G396" s="78">
        <v>48</v>
      </c>
      <c r="H396" s="62">
        <f>C394+I396</f>
        <v>64</v>
      </c>
      <c r="I396" s="20"/>
      <c r="J396" s="21"/>
      <c r="K396" s="57">
        <v>64</v>
      </c>
      <c r="L396" s="23">
        <f t="shared" si="65"/>
        <v>-71</v>
      </c>
      <c r="M396" s="23">
        <f t="shared" si="66"/>
        <v>-71</v>
      </c>
      <c r="N396" s="23"/>
      <c r="O396" s="23">
        <v>6</v>
      </c>
      <c r="Q396" s="1">
        <f>AVERAGE(G393:G396)</f>
        <v>50</v>
      </c>
    </row>
    <row r="397" spans="1:17" s="12" customFormat="1" hidden="1" outlineLevel="1" collapsed="1">
      <c r="A397" s="95">
        <v>45493</v>
      </c>
      <c r="B397" s="25" t="s">
        <v>16</v>
      </c>
      <c r="C397" s="69"/>
      <c r="D397" s="99"/>
      <c r="E397" s="87">
        <f t="shared" si="64"/>
        <v>-6</v>
      </c>
      <c r="G397" s="64"/>
      <c r="H397" s="63"/>
      <c r="I397" s="27"/>
      <c r="J397" s="28"/>
      <c r="K397" s="43"/>
      <c r="L397" s="29">
        <f t="shared" si="65"/>
        <v>-71</v>
      </c>
      <c r="M397" s="29">
        <f t="shared" si="66"/>
        <v>-71</v>
      </c>
      <c r="N397" s="29"/>
      <c r="O397" s="29"/>
    </row>
    <row r="398" spans="1:17" s="12" customFormat="1" hidden="1" outlineLevel="1">
      <c r="A398" s="95">
        <v>45494</v>
      </c>
      <c r="B398" s="25" t="s">
        <v>17</v>
      </c>
      <c r="C398" s="69"/>
      <c r="D398" s="99"/>
      <c r="E398" s="87">
        <f t="shared" si="64"/>
        <v>-6</v>
      </c>
      <c r="G398" s="64"/>
      <c r="H398" s="63"/>
      <c r="I398" s="27"/>
      <c r="J398" s="28"/>
      <c r="K398" s="43"/>
      <c r="L398" s="29">
        <f t="shared" si="65"/>
        <v>-71</v>
      </c>
      <c r="M398" s="29">
        <f t="shared" si="66"/>
        <v>-71</v>
      </c>
      <c r="N398" s="29"/>
      <c r="O398" s="29"/>
    </row>
    <row r="399" spans="1:17" hidden="1" outlineLevel="1">
      <c r="A399" s="96">
        <v>45495</v>
      </c>
      <c r="B399" s="17" t="s">
        <v>18</v>
      </c>
      <c r="C399" s="68">
        <v>64</v>
      </c>
      <c r="D399" s="100">
        <v>64</v>
      </c>
      <c r="E399" s="22">
        <f t="shared" si="64"/>
        <v>-6</v>
      </c>
      <c r="G399" s="78">
        <v>72</v>
      </c>
      <c r="H399" s="62">
        <f>C395+I399</f>
        <v>64</v>
      </c>
      <c r="I399" s="20"/>
      <c r="J399" s="21"/>
      <c r="K399" s="57">
        <v>64</v>
      </c>
      <c r="L399" s="23">
        <f t="shared" si="65"/>
        <v>-79</v>
      </c>
      <c r="M399" s="23">
        <f t="shared" si="66"/>
        <v>-79</v>
      </c>
      <c r="N399" s="23"/>
      <c r="O399" s="23">
        <v>14</v>
      </c>
    </row>
    <row r="400" spans="1:17" hidden="1" outlineLevel="1">
      <c r="A400" s="96">
        <v>45496</v>
      </c>
      <c r="B400" s="17" t="s">
        <v>19</v>
      </c>
      <c r="C400" s="68">
        <v>64</v>
      </c>
      <c r="D400" s="100">
        <v>64</v>
      </c>
      <c r="E400" s="22">
        <f t="shared" si="64"/>
        <v>-6</v>
      </c>
      <c r="G400" s="78">
        <v>80</v>
      </c>
      <c r="H400" s="62">
        <f>C396+I400</f>
        <v>64</v>
      </c>
      <c r="I400" s="20"/>
      <c r="J400" s="21"/>
      <c r="K400" s="57">
        <v>64</v>
      </c>
      <c r="L400" s="23">
        <f t="shared" si="65"/>
        <v>-95</v>
      </c>
      <c r="M400" s="23">
        <f t="shared" si="66"/>
        <v>-95</v>
      </c>
      <c r="N400" s="23"/>
      <c r="O400" s="23">
        <v>0</v>
      </c>
    </row>
    <row r="401" spans="1:17" hidden="1" outlineLevel="1">
      <c r="A401" s="96">
        <v>45497</v>
      </c>
      <c r="B401" s="17" t="s">
        <v>20</v>
      </c>
      <c r="C401" s="68">
        <v>64</v>
      </c>
      <c r="D401" s="100">
        <v>64</v>
      </c>
      <c r="E401" s="22">
        <f t="shared" si="64"/>
        <v>-6</v>
      </c>
      <c r="G401" s="78">
        <v>64</v>
      </c>
      <c r="H401" s="62">
        <f>C399+I401</f>
        <v>64</v>
      </c>
      <c r="I401" s="20"/>
      <c r="J401" s="21"/>
      <c r="K401" s="57">
        <v>64</v>
      </c>
      <c r="L401" s="23">
        <f t="shared" si="65"/>
        <v>-95</v>
      </c>
      <c r="M401" s="23">
        <f t="shared" si="66"/>
        <v>-95</v>
      </c>
      <c r="N401" s="23"/>
      <c r="O401" s="23">
        <v>11</v>
      </c>
    </row>
    <row r="402" spans="1:17" hidden="1" outlineLevel="1">
      <c r="A402" s="96">
        <v>45498</v>
      </c>
      <c r="B402" s="17" t="s">
        <v>14</v>
      </c>
      <c r="C402" s="68">
        <v>64</v>
      </c>
      <c r="D402" s="100">
        <v>64</v>
      </c>
      <c r="E402" s="22">
        <f t="shared" si="64"/>
        <v>-6</v>
      </c>
      <c r="G402" s="78">
        <v>72</v>
      </c>
      <c r="H402" s="62">
        <f>C400+I402</f>
        <v>72</v>
      </c>
      <c r="I402" s="20">
        <v>8</v>
      </c>
      <c r="J402" s="21"/>
      <c r="K402" s="57">
        <v>72</v>
      </c>
      <c r="L402" s="23">
        <f t="shared" si="65"/>
        <v>-95</v>
      </c>
      <c r="M402" s="23">
        <f t="shared" si="66"/>
        <v>-95</v>
      </c>
      <c r="N402" s="23"/>
      <c r="O402" s="23">
        <v>10</v>
      </c>
    </row>
    <row r="403" spans="1:17" hidden="1" outlineLevel="1">
      <c r="A403" s="96">
        <v>45499</v>
      </c>
      <c r="B403" s="17" t="s">
        <v>15</v>
      </c>
      <c r="C403" s="68">
        <v>64</v>
      </c>
      <c r="D403" s="100">
        <v>64</v>
      </c>
      <c r="E403" s="22">
        <f t="shared" si="64"/>
        <v>-6</v>
      </c>
      <c r="G403" s="78">
        <v>64</v>
      </c>
      <c r="H403" s="62">
        <f>C401+I403</f>
        <v>64</v>
      </c>
      <c r="I403" s="20"/>
      <c r="J403" s="21"/>
      <c r="K403" s="57">
        <v>64</v>
      </c>
      <c r="L403" s="23">
        <f t="shared" si="65"/>
        <v>-95</v>
      </c>
      <c r="M403" s="23">
        <f t="shared" si="66"/>
        <v>-95</v>
      </c>
      <c r="N403" s="23"/>
      <c r="O403" s="23">
        <v>15</v>
      </c>
      <c r="Q403" s="1">
        <f>AVERAGE(G399:G403)</f>
        <v>70.400000000000006</v>
      </c>
    </row>
    <row r="404" spans="1:17" s="12" customFormat="1" hidden="1" outlineLevel="1" collapsed="1">
      <c r="A404" s="95">
        <v>45500</v>
      </c>
      <c r="B404" s="25" t="s">
        <v>16</v>
      </c>
      <c r="C404" s="69"/>
      <c r="D404" s="99"/>
      <c r="E404" s="87">
        <f t="shared" si="64"/>
        <v>-6</v>
      </c>
      <c r="G404" s="79"/>
      <c r="H404" s="63"/>
      <c r="I404" s="27"/>
      <c r="J404" s="28"/>
      <c r="K404" s="43"/>
      <c r="L404" s="29">
        <f t="shared" si="65"/>
        <v>-95</v>
      </c>
      <c r="M404" s="29">
        <f t="shared" si="66"/>
        <v>-95</v>
      </c>
      <c r="N404" s="29"/>
      <c r="O404" s="29"/>
    </row>
    <row r="405" spans="1:17" s="12" customFormat="1" hidden="1" outlineLevel="1">
      <c r="A405" s="95">
        <v>45501</v>
      </c>
      <c r="B405" s="25" t="s">
        <v>17</v>
      </c>
      <c r="C405" s="69"/>
      <c r="D405" s="99"/>
      <c r="E405" s="87">
        <f t="shared" si="64"/>
        <v>-6</v>
      </c>
      <c r="G405" s="79"/>
      <c r="H405" s="63"/>
      <c r="I405" s="27"/>
      <c r="J405" s="28"/>
      <c r="K405" s="43"/>
      <c r="L405" s="29">
        <f t="shared" si="65"/>
        <v>-95</v>
      </c>
      <c r="M405" s="29">
        <f t="shared" si="66"/>
        <v>-95</v>
      </c>
      <c r="N405" s="29"/>
      <c r="O405" s="29"/>
    </row>
    <row r="406" spans="1:17" hidden="1" outlineLevel="1">
      <c r="A406" s="96">
        <v>45502</v>
      </c>
      <c r="B406" s="17" t="s">
        <v>18</v>
      </c>
      <c r="C406" s="68">
        <v>72</v>
      </c>
      <c r="D406" s="100">
        <v>72</v>
      </c>
      <c r="E406" s="22">
        <f t="shared" si="64"/>
        <v>-6</v>
      </c>
      <c r="G406" s="78">
        <v>80</v>
      </c>
      <c r="H406" s="62">
        <f>C402+I406</f>
        <v>56</v>
      </c>
      <c r="I406" s="20">
        <v>-8</v>
      </c>
      <c r="J406" s="21"/>
      <c r="K406" s="57">
        <v>56</v>
      </c>
      <c r="L406" s="23">
        <f t="shared" si="65"/>
        <v>-119</v>
      </c>
      <c r="M406" s="23">
        <f t="shared" si="66"/>
        <v>-119</v>
      </c>
      <c r="N406" s="23"/>
      <c r="O406" s="23">
        <v>6</v>
      </c>
    </row>
    <row r="407" spans="1:17" hidden="1" outlineLevel="1">
      <c r="A407" s="96">
        <v>45503</v>
      </c>
      <c r="B407" s="17" t="s">
        <v>19</v>
      </c>
      <c r="C407" s="68">
        <v>72</v>
      </c>
      <c r="D407" s="100">
        <v>72</v>
      </c>
      <c r="E407" s="22">
        <f t="shared" si="64"/>
        <v>-6</v>
      </c>
      <c r="G407" s="78">
        <v>80</v>
      </c>
      <c r="H407" s="62">
        <f>C403+I407</f>
        <v>64</v>
      </c>
      <c r="I407" s="20"/>
      <c r="J407" s="21"/>
      <c r="K407" s="57">
        <v>64</v>
      </c>
      <c r="L407" s="23">
        <f t="shared" si="65"/>
        <v>-135</v>
      </c>
      <c r="M407" s="23">
        <f t="shared" si="66"/>
        <v>-135</v>
      </c>
      <c r="N407" s="23"/>
      <c r="O407" s="23">
        <v>6</v>
      </c>
    </row>
    <row r="408" spans="1:17" hidden="1" outlineLevel="1">
      <c r="A408" s="96">
        <v>45504</v>
      </c>
      <c r="B408" s="17" t="s">
        <v>20</v>
      </c>
      <c r="C408" s="68">
        <v>72</v>
      </c>
      <c r="D408" s="100">
        <v>72</v>
      </c>
      <c r="E408" s="22">
        <f t="shared" si="64"/>
        <v>-6</v>
      </c>
      <c r="G408" s="78">
        <v>64</v>
      </c>
      <c r="H408" s="62">
        <f>C406+I408</f>
        <v>72</v>
      </c>
      <c r="I408" s="20"/>
      <c r="J408" s="21"/>
      <c r="K408" s="57">
        <v>72</v>
      </c>
      <c r="L408" s="23">
        <f t="shared" si="65"/>
        <v>-127</v>
      </c>
      <c r="M408" s="23">
        <f t="shared" si="66"/>
        <v>-127</v>
      </c>
      <c r="N408" s="23"/>
      <c r="O408" s="23">
        <v>7</v>
      </c>
    </row>
    <row r="409" spans="1:17" hidden="1" outlineLevel="1">
      <c r="A409" s="96">
        <v>45505</v>
      </c>
      <c r="B409" s="17" t="s">
        <v>14</v>
      </c>
      <c r="C409" s="68">
        <v>72</v>
      </c>
      <c r="D409" s="100">
        <v>72</v>
      </c>
      <c r="E409" s="22">
        <f t="shared" si="64"/>
        <v>-6</v>
      </c>
      <c r="G409" s="78">
        <v>80</v>
      </c>
      <c r="H409" s="62">
        <f>C407+I409</f>
        <v>72</v>
      </c>
      <c r="I409" s="20"/>
      <c r="J409" s="21"/>
      <c r="K409" s="57">
        <v>72</v>
      </c>
      <c r="L409" s="23">
        <f t="shared" si="65"/>
        <v>-135</v>
      </c>
      <c r="M409" s="23">
        <f t="shared" si="66"/>
        <v>-135</v>
      </c>
      <c r="N409" s="23"/>
      <c r="O409" s="23">
        <v>0</v>
      </c>
    </row>
    <row r="410" spans="1:17" hidden="1" outlineLevel="1">
      <c r="A410" s="96">
        <v>45506</v>
      </c>
      <c r="B410" s="17" t="s">
        <v>15</v>
      </c>
      <c r="C410" s="68">
        <v>72</v>
      </c>
      <c r="D410" s="100">
        <v>72</v>
      </c>
      <c r="E410" s="22">
        <f t="shared" si="64"/>
        <v>-6</v>
      </c>
      <c r="G410" s="78">
        <v>64</v>
      </c>
      <c r="H410" s="62">
        <f>C408+I410</f>
        <v>72</v>
      </c>
      <c r="I410" s="20"/>
      <c r="J410" s="21"/>
      <c r="K410" s="57">
        <v>72</v>
      </c>
      <c r="L410" s="23">
        <f t="shared" ref="L410:L473" si="67">L409-G410+K410</f>
        <v>-127</v>
      </c>
      <c r="M410" s="23">
        <f t="shared" ref="M410:M470" si="68">M409-G410+H410</f>
        <v>-127</v>
      </c>
      <c r="N410" s="23"/>
      <c r="O410" s="23">
        <v>0</v>
      </c>
      <c r="Q410" s="1">
        <f>AVERAGE(G406:G410)</f>
        <v>73.599999999999994</v>
      </c>
    </row>
    <row r="411" spans="1:17" s="12" customFormat="1" hidden="1" outlineLevel="1" collapsed="1">
      <c r="A411" s="95">
        <v>45507</v>
      </c>
      <c r="B411" s="25" t="s">
        <v>16</v>
      </c>
      <c r="C411" s="69"/>
      <c r="D411" s="99"/>
      <c r="E411" s="87">
        <f t="shared" si="64"/>
        <v>-6</v>
      </c>
      <c r="G411" s="64"/>
      <c r="H411" s="63"/>
      <c r="I411" s="27"/>
      <c r="J411" s="28"/>
      <c r="K411" s="43"/>
      <c r="L411" s="29">
        <f t="shared" si="67"/>
        <v>-127</v>
      </c>
      <c r="M411" s="29">
        <f t="shared" si="68"/>
        <v>-127</v>
      </c>
      <c r="N411" s="29"/>
      <c r="O411" s="29"/>
    </row>
    <row r="412" spans="1:17" s="12" customFormat="1" hidden="1" outlineLevel="1">
      <c r="A412" s="95">
        <v>45508</v>
      </c>
      <c r="B412" s="25" t="s">
        <v>17</v>
      </c>
      <c r="C412" s="69"/>
      <c r="D412" s="99"/>
      <c r="E412" s="87">
        <f t="shared" si="64"/>
        <v>-6</v>
      </c>
      <c r="G412" s="64"/>
      <c r="H412" s="63"/>
      <c r="I412" s="27"/>
      <c r="J412" s="28"/>
      <c r="K412" s="43"/>
      <c r="L412" s="29">
        <f t="shared" si="67"/>
        <v>-127</v>
      </c>
      <c r="M412" s="29">
        <f t="shared" si="68"/>
        <v>-127</v>
      </c>
      <c r="N412" s="29"/>
      <c r="O412" s="29"/>
    </row>
    <row r="413" spans="1:17" hidden="1" outlineLevel="1">
      <c r="A413" s="96">
        <v>45509</v>
      </c>
      <c r="B413" s="17" t="s">
        <v>18</v>
      </c>
      <c r="C413" s="68">
        <v>72</v>
      </c>
      <c r="D413" s="100">
        <v>72</v>
      </c>
      <c r="E413" s="22">
        <f t="shared" si="64"/>
        <v>-6</v>
      </c>
      <c r="G413" s="78">
        <v>72</v>
      </c>
      <c r="H413" s="62">
        <f>C409+I413</f>
        <v>72</v>
      </c>
      <c r="I413" s="20"/>
      <c r="J413" s="21"/>
      <c r="K413" s="57">
        <v>72</v>
      </c>
      <c r="L413" s="23">
        <f t="shared" si="67"/>
        <v>-127</v>
      </c>
      <c r="M413" s="23">
        <f t="shared" si="68"/>
        <v>-127</v>
      </c>
      <c r="N413" s="23"/>
      <c r="O413" s="23">
        <v>14</v>
      </c>
    </row>
    <row r="414" spans="1:17" hidden="1" outlineLevel="1">
      <c r="A414" s="96">
        <v>45510</v>
      </c>
      <c r="B414" s="17" t="s">
        <v>19</v>
      </c>
      <c r="C414" s="68">
        <v>72</v>
      </c>
      <c r="D414" s="100">
        <v>104</v>
      </c>
      <c r="E414" s="22">
        <f t="shared" si="64"/>
        <v>26</v>
      </c>
      <c r="G414" s="78">
        <v>80</v>
      </c>
      <c r="H414" s="62">
        <f>C410+I414</f>
        <v>72</v>
      </c>
      <c r="I414" s="20"/>
      <c r="J414" s="21"/>
      <c r="K414" s="57">
        <v>72</v>
      </c>
      <c r="L414" s="23">
        <f t="shared" si="67"/>
        <v>-135</v>
      </c>
      <c r="M414" s="23">
        <f t="shared" si="68"/>
        <v>-135</v>
      </c>
      <c r="N414" s="23"/>
      <c r="O414" s="23">
        <v>9</v>
      </c>
    </row>
    <row r="415" spans="1:17" hidden="1" outlineLevel="1">
      <c r="A415" s="96">
        <v>45511</v>
      </c>
      <c r="B415" s="17" t="s">
        <v>20</v>
      </c>
      <c r="C415" s="68">
        <v>72</v>
      </c>
      <c r="D415" s="100">
        <v>72</v>
      </c>
      <c r="E415" s="22">
        <f t="shared" si="64"/>
        <v>26</v>
      </c>
      <c r="G415" s="78">
        <v>64</v>
      </c>
      <c r="H415" s="62">
        <f>C413+I415</f>
        <v>72</v>
      </c>
      <c r="I415" s="20"/>
      <c r="J415" s="21"/>
      <c r="K415" s="57">
        <v>72</v>
      </c>
      <c r="L415" s="23">
        <f t="shared" si="67"/>
        <v>-127</v>
      </c>
      <c r="M415" s="23">
        <f t="shared" si="68"/>
        <v>-127</v>
      </c>
      <c r="N415" s="23"/>
      <c r="O415" s="23">
        <v>13</v>
      </c>
    </row>
    <row r="416" spans="1:17" hidden="1" outlineLevel="1">
      <c r="A416" s="96">
        <v>45512</v>
      </c>
      <c r="B416" s="17" t="s">
        <v>14</v>
      </c>
      <c r="C416" s="68">
        <v>72</v>
      </c>
      <c r="D416" s="100">
        <v>72</v>
      </c>
      <c r="E416" s="22">
        <f t="shared" si="64"/>
        <v>26</v>
      </c>
      <c r="G416" s="78">
        <v>80</v>
      </c>
      <c r="H416" s="62">
        <f>C414+I416</f>
        <v>72</v>
      </c>
      <c r="I416" s="20"/>
      <c r="J416" s="21"/>
      <c r="K416" s="57">
        <v>72</v>
      </c>
      <c r="L416" s="23">
        <f t="shared" si="67"/>
        <v>-135</v>
      </c>
      <c r="M416" s="23">
        <f t="shared" si="68"/>
        <v>-135</v>
      </c>
      <c r="N416" s="23"/>
      <c r="O416" s="23">
        <v>0</v>
      </c>
    </row>
    <row r="417" spans="1:17" hidden="1" outlineLevel="1">
      <c r="A417" s="96">
        <v>45513</v>
      </c>
      <c r="B417" s="17" t="s">
        <v>15</v>
      </c>
      <c r="C417" s="68">
        <v>72</v>
      </c>
      <c r="D417" s="100">
        <v>72</v>
      </c>
      <c r="E417" s="22">
        <f t="shared" si="64"/>
        <v>26</v>
      </c>
      <c r="G417" s="78">
        <v>56</v>
      </c>
      <c r="H417" s="62">
        <f>C415+I417</f>
        <v>72</v>
      </c>
      <c r="I417" s="20"/>
      <c r="J417" s="21"/>
      <c r="K417" s="57">
        <v>72</v>
      </c>
      <c r="L417" s="23">
        <f t="shared" si="67"/>
        <v>-119</v>
      </c>
      <c r="M417" s="23">
        <f t="shared" si="68"/>
        <v>-119</v>
      </c>
      <c r="N417" s="23"/>
      <c r="O417" s="23">
        <v>5</v>
      </c>
      <c r="Q417" s="1">
        <f>AVERAGE(G413:G417)</f>
        <v>70.400000000000006</v>
      </c>
    </row>
    <row r="418" spans="1:17" s="12" customFormat="1" hidden="1" outlineLevel="1">
      <c r="A418" s="95">
        <v>45514</v>
      </c>
      <c r="B418" s="25" t="s">
        <v>16</v>
      </c>
      <c r="C418" s="69"/>
      <c r="D418" s="99"/>
      <c r="E418" s="87">
        <f t="shared" si="64"/>
        <v>26</v>
      </c>
      <c r="G418" s="64"/>
      <c r="H418" s="63"/>
      <c r="I418" s="27"/>
      <c r="J418" s="28"/>
      <c r="K418" s="43"/>
      <c r="L418" s="29">
        <f t="shared" si="67"/>
        <v>-119</v>
      </c>
      <c r="M418" s="29">
        <f t="shared" si="68"/>
        <v>-119</v>
      </c>
      <c r="N418" s="29"/>
      <c r="O418" s="29"/>
    </row>
    <row r="419" spans="1:17" s="12" customFormat="1" hidden="1" outlineLevel="1">
      <c r="A419" s="95">
        <v>45515</v>
      </c>
      <c r="B419" s="25" t="s">
        <v>17</v>
      </c>
      <c r="C419" s="69"/>
      <c r="D419" s="99"/>
      <c r="E419" s="87">
        <f t="shared" si="64"/>
        <v>26</v>
      </c>
      <c r="G419" s="64"/>
      <c r="H419" s="63"/>
      <c r="I419" s="27"/>
      <c r="J419" s="28"/>
      <c r="K419" s="43"/>
      <c r="L419" s="29">
        <f t="shared" si="67"/>
        <v>-119</v>
      </c>
      <c r="M419" s="29">
        <f t="shared" si="68"/>
        <v>-119</v>
      </c>
      <c r="N419" s="29"/>
      <c r="O419" s="29"/>
    </row>
    <row r="420" spans="1:17" s="12" customFormat="1" hidden="1" outlineLevel="1">
      <c r="A420" s="95">
        <v>45516</v>
      </c>
      <c r="B420" s="25" t="s">
        <v>18</v>
      </c>
      <c r="C420" s="69"/>
      <c r="D420" s="99"/>
      <c r="E420" s="87">
        <f t="shared" si="64"/>
        <v>26</v>
      </c>
      <c r="G420" s="64"/>
      <c r="H420" s="63"/>
      <c r="I420" s="27"/>
      <c r="J420" s="28"/>
      <c r="K420" s="43"/>
      <c r="L420" s="29">
        <f t="shared" si="67"/>
        <v>-119</v>
      </c>
      <c r="M420" s="29">
        <f t="shared" si="68"/>
        <v>-119</v>
      </c>
      <c r="N420" s="29"/>
      <c r="O420" s="29"/>
    </row>
    <row r="421" spans="1:17" s="12" customFormat="1" hidden="1" outlineLevel="1">
      <c r="A421" s="95">
        <v>45517</v>
      </c>
      <c r="B421" s="25" t="s">
        <v>19</v>
      </c>
      <c r="C421" s="69"/>
      <c r="D421" s="99"/>
      <c r="E421" s="87">
        <f t="shared" si="64"/>
        <v>26</v>
      </c>
      <c r="G421" s="64"/>
      <c r="H421" s="63"/>
      <c r="I421" s="27"/>
      <c r="J421" s="28"/>
      <c r="K421" s="43"/>
      <c r="L421" s="29">
        <f t="shared" si="67"/>
        <v>-119</v>
      </c>
      <c r="M421" s="29">
        <f t="shared" si="68"/>
        <v>-119</v>
      </c>
      <c r="N421" s="29"/>
      <c r="O421" s="29"/>
    </row>
    <row r="422" spans="1:17" s="12" customFormat="1" hidden="1" outlineLevel="1">
      <c r="A422" s="95">
        <v>45518</v>
      </c>
      <c r="B422" s="25" t="s">
        <v>20</v>
      </c>
      <c r="C422" s="69"/>
      <c r="D422" s="99"/>
      <c r="E422" s="87">
        <f t="shared" si="64"/>
        <v>26</v>
      </c>
      <c r="G422" s="64"/>
      <c r="H422" s="63"/>
      <c r="I422" s="27"/>
      <c r="J422" s="28"/>
      <c r="K422" s="43"/>
      <c r="L422" s="29">
        <f t="shared" si="67"/>
        <v>-119</v>
      </c>
      <c r="M422" s="29">
        <f t="shared" si="68"/>
        <v>-119</v>
      </c>
      <c r="N422" s="29"/>
      <c r="O422" s="29"/>
    </row>
    <row r="423" spans="1:17" s="12" customFormat="1" hidden="1" outlineLevel="1">
      <c r="A423" s="95">
        <v>45519</v>
      </c>
      <c r="B423" s="25" t="s">
        <v>14</v>
      </c>
      <c r="C423" s="69"/>
      <c r="D423" s="99"/>
      <c r="E423" s="87">
        <f t="shared" si="64"/>
        <v>26</v>
      </c>
      <c r="G423" s="64"/>
      <c r="H423" s="63"/>
      <c r="I423" s="27"/>
      <c r="J423" s="28"/>
      <c r="K423" s="43"/>
      <c r="L423" s="29">
        <f t="shared" si="67"/>
        <v>-119</v>
      </c>
      <c r="M423" s="29">
        <f t="shared" si="68"/>
        <v>-119</v>
      </c>
      <c r="N423" s="29"/>
      <c r="O423" s="29"/>
    </row>
    <row r="424" spans="1:17" s="12" customFormat="1" hidden="1" outlineLevel="1">
      <c r="A424" s="95">
        <v>45520</v>
      </c>
      <c r="B424" s="25" t="s">
        <v>15</v>
      </c>
      <c r="C424" s="69"/>
      <c r="D424" s="99"/>
      <c r="E424" s="87">
        <f t="shared" si="64"/>
        <v>26</v>
      </c>
      <c r="G424" s="64"/>
      <c r="H424" s="63"/>
      <c r="I424" s="27"/>
      <c r="J424" s="28"/>
      <c r="K424" s="43"/>
      <c r="L424" s="29">
        <f t="shared" si="67"/>
        <v>-119</v>
      </c>
      <c r="M424" s="29">
        <f t="shared" si="68"/>
        <v>-119</v>
      </c>
      <c r="N424" s="29"/>
      <c r="O424" s="29"/>
    </row>
    <row r="425" spans="1:17" s="12" customFormat="1" hidden="1" outlineLevel="1">
      <c r="A425" s="95">
        <v>45521</v>
      </c>
      <c r="B425" s="25" t="s">
        <v>16</v>
      </c>
      <c r="C425" s="69"/>
      <c r="D425" s="99"/>
      <c r="E425" s="87">
        <f t="shared" si="64"/>
        <v>26</v>
      </c>
      <c r="G425" s="64"/>
      <c r="H425" s="63"/>
      <c r="I425" s="27"/>
      <c r="J425" s="28"/>
      <c r="K425" s="43"/>
      <c r="L425" s="29">
        <f t="shared" si="67"/>
        <v>-119</v>
      </c>
      <c r="M425" s="29">
        <f t="shared" si="68"/>
        <v>-119</v>
      </c>
      <c r="N425" s="29"/>
      <c r="O425" s="29"/>
    </row>
    <row r="426" spans="1:17" s="12" customFormat="1" hidden="1" outlineLevel="1" collapsed="1">
      <c r="A426" s="95">
        <v>45522</v>
      </c>
      <c r="B426" s="25" t="s">
        <v>17</v>
      </c>
      <c r="C426" s="69"/>
      <c r="D426" s="99"/>
      <c r="E426" s="87">
        <f t="shared" si="64"/>
        <v>26</v>
      </c>
      <c r="G426" s="64"/>
      <c r="H426" s="63"/>
      <c r="I426" s="27"/>
      <c r="J426" s="28"/>
      <c r="K426" s="43"/>
      <c r="L426" s="29">
        <f t="shared" si="67"/>
        <v>-119</v>
      </c>
      <c r="M426" s="29">
        <f t="shared" si="68"/>
        <v>-119</v>
      </c>
      <c r="N426" s="29"/>
      <c r="O426" s="29"/>
    </row>
    <row r="427" spans="1:17" hidden="1" outlineLevel="1">
      <c r="A427" s="96">
        <v>45523</v>
      </c>
      <c r="B427" s="17" t="s">
        <v>18</v>
      </c>
      <c r="C427" s="68">
        <v>72</v>
      </c>
      <c r="D427" s="100">
        <v>72</v>
      </c>
      <c r="E427" s="22">
        <f t="shared" si="64"/>
        <v>26</v>
      </c>
      <c r="G427" s="78">
        <v>80</v>
      </c>
      <c r="H427" s="62">
        <f>C416+I427</f>
        <v>72</v>
      </c>
      <c r="I427" s="20"/>
      <c r="J427" s="21"/>
      <c r="K427" s="57">
        <v>72</v>
      </c>
      <c r="L427" s="23">
        <f t="shared" si="67"/>
        <v>-127</v>
      </c>
      <c r="M427" s="23">
        <f t="shared" si="68"/>
        <v>-127</v>
      </c>
      <c r="N427" s="23"/>
      <c r="O427" s="23">
        <v>18</v>
      </c>
    </row>
    <row r="428" spans="1:17" hidden="1" outlineLevel="1">
      <c r="A428" s="96">
        <v>45524</v>
      </c>
      <c r="B428" s="17" t="s">
        <v>19</v>
      </c>
      <c r="C428" s="68">
        <v>72</v>
      </c>
      <c r="D428" s="100">
        <v>72</v>
      </c>
      <c r="E428" s="22">
        <f t="shared" si="64"/>
        <v>26</v>
      </c>
      <c r="G428" s="78">
        <v>80</v>
      </c>
      <c r="H428" s="62">
        <f>C417+I428</f>
        <v>72</v>
      </c>
      <c r="I428" s="20"/>
      <c r="J428" s="21"/>
      <c r="K428" s="57">
        <v>72</v>
      </c>
      <c r="L428" s="23">
        <f t="shared" si="67"/>
        <v>-135</v>
      </c>
      <c r="M428" s="23">
        <f t="shared" si="68"/>
        <v>-135</v>
      </c>
      <c r="N428" s="23"/>
      <c r="O428" s="23">
        <v>13</v>
      </c>
    </row>
    <row r="429" spans="1:17" hidden="1" outlineLevel="1">
      <c r="A429" s="96">
        <v>45525</v>
      </c>
      <c r="B429" s="17" t="s">
        <v>20</v>
      </c>
      <c r="C429" s="68">
        <v>72</v>
      </c>
      <c r="D429" s="100">
        <v>72</v>
      </c>
      <c r="E429" s="22">
        <f t="shared" si="64"/>
        <v>26</v>
      </c>
      <c r="G429" s="78">
        <v>64</v>
      </c>
      <c r="H429" s="62">
        <f>C427+I429</f>
        <v>72</v>
      </c>
      <c r="I429" s="20"/>
      <c r="J429" s="21"/>
      <c r="K429" s="57">
        <v>72</v>
      </c>
      <c r="L429" s="23">
        <f t="shared" si="67"/>
        <v>-127</v>
      </c>
      <c r="M429" s="23">
        <f t="shared" si="68"/>
        <v>-127</v>
      </c>
      <c r="N429" s="23"/>
      <c r="O429" s="23">
        <v>9</v>
      </c>
    </row>
    <row r="430" spans="1:17" hidden="1" outlineLevel="1">
      <c r="A430" s="96">
        <v>45526</v>
      </c>
      <c r="B430" s="17" t="s">
        <v>14</v>
      </c>
      <c r="C430" s="68">
        <v>80</v>
      </c>
      <c r="D430" s="100">
        <v>80</v>
      </c>
      <c r="E430" s="22">
        <f t="shared" si="64"/>
        <v>26</v>
      </c>
      <c r="G430" s="78">
        <v>88</v>
      </c>
      <c r="H430" s="62">
        <f>C428+I430</f>
        <v>72</v>
      </c>
      <c r="I430" s="20"/>
      <c r="J430" s="21"/>
      <c r="K430" s="57">
        <v>72</v>
      </c>
      <c r="L430" s="23">
        <f t="shared" si="67"/>
        <v>-143</v>
      </c>
      <c r="M430" s="23">
        <f t="shared" si="68"/>
        <v>-143</v>
      </c>
      <c r="N430" s="23"/>
      <c r="O430" s="23">
        <v>7</v>
      </c>
    </row>
    <row r="431" spans="1:17" hidden="1" outlineLevel="1">
      <c r="A431" s="96">
        <v>45527</v>
      </c>
      <c r="B431" s="17" t="s">
        <v>15</v>
      </c>
      <c r="C431" s="68">
        <v>80</v>
      </c>
      <c r="D431" s="100">
        <v>80</v>
      </c>
      <c r="E431" s="22">
        <f t="shared" si="64"/>
        <v>26</v>
      </c>
      <c r="G431" s="78">
        <v>72</v>
      </c>
      <c r="H431" s="62">
        <f>C429+I431</f>
        <v>72</v>
      </c>
      <c r="I431" s="20"/>
      <c r="J431" s="21"/>
      <c r="K431" s="57">
        <v>72</v>
      </c>
      <c r="L431" s="23">
        <f t="shared" si="67"/>
        <v>-143</v>
      </c>
      <c r="M431" s="23">
        <f t="shared" si="68"/>
        <v>-143</v>
      </c>
      <c r="N431" s="23"/>
      <c r="O431" s="23">
        <v>11</v>
      </c>
      <c r="Q431" s="1">
        <f>AVERAGE(G427:G431)</f>
        <v>76.8</v>
      </c>
    </row>
    <row r="432" spans="1:17" s="12" customFormat="1" hidden="1" outlineLevel="1">
      <c r="A432" s="95">
        <v>45528</v>
      </c>
      <c r="B432" s="25" t="s">
        <v>16</v>
      </c>
      <c r="C432" s="69"/>
      <c r="D432" s="99"/>
      <c r="E432" s="87">
        <f t="shared" si="64"/>
        <v>26</v>
      </c>
      <c r="G432" s="64"/>
      <c r="H432" s="63"/>
      <c r="I432" s="27"/>
      <c r="J432" s="28"/>
      <c r="K432" s="43"/>
      <c r="L432" s="29">
        <f t="shared" si="67"/>
        <v>-143</v>
      </c>
      <c r="M432" s="29">
        <f t="shared" si="68"/>
        <v>-143</v>
      </c>
      <c r="N432" s="29"/>
      <c r="O432" s="29"/>
    </row>
    <row r="433" spans="1:17" s="12" customFormat="1" hidden="1" outlineLevel="1">
      <c r="A433" s="95">
        <v>45529</v>
      </c>
      <c r="B433" s="25" t="s">
        <v>17</v>
      </c>
      <c r="C433" s="69"/>
      <c r="D433" s="99"/>
      <c r="E433" s="87">
        <f t="shared" si="64"/>
        <v>26</v>
      </c>
      <c r="G433" s="64"/>
      <c r="H433" s="63"/>
      <c r="I433" s="27"/>
      <c r="J433" s="28"/>
      <c r="K433" s="43"/>
      <c r="L433" s="29">
        <f t="shared" si="67"/>
        <v>-143</v>
      </c>
      <c r="M433" s="29">
        <f t="shared" si="68"/>
        <v>-143</v>
      </c>
      <c r="N433" s="29"/>
      <c r="O433" s="29"/>
    </row>
    <row r="434" spans="1:17" hidden="1" outlineLevel="1">
      <c r="A434" s="96">
        <v>45530</v>
      </c>
      <c r="B434" s="17" t="s">
        <v>18</v>
      </c>
      <c r="C434" s="68">
        <v>80</v>
      </c>
      <c r="D434" s="100">
        <v>72</v>
      </c>
      <c r="E434" s="22">
        <f t="shared" si="64"/>
        <v>18</v>
      </c>
      <c r="G434" s="78">
        <v>80</v>
      </c>
      <c r="H434" s="62">
        <f>C430+I434</f>
        <v>80</v>
      </c>
      <c r="I434" s="20"/>
      <c r="J434" s="21"/>
      <c r="K434" s="57">
        <v>80</v>
      </c>
      <c r="L434" s="23">
        <f t="shared" si="67"/>
        <v>-143</v>
      </c>
      <c r="M434" s="23">
        <f t="shared" si="68"/>
        <v>-143</v>
      </c>
      <c r="N434" s="23"/>
      <c r="O434" s="23">
        <v>10</v>
      </c>
    </row>
    <row r="435" spans="1:17" hidden="1" outlineLevel="1">
      <c r="A435" s="96">
        <v>45531</v>
      </c>
      <c r="B435" s="17" t="s">
        <v>19</v>
      </c>
      <c r="C435" s="68">
        <v>80</v>
      </c>
      <c r="D435" s="100">
        <v>72</v>
      </c>
      <c r="E435" s="22">
        <f t="shared" si="64"/>
        <v>10</v>
      </c>
      <c r="G435" s="78">
        <v>80</v>
      </c>
      <c r="H435" s="62">
        <f>C431+I435</f>
        <v>80</v>
      </c>
      <c r="I435" s="20"/>
      <c r="J435" s="21"/>
      <c r="K435" s="57">
        <v>80</v>
      </c>
      <c r="L435" s="23">
        <f t="shared" si="67"/>
        <v>-143</v>
      </c>
      <c r="M435" s="23">
        <f t="shared" si="68"/>
        <v>-143</v>
      </c>
      <c r="N435" s="23"/>
      <c r="O435" s="23">
        <v>7</v>
      </c>
    </row>
    <row r="436" spans="1:17" hidden="1" outlineLevel="1">
      <c r="A436" s="96">
        <v>45532</v>
      </c>
      <c r="B436" s="17" t="s">
        <v>20</v>
      </c>
      <c r="C436" s="68">
        <v>80</v>
      </c>
      <c r="D436" s="100">
        <v>72</v>
      </c>
      <c r="E436" s="22">
        <f t="shared" si="64"/>
        <v>2</v>
      </c>
      <c r="G436" s="78">
        <v>64</v>
      </c>
      <c r="H436" s="62">
        <f>C434+I436</f>
        <v>80</v>
      </c>
      <c r="I436" s="20"/>
      <c r="J436" s="21"/>
      <c r="K436" s="57">
        <v>80</v>
      </c>
      <c r="L436" s="23">
        <f t="shared" si="67"/>
        <v>-127</v>
      </c>
      <c r="M436" s="23">
        <f t="shared" si="68"/>
        <v>-127</v>
      </c>
      <c r="N436" s="23"/>
      <c r="O436" s="23">
        <v>8</v>
      </c>
    </row>
    <row r="437" spans="1:17" hidden="1" outlineLevel="1">
      <c r="A437" s="96">
        <v>45533</v>
      </c>
      <c r="B437" s="17" t="s">
        <v>14</v>
      </c>
      <c r="C437" s="68">
        <v>80</v>
      </c>
      <c r="D437" s="100">
        <v>64</v>
      </c>
      <c r="E437" s="22">
        <f t="shared" si="64"/>
        <v>-14</v>
      </c>
      <c r="G437" s="78">
        <v>80</v>
      </c>
      <c r="H437" s="62">
        <f>C435+I437</f>
        <v>80</v>
      </c>
      <c r="I437" s="20"/>
      <c r="J437" s="21"/>
      <c r="K437" s="57">
        <v>80</v>
      </c>
      <c r="L437" s="23">
        <f t="shared" si="67"/>
        <v>-127</v>
      </c>
      <c r="M437" s="23">
        <f t="shared" si="68"/>
        <v>-127</v>
      </c>
      <c r="N437" s="23"/>
      <c r="O437" s="23">
        <v>8</v>
      </c>
    </row>
    <row r="438" spans="1:17" hidden="1" outlineLevel="1">
      <c r="A438" s="96">
        <v>45534</v>
      </c>
      <c r="B438" s="17" t="s">
        <v>15</v>
      </c>
      <c r="C438" s="68">
        <v>80</v>
      </c>
      <c r="D438" s="100">
        <v>64</v>
      </c>
      <c r="E438" s="22">
        <f t="shared" si="64"/>
        <v>-30</v>
      </c>
      <c r="G438" s="78">
        <v>72</v>
      </c>
      <c r="H438" s="62">
        <f>C436+I438</f>
        <v>80</v>
      </c>
      <c r="I438" s="20"/>
      <c r="J438" s="21"/>
      <c r="K438" s="57">
        <v>80</v>
      </c>
      <c r="L438" s="23">
        <f t="shared" si="67"/>
        <v>-119</v>
      </c>
      <c r="M438" s="23">
        <f t="shared" si="68"/>
        <v>-119</v>
      </c>
      <c r="N438" s="23"/>
      <c r="O438" s="23">
        <v>6</v>
      </c>
      <c r="Q438" s="1">
        <f>AVERAGE(G434:G438)</f>
        <v>75.2</v>
      </c>
    </row>
    <row r="439" spans="1:17" s="12" customFormat="1" hidden="1" outlineLevel="1">
      <c r="A439" s="95">
        <v>45535</v>
      </c>
      <c r="B439" s="25" t="s">
        <v>16</v>
      </c>
      <c r="C439" s="69"/>
      <c r="D439" s="99"/>
      <c r="E439" s="87">
        <f t="shared" si="64"/>
        <v>-30</v>
      </c>
      <c r="G439" s="79"/>
      <c r="H439" s="63"/>
      <c r="I439" s="27"/>
      <c r="J439" s="28"/>
      <c r="K439" s="43"/>
      <c r="L439" s="29">
        <f t="shared" si="67"/>
        <v>-119</v>
      </c>
      <c r="M439" s="29">
        <f t="shared" si="68"/>
        <v>-119</v>
      </c>
      <c r="N439" s="29"/>
      <c r="O439" s="29"/>
    </row>
    <row r="440" spans="1:17" s="12" customFormat="1" hidden="1" outlineLevel="1">
      <c r="A440" s="95">
        <v>45536</v>
      </c>
      <c r="B440" s="25" t="s">
        <v>17</v>
      </c>
      <c r="C440" s="69"/>
      <c r="D440" s="99"/>
      <c r="E440" s="87">
        <f t="shared" si="64"/>
        <v>-30</v>
      </c>
      <c r="G440" s="79"/>
      <c r="H440" s="63"/>
      <c r="I440" s="27"/>
      <c r="J440" s="28"/>
      <c r="K440" s="43"/>
      <c r="L440" s="29">
        <f t="shared" si="67"/>
        <v>-119</v>
      </c>
      <c r="M440" s="29">
        <f t="shared" si="68"/>
        <v>-119</v>
      </c>
      <c r="N440" s="29"/>
      <c r="O440" s="29"/>
    </row>
    <row r="441" spans="1:17" hidden="1" outlineLevel="1" collapsed="1">
      <c r="A441" s="96">
        <v>45537</v>
      </c>
      <c r="B441" s="17" t="s">
        <v>18</v>
      </c>
      <c r="C441" s="68">
        <v>80</v>
      </c>
      <c r="D441" s="100">
        <v>64</v>
      </c>
      <c r="E441" s="22">
        <f t="shared" si="64"/>
        <v>-46</v>
      </c>
      <c r="G441" s="78">
        <v>80</v>
      </c>
      <c r="H441" s="62">
        <f>C437+I441</f>
        <v>80</v>
      </c>
      <c r="I441" s="20"/>
      <c r="J441" s="21"/>
      <c r="K441" s="57">
        <v>80</v>
      </c>
      <c r="L441" s="23">
        <f t="shared" si="67"/>
        <v>-119</v>
      </c>
      <c r="M441" s="23">
        <f t="shared" si="68"/>
        <v>-119</v>
      </c>
      <c r="N441" s="23"/>
      <c r="O441" s="23">
        <v>7</v>
      </c>
    </row>
    <row r="442" spans="1:17" hidden="1" outlineLevel="1">
      <c r="A442" s="96">
        <v>45538</v>
      </c>
      <c r="B442" s="17" t="s">
        <v>19</v>
      </c>
      <c r="C442" s="68">
        <v>80</v>
      </c>
      <c r="D442" s="100">
        <v>72</v>
      </c>
      <c r="E442" s="22">
        <f t="shared" si="64"/>
        <v>-54</v>
      </c>
      <c r="G442" s="78">
        <v>88</v>
      </c>
      <c r="H442" s="62">
        <f>C438+I442</f>
        <v>80</v>
      </c>
      <c r="I442" s="20"/>
      <c r="J442" s="21"/>
      <c r="K442" s="57">
        <v>80</v>
      </c>
      <c r="L442" s="23">
        <f t="shared" si="67"/>
        <v>-127</v>
      </c>
      <c r="M442" s="23">
        <f t="shared" si="68"/>
        <v>-127</v>
      </c>
      <c r="N442" s="23"/>
      <c r="O442" s="23">
        <v>8</v>
      </c>
    </row>
    <row r="443" spans="1:17" hidden="1" outlineLevel="1">
      <c r="A443" s="96">
        <v>45539</v>
      </c>
      <c r="B443" s="17" t="s">
        <v>20</v>
      </c>
      <c r="C443" s="68">
        <v>80</v>
      </c>
      <c r="D443" s="100">
        <v>72</v>
      </c>
      <c r="E443" s="22">
        <f t="shared" ref="E443:E506" si="69">E442-C443+D443</f>
        <v>-62</v>
      </c>
      <c r="G443" s="78">
        <v>80</v>
      </c>
      <c r="H443" s="62">
        <f>C441+I443</f>
        <v>80</v>
      </c>
      <c r="I443" s="20"/>
      <c r="J443" s="21"/>
      <c r="K443" s="57">
        <v>80</v>
      </c>
      <c r="L443" s="23">
        <f t="shared" si="67"/>
        <v>-127</v>
      </c>
      <c r="M443" s="23">
        <f t="shared" si="68"/>
        <v>-127</v>
      </c>
      <c r="N443" s="23"/>
      <c r="O443" s="23">
        <v>0</v>
      </c>
    </row>
    <row r="444" spans="1:17" hidden="1" outlineLevel="1">
      <c r="A444" s="96">
        <v>45540</v>
      </c>
      <c r="B444" s="17" t="s">
        <v>14</v>
      </c>
      <c r="C444" s="68">
        <v>80</v>
      </c>
      <c r="D444" s="100">
        <v>80</v>
      </c>
      <c r="E444" s="22">
        <f t="shared" si="69"/>
        <v>-62</v>
      </c>
      <c r="G444" s="78">
        <v>104</v>
      </c>
      <c r="H444" s="62">
        <f>C442+I444</f>
        <v>80</v>
      </c>
      <c r="I444" s="20"/>
      <c r="J444" s="21"/>
      <c r="K444" s="57">
        <v>80</v>
      </c>
      <c r="L444" s="23">
        <f t="shared" si="67"/>
        <v>-151</v>
      </c>
      <c r="M444" s="23">
        <f t="shared" si="68"/>
        <v>-151</v>
      </c>
      <c r="N444" s="23"/>
      <c r="O444" s="23">
        <v>21</v>
      </c>
    </row>
    <row r="445" spans="1:17" hidden="1" outlineLevel="1">
      <c r="A445" s="96">
        <v>45541</v>
      </c>
      <c r="B445" s="17" t="s">
        <v>15</v>
      </c>
      <c r="C445" s="68">
        <v>80</v>
      </c>
      <c r="D445" s="100">
        <v>80</v>
      </c>
      <c r="E445" s="22">
        <f t="shared" si="69"/>
        <v>-62</v>
      </c>
      <c r="G445" s="78">
        <v>88</v>
      </c>
      <c r="H445" s="62">
        <f>C443+I445</f>
        <v>80</v>
      </c>
      <c r="I445" s="20"/>
      <c r="J445" s="21"/>
      <c r="K445" s="57">
        <v>80</v>
      </c>
      <c r="L445" s="23">
        <f t="shared" si="67"/>
        <v>-159</v>
      </c>
      <c r="M445" s="23">
        <f t="shared" si="68"/>
        <v>-159</v>
      </c>
      <c r="N445" s="23"/>
      <c r="O445" s="23">
        <v>9</v>
      </c>
      <c r="Q445" s="1">
        <f>AVERAGE(G441:G445)</f>
        <v>88</v>
      </c>
    </row>
    <row r="446" spans="1:17" s="12" customFormat="1" hidden="1" outlineLevel="1">
      <c r="A446" s="95">
        <v>45542</v>
      </c>
      <c r="B446" s="25" t="s">
        <v>16</v>
      </c>
      <c r="C446" s="69"/>
      <c r="D446" s="99"/>
      <c r="E446" s="87">
        <f t="shared" si="69"/>
        <v>-62</v>
      </c>
      <c r="G446" s="64"/>
      <c r="H446" s="63"/>
      <c r="I446" s="27"/>
      <c r="J446" s="28"/>
      <c r="K446" s="43"/>
      <c r="L446" s="29">
        <f t="shared" si="67"/>
        <v>-159</v>
      </c>
      <c r="M446" s="29">
        <f t="shared" si="68"/>
        <v>-159</v>
      </c>
      <c r="N446" s="29"/>
      <c r="O446" s="29"/>
    </row>
    <row r="447" spans="1:17" s="12" customFormat="1" hidden="1" outlineLevel="1">
      <c r="A447" s="95">
        <v>45543</v>
      </c>
      <c r="B447" s="25" t="s">
        <v>17</v>
      </c>
      <c r="C447" s="69"/>
      <c r="D447" s="99"/>
      <c r="E447" s="87">
        <f t="shared" si="69"/>
        <v>-62</v>
      </c>
      <c r="G447" s="64"/>
      <c r="H447" s="63"/>
      <c r="I447" s="27"/>
      <c r="J447" s="28"/>
      <c r="K447" s="43"/>
      <c r="L447" s="29">
        <f t="shared" si="67"/>
        <v>-159</v>
      </c>
      <c r="M447" s="29">
        <f t="shared" si="68"/>
        <v>-159</v>
      </c>
      <c r="N447" s="29"/>
      <c r="O447" s="29"/>
    </row>
    <row r="448" spans="1:17" hidden="1" outlineLevel="1">
      <c r="A448" s="96">
        <v>45544</v>
      </c>
      <c r="B448" s="17" t="s">
        <v>18</v>
      </c>
      <c r="C448" s="68">
        <v>80</v>
      </c>
      <c r="D448" s="100">
        <v>72</v>
      </c>
      <c r="E448" s="22">
        <f t="shared" si="69"/>
        <v>-70</v>
      </c>
      <c r="G448" s="78">
        <v>56</v>
      </c>
      <c r="H448" s="62">
        <f>C444+I448</f>
        <v>80</v>
      </c>
      <c r="I448" s="20"/>
      <c r="J448" s="21"/>
      <c r="K448" s="57">
        <v>80</v>
      </c>
      <c r="L448" s="23">
        <f t="shared" si="67"/>
        <v>-135</v>
      </c>
      <c r="M448" s="23">
        <f t="shared" si="68"/>
        <v>-135</v>
      </c>
      <c r="N448" s="23"/>
      <c r="O448" s="23">
        <v>10</v>
      </c>
    </row>
    <row r="449" spans="1:17" hidden="1" outlineLevel="1">
      <c r="A449" s="96">
        <v>45545</v>
      </c>
      <c r="B449" s="17" t="s">
        <v>19</v>
      </c>
      <c r="C449" s="68">
        <v>80</v>
      </c>
      <c r="D449" s="100">
        <v>72</v>
      </c>
      <c r="E449" s="22">
        <f t="shared" si="69"/>
        <v>-78</v>
      </c>
      <c r="G449" s="78">
        <v>96</v>
      </c>
      <c r="H449" s="62">
        <f>C445+I449</f>
        <v>80</v>
      </c>
      <c r="I449" s="20"/>
      <c r="J449" s="21"/>
      <c r="K449" s="57">
        <v>80</v>
      </c>
      <c r="L449" s="23">
        <f t="shared" si="67"/>
        <v>-151</v>
      </c>
      <c r="M449" s="23">
        <f t="shared" si="68"/>
        <v>-151</v>
      </c>
      <c r="N449" s="23"/>
      <c r="O449" s="23">
        <v>0</v>
      </c>
    </row>
    <row r="450" spans="1:17" hidden="1" outlineLevel="1">
      <c r="A450" s="96">
        <v>45546</v>
      </c>
      <c r="B450" s="17" t="s">
        <v>20</v>
      </c>
      <c r="C450" s="68">
        <v>80</v>
      </c>
      <c r="D450" s="100">
        <v>80</v>
      </c>
      <c r="E450" s="22">
        <f t="shared" si="69"/>
        <v>-78</v>
      </c>
      <c r="G450" s="78">
        <v>80</v>
      </c>
      <c r="H450" s="62">
        <f>C448+I450</f>
        <v>80</v>
      </c>
      <c r="I450" s="20"/>
      <c r="J450" s="21"/>
      <c r="K450" s="57">
        <v>80</v>
      </c>
      <c r="L450" s="23">
        <f t="shared" si="67"/>
        <v>-151</v>
      </c>
      <c r="M450" s="23">
        <f t="shared" si="68"/>
        <v>-151</v>
      </c>
      <c r="N450" s="23"/>
      <c r="O450" s="23">
        <v>9</v>
      </c>
    </row>
    <row r="451" spans="1:17" hidden="1" outlineLevel="1">
      <c r="A451" s="96">
        <v>45547</v>
      </c>
      <c r="B451" s="17" t="s">
        <v>14</v>
      </c>
      <c r="C451" s="68">
        <v>80</v>
      </c>
      <c r="D451" s="100">
        <v>80</v>
      </c>
      <c r="E451" s="22">
        <f t="shared" si="69"/>
        <v>-78</v>
      </c>
      <c r="G451" s="78">
        <v>64</v>
      </c>
      <c r="H451" s="62">
        <f>C449+I451</f>
        <v>80</v>
      </c>
      <c r="I451" s="20"/>
      <c r="J451" s="21"/>
      <c r="K451" s="57">
        <v>80</v>
      </c>
      <c r="L451" s="23">
        <f t="shared" si="67"/>
        <v>-135</v>
      </c>
      <c r="M451" s="23">
        <f t="shared" si="68"/>
        <v>-135</v>
      </c>
      <c r="N451" s="23"/>
      <c r="O451" s="23">
        <v>18</v>
      </c>
    </row>
    <row r="452" spans="1:17" hidden="1" outlineLevel="1">
      <c r="A452" s="96">
        <v>45548</v>
      </c>
      <c r="B452" s="17" t="s">
        <v>15</v>
      </c>
      <c r="C452" s="68">
        <v>80</v>
      </c>
      <c r="D452" s="100">
        <v>80</v>
      </c>
      <c r="E452" s="22">
        <f t="shared" si="69"/>
        <v>-78</v>
      </c>
      <c r="G452" s="78">
        <v>88</v>
      </c>
      <c r="H452" s="62">
        <f>C450+I452</f>
        <v>80</v>
      </c>
      <c r="I452" s="20"/>
      <c r="J452" s="21"/>
      <c r="K452" s="57">
        <v>80</v>
      </c>
      <c r="L452" s="23">
        <f t="shared" si="67"/>
        <v>-143</v>
      </c>
      <c r="M452" s="23">
        <f t="shared" si="68"/>
        <v>-143</v>
      </c>
      <c r="N452" s="23"/>
      <c r="O452" s="23">
        <v>9</v>
      </c>
      <c r="Q452" s="1">
        <f>AVERAGE(G448:G452)</f>
        <v>76.8</v>
      </c>
    </row>
    <row r="453" spans="1:17" s="12" customFormat="1" hidden="1" outlineLevel="1">
      <c r="A453" s="95">
        <v>45549</v>
      </c>
      <c r="B453" s="25" t="s">
        <v>16</v>
      </c>
      <c r="C453" s="69"/>
      <c r="D453" s="99"/>
      <c r="E453" s="87">
        <f t="shared" si="69"/>
        <v>-78</v>
      </c>
      <c r="G453" s="64"/>
      <c r="H453" s="63"/>
      <c r="I453" s="27"/>
      <c r="J453" s="28"/>
      <c r="K453" s="43"/>
      <c r="L453" s="29">
        <f t="shared" si="67"/>
        <v>-143</v>
      </c>
      <c r="M453" s="29">
        <f t="shared" si="68"/>
        <v>-143</v>
      </c>
      <c r="N453" s="29"/>
      <c r="O453" s="29"/>
    </row>
    <row r="454" spans="1:17" s="12" customFormat="1" hidden="1" outlineLevel="1">
      <c r="A454" s="95">
        <v>45550</v>
      </c>
      <c r="B454" s="25" t="s">
        <v>17</v>
      </c>
      <c r="C454" s="69"/>
      <c r="D454" s="99"/>
      <c r="E454" s="87">
        <f t="shared" si="69"/>
        <v>-78</v>
      </c>
      <c r="G454" s="64"/>
      <c r="H454" s="63"/>
      <c r="I454" s="27"/>
      <c r="J454" s="28"/>
      <c r="K454" s="43"/>
      <c r="L454" s="29">
        <f t="shared" si="67"/>
        <v>-143</v>
      </c>
      <c r="M454" s="29">
        <f t="shared" si="68"/>
        <v>-143</v>
      </c>
      <c r="N454" s="29"/>
      <c r="O454" s="29"/>
    </row>
    <row r="455" spans="1:17" s="12" customFormat="1" hidden="1" outlineLevel="1" collapsed="1">
      <c r="A455" s="95">
        <v>45551</v>
      </c>
      <c r="B455" s="25" t="s">
        <v>18</v>
      </c>
      <c r="C455" s="69"/>
      <c r="D455" s="99"/>
      <c r="E455" s="87">
        <f t="shared" si="69"/>
        <v>-78</v>
      </c>
      <c r="G455" s="64"/>
      <c r="H455" s="63"/>
      <c r="I455" s="27"/>
      <c r="J455" s="28"/>
      <c r="K455" s="43"/>
      <c r="L455" s="29">
        <f t="shared" si="67"/>
        <v>-143</v>
      </c>
      <c r="M455" s="29">
        <f t="shared" si="68"/>
        <v>-143</v>
      </c>
      <c r="N455" s="29"/>
      <c r="O455" s="29"/>
    </row>
    <row r="456" spans="1:17" hidden="1" outlineLevel="1">
      <c r="A456" s="96">
        <v>45552</v>
      </c>
      <c r="B456" s="17" t="s">
        <v>19</v>
      </c>
      <c r="C456" s="68">
        <f>72-24</f>
        <v>48</v>
      </c>
      <c r="D456" s="100">
        <v>60</v>
      </c>
      <c r="E456" s="22">
        <f t="shared" si="69"/>
        <v>-66</v>
      </c>
      <c r="G456" s="78">
        <v>56</v>
      </c>
      <c r="H456" s="62">
        <f>C451+I456</f>
        <v>80</v>
      </c>
      <c r="I456" s="20"/>
      <c r="J456" s="21"/>
      <c r="K456" s="57">
        <v>80</v>
      </c>
      <c r="L456" s="23">
        <f t="shared" si="67"/>
        <v>-119</v>
      </c>
      <c r="M456" s="23">
        <f t="shared" si="68"/>
        <v>-119</v>
      </c>
      <c r="N456" s="23"/>
      <c r="O456" s="23">
        <v>0</v>
      </c>
    </row>
    <row r="457" spans="1:17" hidden="1" outlineLevel="1">
      <c r="A457" s="96">
        <v>45553</v>
      </c>
      <c r="B457" s="17" t="s">
        <v>20</v>
      </c>
      <c r="C457" s="68">
        <f t="shared" ref="C457:C459" si="70">72-24</f>
        <v>48</v>
      </c>
      <c r="D457" s="100"/>
      <c r="E457" s="22">
        <f t="shared" si="69"/>
        <v>-114</v>
      </c>
      <c r="G457" s="78">
        <v>72</v>
      </c>
      <c r="H457" s="62">
        <f>C452+I457</f>
        <v>80</v>
      </c>
      <c r="I457" s="20"/>
      <c r="J457" s="21"/>
      <c r="K457" s="57">
        <v>80</v>
      </c>
      <c r="L457" s="23">
        <f t="shared" si="67"/>
        <v>-111</v>
      </c>
      <c r="M457" s="23">
        <f t="shared" si="68"/>
        <v>-111</v>
      </c>
      <c r="N457" s="23"/>
      <c r="O457" s="23">
        <v>21</v>
      </c>
    </row>
    <row r="458" spans="1:17" hidden="1" outlineLevel="1">
      <c r="A458" s="96">
        <v>45554</v>
      </c>
      <c r="B458" s="17" t="s">
        <v>14</v>
      </c>
      <c r="C458" s="68">
        <f t="shared" si="70"/>
        <v>48</v>
      </c>
      <c r="D458" s="100"/>
      <c r="E458" s="22">
        <f t="shared" si="69"/>
        <v>-162</v>
      </c>
      <c r="G458" s="78">
        <v>0</v>
      </c>
      <c r="H458" s="62">
        <f>C456+I458</f>
        <v>48</v>
      </c>
      <c r="I458" s="20"/>
      <c r="J458" s="21"/>
      <c r="K458" s="57">
        <v>48</v>
      </c>
      <c r="L458" s="23">
        <f t="shared" si="67"/>
        <v>-63</v>
      </c>
      <c r="M458" s="23">
        <f t="shared" si="68"/>
        <v>-63</v>
      </c>
      <c r="N458" s="23"/>
      <c r="O458" s="23">
        <v>7</v>
      </c>
    </row>
    <row r="459" spans="1:17" hidden="1" outlineLevel="1">
      <c r="A459" s="96">
        <v>45555</v>
      </c>
      <c r="B459" s="17" t="s">
        <v>15</v>
      </c>
      <c r="C459" s="68">
        <f t="shared" si="70"/>
        <v>48</v>
      </c>
      <c r="D459" s="100"/>
      <c r="E459" s="22">
        <f t="shared" si="69"/>
        <v>-210</v>
      </c>
      <c r="G459" s="78">
        <v>48</v>
      </c>
      <c r="H459" s="62">
        <f>C457+I459</f>
        <v>48</v>
      </c>
      <c r="I459" s="20"/>
      <c r="J459" s="21"/>
      <c r="K459" s="57">
        <v>48</v>
      </c>
      <c r="L459" s="23">
        <f t="shared" si="67"/>
        <v>-63</v>
      </c>
      <c r="M459" s="23">
        <f t="shared" si="68"/>
        <v>-63</v>
      </c>
      <c r="N459" s="23"/>
      <c r="O459" s="23">
        <v>0</v>
      </c>
      <c r="Q459" s="1">
        <f>AVERAGE(G456:G459)</f>
        <v>44</v>
      </c>
    </row>
    <row r="460" spans="1:17" s="12" customFormat="1" hidden="1" outlineLevel="1">
      <c r="A460" s="95">
        <v>45556</v>
      </c>
      <c r="B460" s="25" t="s">
        <v>16</v>
      </c>
      <c r="C460" s="69"/>
      <c r="D460" s="99"/>
      <c r="E460" s="87">
        <f t="shared" si="69"/>
        <v>-210</v>
      </c>
      <c r="G460" s="64"/>
      <c r="H460" s="63"/>
      <c r="I460" s="27"/>
      <c r="J460" s="28"/>
      <c r="K460" s="43"/>
      <c r="L460" s="29">
        <f t="shared" si="67"/>
        <v>-63</v>
      </c>
      <c r="M460" s="29">
        <f t="shared" si="68"/>
        <v>-63</v>
      </c>
      <c r="N460" s="29"/>
      <c r="O460" s="29"/>
    </row>
    <row r="461" spans="1:17" s="12" customFormat="1" hidden="1" outlineLevel="1">
      <c r="A461" s="95">
        <v>45557</v>
      </c>
      <c r="B461" s="25" t="s">
        <v>17</v>
      </c>
      <c r="C461" s="69"/>
      <c r="D461" s="99"/>
      <c r="E461" s="87">
        <f t="shared" si="69"/>
        <v>-210</v>
      </c>
      <c r="G461" s="64"/>
      <c r="H461" s="63"/>
      <c r="I461" s="27"/>
      <c r="J461" s="28"/>
      <c r="K461" s="43"/>
      <c r="L461" s="29">
        <f t="shared" si="67"/>
        <v>-63</v>
      </c>
      <c r="M461" s="29">
        <f t="shared" si="68"/>
        <v>-63</v>
      </c>
      <c r="N461" s="29"/>
      <c r="O461" s="29"/>
    </row>
    <row r="462" spans="1:17" hidden="1" outlineLevel="1" collapsed="1">
      <c r="A462" s="96">
        <v>45558</v>
      </c>
      <c r="B462" s="17" t="s">
        <v>18</v>
      </c>
      <c r="C462" s="68">
        <v>72</v>
      </c>
      <c r="D462" s="100"/>
      <c r="E462" s="22">
        <f t="shared" si="69"/>
        <v>-282</v>
      </c>
      <c r="G462" s="78">
        <v>80</v>
      </c>
      <c r="H462" s="62">
        <f>C458+I462</f>
        <v>48</v>
      </c>
      <c r="I462" s="20"/>
      <c r="J462" s="21"/>
      <c r="K462" s="57">
        <v>48</v>
      </c>
      <c r="L462" s="23">
        <f t="shared" si="67"/>
        <v>-95</v>
      </c>
      <c r="M462" s="23">
        <f t="shared" si="68"/>
        <v>-95</v>
      </c>
      <c r="N462" s="23"/>
      <c r="O462" s="23">
        <v>15</v>
      </c>
    </row>
    <row r="463" spans="1:17" hidden="1" outlineLevel="1">
      <c r="A463" s="96">
        <v>45559</v>
      </c>
      <c r="B463" s="17" t="s">
        <v>19</v>
      </c>
      <c r="C463" s="68">
        <f>72-3</f>
        <v>69</v>
      </c>
      <c r="D463" s="100"/>
      <c r="E463" s="22">
        <f t="shared" si="69"/>
        <v>-351</v>
      </c>
      <c r="G463" s="78">
        <v>88</v>
      </c>
      <c r="H463" s="62">
        <f>C459+I463</f>
        <v>48</v>
      </c>
      <c r="I463" s="20"/>
      <c r="J463" s="21"/>
      <c r="K463" s="57">
        <v>48</v>
      </c>
      <c r="L463" s="23">
        <f t="shared" si="67"/>
        <v>-135</v>
      </c>
      <c r="M463" s="23">
        <f t="shared" si="68"/>
        <v>-135</v>
      </c>
      <c r="N463" s="23"/>
      <c r="O463" s="23">
        <v>0</v>
      </c>
    </row>
    <row r="464" spans="1:17" hidden="1" outlineLevel="1">
      <c r="A464" s="96">
        <v>45560</v>
      </c>
      <c r="B464" s="17" t="s">
        <v>20</v>
      </c>
      <c r="C464" s="68">
        <v>72</v>
      </c>
      <c r="D464" s="100"/>
      <c r="E464" s="22">
        <f t="shared" si="69"/>
        <v>-423</v>
      </c>
      <c r="G464" s="78">
        <v>64</v>
      </c>
      <c r="H464" s="62">
        <f>C462+I464</f>
        <v>72</v>
      </c>
      <c r="I464" s="20"/>
      <c r="J464" s="21"/>
      <c r="K464" s="57">
        <v>72</v>
      </c>
      <c r="L464" s="23">
        <f t="shared" si="67"/>
        <v>-127</v>
      </c>
      <c r="M464" s="23">
        <f t="shared" si="68"/>
        <v>-127</v>
      </c>
      <c r="N464" s="23"/>
      <c r="O464" s="23">
        <v>25</v>
      </c>
    </row>
    <row r="465" spans="1:17" hidden="1" outlineLevel="1">
      <c r="A465" s="96">
        <v>45561</v>
      </c>
      <c r="B465" s="17" t="s">
        <v>14</v>
      </c>
      <c r="C465" s="68">
        <v>72</v>
      </c>
      <c r="D465" s="100"/>
      <c r="E465" s="22">
        <f t="shared" si="69"/>
        <v>-495</v>
      </c>
      <c r="G465" s="78">
        <f>72+5</f>
        <v>77</v>
      </c>
      <c r="H465" s="62">
        <f>C463+I465</f>
        <v>77</v>
      </c>
      <c r="I465" s="20">
        <v>8</v>
      </c>
      <c r="J465" s="21"/>
      <c r="K465" s="57">
        <v>77</v>
      </c>
      <c r="L465" s="23">
        <f t="shared" si="67"/>
        <v>-127</v>
      </c>
      <c r="M465" s="23">
        <f t="shared" si="68"/>
        <v>-127</v>
      </c>
      <c r="N465" s="23"/>
      <c r="O465" s="23">
        <v>10</v>
      </c>
    </row>
    <row r="466" spans="1:17" hidden="1" outlineLevel="1">
      <c r="A466" s="96">
        <v>45562</v>
      </c>
      <c r="B466" s="17" t="s">
        <v>15</v>
      </c>
      <c r="C466" s="68">
        <v>72</v>
      </c>
      <c r="D466" s="100"/>
      <c r="E466" s="22">
        <f t="shared" si="69"/>
        <v>-567</v>
      </c>
      <c r="G466" s="78">
        <v>56</v>
      </c>
      <c r="H466" s="62">
        <f>C464+I466</f>
        <v>72</v>
      </c>
      <c r="I466" s="20"/>
      <c r="J466" s="21"/>
      <c r="K466" s="57">
        <v>72</v>
      </c>
      <c r="L466" s="23">
        <f t="shared" si="67"/>
        <v>-111</v>
      </c>
      <c r="M466" s="23">
        <f t="shared" si="68"/>
        <v>-111</v>
      </c>
      <c r="N466" s="23"/>
      <c r="O466" s="23">
        <v>0</v>
      </c>
      <c r="Q466" s="1">
        <f>AVERAGE(G462:G466)</f>
        <v>73</v>
      </c>
    </row>
    <row r="467" spans="1:17" s="12" customFormat="1" hidden="1" outlineLevel="1">
      <c r="A467" s="95">
        <v>45563</v>
      </c>
      <c r="B467" s="25" t="s">
        <v>16</v>
      </c>
      <c r="C467" s="69"/>
      <c r="D467" s="99"/>
      <c r="E467" s="87">
        <f t="shared" si="69"/>
        <v>-567</v>
      </c>
      <c r="G467" s="79"/>
      <c r="H467" s="63"/>
      <c r="I467" s="27"/>
      <c r="J467" s="28"/>
      <c r="K467" s="43"/>
      <c r="L467" s="29">
        <f t="shared" si="67"/>
        <v>-111</v>
      </c>
      <c r="M467" s="29">
        <f t="shared" si="68"/>
        <v>-111</v>
      </c>
      <c r="N467" s="29"/>
      <c r="O467" s="29"/>
    </row>
    <row r="468" spans="1:17" s="12" customFormat="1" hidden="1" outlineLevel="1" collapsed="1">
      <c r="A468" s="95">
        <v>45564</v>
      </c>
      <c r="B468" s="25" t="s">
        <v>17</v>
      </c>
      <c r="C468" s="69"/>
      <c r="D468" s="99"/>
      <c r="E468" s="87">
        <f t="shared" si="69"/>
        <v>-567</v>
      </c>
      <c r="G468" s="79"/>
      <c r="H468" s="63"/>
      <c r="I468" s="27"/>
      <c r="J468" s="28"/>
      <c r="K468" s="43"/>
      <c r="L468" s="29">
        <f t="shared" si="67"/>
        <v>-111</v>
      </c>
      <c r="M468" s="29">
        <f t="shared" si="68"/>
        <v>-111</v>
      </c>
      <c r="N468" s="29"/>
      <c r="O468" s="29"/>
    </row>
    <row r="469" spans="1:17" hidden="1" outlineLevel="1">
      <c r="A469" s="96">
        <v>45565</v>
      </c>
      <c r="B469" s="17" t="s">
        <v>18</v>
      </c>
      <c r="C469" s="68">
        <v>88</v>
      </c>
      <c r="D469" s="100"/>
      <c r="E469" s="22">
        <f t="shared" si="69"/>
        <v>-655</v>
      </c>
      <c r="G469" s="78">
        <v>104</v>
      </c>
      <c r="H469" s="62">
        <f>C465+I469</f>
        <v>72</v>
      </c>
      <c r="I469" s="20"/>
      <c r="J469" s="21"/>
      <c r="K469" s="57">
        <v>72</v>
      </c>
      <c r="L469" s="23">
        <f t="shared" si="67"/>
        <v>-143</v>
      </c>
      <c r="M469" s="23">
        <f t="shared" si="68"/>
        <v>-143</v>
      </c>
      <c r="N469" s="23"/>
      <c r="O469" s="23">
        <v>12</v>
      </c>
    </row>
    <row r="470" spans="1:17" hidden="1" outlineLevel="1">
      <c r="A470" s="96">
        <v>45566</v>
      </c>
      <c r="B470" s="17" t="s">
        <v>19</v>
      </c>
      <c r="C470" s="68">
        <v>88</v>
      </c>
      <c r="D470" s="100"/>
      <c r="E470" s="22">
        <f t="shared" si="69"/>
        <v>-743</v>
      </c>
      <c r="G470" s="78">
        <v>104</v>
      </c>
      <c r="H470" s="62">
        <f>C466+I470</f>
        <v>72</v>
      </c>
      <c r="I470" s="20"/>
      <c r="J470" s="21"/>
      <c r="K470" s="57">
        <v>72</v>
      </c>
      <c r="L470" s="23">
        <f t="shared" si="67"/>
        <v>-175</v>
      </c>
      <c r="M470" s="23">
        <f t="shared" si="68"/>
        <v>-175</v>
      </c>
      <c r="N470" s="23"/>
      <c r="O470" s="23">
        <v>11</v>
      </c>
    </row>
    <row r="471" spans="1:17" hidden="1" outlineLevel="1">
      <c r="A471" s="96">
        <v>45567</v>
      </c>
      <c r="B471" s="17" t="s">
        <v>20</v>
      </c>
      <c r="C471" s="68">
        <v>88</v>
      </c>
      <c r="D471" s="100"/>
      <c r="E471" s="22">
        <f t="shared" si="69"/>
        <v>-831</v>
      </c>
      <c r="G471" s="78">
        <v>80</v>
      </c>
      <c r="H471" s="62">
        <f>C469+I471</f>
        <v>88</v>
      </c>
      <c r="I471" s="20"/>
      <c r="J471" s="21"/>
      <c r="K471" s="57">
        <v>88</v>
      </c>
      <c r="L471" s="23">
        <f t="shared" si="67"/>
        <v>-167</v>
      </c>
      <c r="M471" s="23">
        <f t="shared" ref="M471:M500" si="71">M470-G471+H471</f>
        <v>-167</v>
      </c>
      <c r="N471" s="23"/>
      <c r="O471" s="23">
        <v>0</v>
      </c>
    </row>
    <row r="472" spans="1:17" hidden="1" outlineLevel="1">
      <c r="A472" s="96">
        <v>45568</v>
      </c>
      <c r="B472" s="17" t="s">
        <v>14</v>
      </c>
      <c r="C472" s="68">
        <v>88</v>
      </c>
      <c r="D472" s="100"/>
      <c r="E472" s="22">
        <f t="shared" si="69"/>
        <v>-919</v>
      </c>
      <c r="G472" s="78">
        <v>104</v>
      </c>
      <c r="H472" s="62">
        <f>C470+I472</f>
        <v>88</v>
      </c>
      <c r="I472" s="20"/>
      <c r="J472" s="21"/>
      <c r="K472" s="57">
        <v>88</v>
      </c>
      <c r="L472" s="23">
        <f t="shared" si="67"/>
        <v>-183</v>
      </c>
      <c r="M472" s="23">
        <f t="shared" si="71"/>
        <v>-183</v>
      </c>
      <c r="N472" s="23"/>
      <c r="O472" s="23">
        <v>7</v>
      </c>
    </row>
    <row r="473" spans="1:17" hidden="1" outlineLevel="1">
      <c r="A473" s="96">
        <v>45569</v>
      </c>
      <c r="B473" s="17" t="s">
        <v>15</v>
      </c>
      <c r="C473" s="68">
        <v>88</v>
      </c>
      <c r="D473" s="100"/>
      <c r="E473" s="22">
        <f t="shared" si="69"/>
        <v>-1007</v>
      </c>
      <c r="G473" s="78">
        <v>0</v>
      </c>
      <c r="H473" s="62">
        <f>C471+I473</f>
        <v>88</v>
      </c>
      <c r="I473" s="20"/>
      <c r="J473" s="21"/>
      <c r="K473" s="57">
        <v>88</v>
      </c>
      <c r="L473" s="23">
        <f t="shared" si="67"/>
        <v>-95</v>
      </c>
      <c r="M473" s="23">
        <f t="shared" si="71"/>
        <v>-95</v>
      </c>
      <c r="N473" s="23"/>
      <c r="O473" s="23">
        <v>5</v>
      </c>
      <c r="Q473" s="1">
        <f>AVERAGE(G469:G473)</f>
        <v>78.400000000000006</v>
      </c>
    </row>
    <row r="474" spans="1:17" s="12" customFormat="1" hidden="1" outlineLevel="1">
      <c r="A474" s="95">
        <v>45570</v>
      </c>
      <c r="B474" s="25" t="s">
        <v>16</v>
      </c>
      <c r="C474" s="69"/>
      <c r="D474" s="99"/>
      <c r="E474" s="87">
        <f t="shared" si="69"/>
        <v>-1007</v>
      </c>
      <c r="G474" s="64"/>
      <c r="H474" s="63"/>
      <c r="I474" s="27"/>
      <c r="J474" s="28"/>
      <c r="K474" s="43"/>
      <c r="L474" s="29">
        <f t="shared" ref="L474:L500" si="72">L473-G474+K474</f>
        <v>-95</v>
      </c>
      <c r="M474" s="29">
        <f t="shared" si="71"/>
        <v>-95</v>
      </c>
      <c r="N474" s="29"/>
      <c r="O474" s="29"/>
    </row>
    <row r="475" spans="1:17" s="12" customFormat="1" hidden="1" outlineLevel="1" collapsed="1">
      <c r="A475" s="95">
        <v>45571</v>
      </c>
      <c r="B475" s="25" t="s">
        <v>17</v>
      </c>
      <c r="C475" s="69"/>
      <c r="D475" s="99"/>
      <c r="E475" s="87">
        <f t="shared" si="69"/>
        <v>-1007</v>
      </c>
      <c r="G475" s="64"/>
      <c r="H475" s="63"/>
      <c r="I475" s="27"/>
      <c r="J475" s="28"/>
      <c r="K475" s="43"/>
      <c r="L475" s="29">
        <f t="shared" si="72"/>
        <v>-95</v>
      </c>
      <c r="M475" s="29">
        <f t="shared" si="71"/>
        <v>-95</v>
      </c>
      <c r="N475" s="29"/>
      <c r="O475" s="29"/>
    </row>
    <row r="476" spans="1:17" hidden="1" outlineLevel="1">
      <c r="A476" s="96">
        <v>45572</v>
      </c>
      <c r="B476" s="17" t="s">
        <v>18</v>
      </c>
      <c r="C476" s="68">
        <f>72-16</f>
        <v>56</v>
      </c>
      <c r="D476" s="100"/>
      <c r="E476" s="22">
        <f t="shared" si="69"/>
        <v>-1063</v>
      </c>
      <c r="G476" s="78">
        <v>64</v>
      </c>
      <c r="H476" s="62">
        <f>C472+I476</f>
        <v>88</v>
      </c>
      <c r="I476" s="20"/>
      <c r="J476" s="21"/>
      <c r="K476" s="57">
        <v>88</v>
      </c>
      <c r="L476" s="23">
        <f t="shared" si="72"/>
        <v>-71</v>
      </c>
      <c r="M476" s="23">
        <f t="shared" si="71"/>
        <v>-71</v>
      </c>
      <c r="N476" s="23"/>
      <c r="O476" s="23">
        <v>12</v>
      </c>
    </row>
    <row r="477" spans="1:17" hidden="1" outlineLevel="1">
      <c r="A477" s="96">
        <v>45573</v>
      </c>
      <c r="B477" s="17" t="s">
        <v>19</v>
      </c>
      <c r="C477" s="68">
        <f t="shared" ref="C477:C480" si="73">72-16</f>
        <v>56</v>
      </c>
      <c r="D477" s="100"/>
      <c r="E477" s="22">
        <f t="shared" si="69"/>
        <v>-1119</v>
      </c>
      <c r="G477" s="78">
        <v>72</v>
      </c>
      <c r="H477" s="62">
        <f>C473+I477</f>
        <v>88</v>
      </c>
      <c r="I477" s="20"/>
      <c r="J477" s="21"/>
      <c r="K477" s="57">
        <v>88</v>
      </c>
      <c r="L477" s="23">
        <f t="shared" si="72"/>
        <v>-55</v>
      </c>
      <c r="M477" s="23">
        <f t="shared" si="71"/>
        <v>-55</v>
      </c>
      <c r="N477" s="23"/>
      <c r="O477" s="23">
        <v>0</v>
      </c>
    </row>
    <row r="478" spans="1:17" hidden="1" outlineLevel="1">
      <c r="A478" s="96">
        <v>45574</v>
      </c>
      <c r="B478" s="17" t="s">
        <v>20</v>
      </c>
      <c r="C478" s="68">
        <f t="shared" si="73"/>
        <v>56</v>
      </c>
      <c r="D478" s="100"/>
      <c r="E478" s="22">
        <f t="shared" si="69"/>
        <v>-1175</v>
      </c>
      <c r="G478" s="78">
        <v>72</v>
      </c>
      <c r="H478" s="62">
        <f>C476+I478</f>
        <v>56</v>
      </c>
      <c r="I478" s="20"/>
      <c r="J478" s="21"/>
      <c r="K478" s="57">
        <v>56</v>
      </c>
      <c r="L478" s="23">
        <f t="shared" si="72"/>
        <v>-71</v>
      </c>
      <c r="M478" s="23">
        <f t="shared" si="71"/>
        <v>-71</v>
      </c>
      <c r="N478" s="23"/>
      <c r="O478" s="23">
        <v>17</v>
      </c>
    </row>
    <row r="479" spans="1:17" hidden="1" outlineLevel="1">
      <c r="A479" s="96">
        <v>45575</v>
      </c>
      <c r="B479" s="17" t="s">
        <v>14</v>
      </c>
      <c r="C479" s="68">
        <f t="shared" si="73"/>
        <v>56</v>
      </c>
      <c r="D479" s="100"/>
      <c r="E479" s="22">
        <f t="shared" si="69"/>
        <v>-1231</v>
      </c>
      <c r="G479" s="78">
        <v>72</v>
      </c>
      <c r="H479" s="62">
        <f>C477+I479</f>
        <v>56</v>
      </c>
      <c r="I479" s="20"/>
      <c r="J479" s="21"/>
      <c r="K479" s="57">
        <v>56</v>
      </c>
      <c r="L479" s="23">
        <f t="shared" si="72"/>
        <v>-87</v>
      </c>
      <c r="M479" s="23">
        <f t="shared" si="71"/>
        <v>-87</v>
      </c>
      <c r="N479" s="23"/>
      <c r="O479" s="23">
        <v>11</v>
      </c>
    </row>
    <row r="480" spans="1:17" hidden="1" outlineLevel="1">
      <c r="A480" s="96">
        <v>45576</v>
      </c>
      <c r="B480" s="17" t="s">
        <v>15</v>
      </c>
      <c r="C480" s="68">
        <f t="shared" si="73"/>
        <v>56</v>
      </c>
      <c r="D480" s="100"/>
      <c r="E480" s="22">
        <f t="shared" si="69"/>
        <v>-1287</v>
      </c>
      <c r="G480" s="78">
        <v>88</v>
      </c>
      <c r="H480" s="62">
        <f>C478+I480</f>
        <v>56</v>
      </c>
      <c r="I480" s="20"/>
      <c r="J480" s="21"/>
      <c r="K480" s="57">
        <v>56</v>
      </c>
      <c r="L480" s="23">
        <f t="shared" si="72"/>
        <v>-119</v>
      </c>
      <c r="M480" s="23">
        <f t="shared" si="71"/>
        <v>-119</v>
      </c>
      <c r="N480" s="23"/>
      <c r="O480" s="23">
        <v>10</v>
      </c>
      <c r="Q480" s="1">
        <f>AVERAGE(G476:G480)</f>
        <v>73.599999999999994</v>
      </c>
    </row>
    <row r="481" spans="1:17" s="12" customFormat="1" hidden="1" outlineLevel="1">
      <c r="A481" s="95">
        <v>45577</v>
      </c>
      <c r="B481" s="25" t="s">
        <v>16</v>
      </c>
      <c r="C481" s="69"/>
      <c r="D481" s="99"/>
      <c r="E481" s="87">
        <f t="shared" si="69"/>
        <v>-1287</v>
      </c>
      <c r="G481" s="64"/>
      <c r="H481" s="63"/>
      <c r="I481" s="27"/>
      <c r="J481" s="28"/>
      <c r="K481" s="43"/>
      <c r="L481" s="29">
        <f t="shared" si="72"/>
        <v>-119</v>
      </c>
      <c r="M481" s="29">
        <f t="shared" si="71"/>
        <v>-119</v>
      </c>
      <c r="N481" s="29"/>
      <c r="O481" s="29"/>
    </row>
    <row r="482" spans="1:17" s="12" customFormat="1" hidden="1" outlineLevel="1">
      <c r="A482" s="95">
        <v>45578</v>
      </c>
      <c r="B482" s="25" t="s">
        <v>17</v>
      </c>
      <c r="C482" s="69"/>
      <c r="D482" s="99"/>
      <c r="E482" s="87">
        <f t="shared" si="69"/>
        <v>-1287</v>
      </c>
      <c r="G482" s="64"/>
      <c r="H482" s="63"/>
      <c r="I482" s="27"/>
      <c r="J482" s="28"/>
      <c r="K482" s="43"/>
      <c r="L482" s="29">
        <f t="shared" si="72"/>
        <v>-119</v>
      </c>
      <c r="M482" s="29">
        <f t="shared" si="71"/>
        <v>-119</v>
      </c>
      <c r="N482" s="29"/>
      <c r="O482" s="29"/>
    </row>
    <row r="483" spans="1:17" s="12" customFormat="1" hidden="1" outlineLevel="1" collapsed="1">
      <c r="A483" s="95">
        <v>45579</v>
      </c>
      <c r="B483" s="25" t="s">
        <v>18</v>
      </c>
      <c r="C483" s="69"/>
      <c r="D483" s="99"/>
      <c r="E483" s="87">
        <f t="shared" si="69"/>
        <v>-1287</v>
      </c>
      <c r="G483" s="64"/>
      <c r="H483" s="63"/>
      <c r="I483" s="27"/>
      <c r="J483" s="28"/>
      <c r="K483" s="43"/>
      <c r="L483" s="29">
        <f t="shared" si="72"/>
        <v>-119</v>
      </c>
      <c r="M483" s="29">
        <f t="shared" si="71"/>
        <v>-119</v>
      </c>
      <c r="N483" s="29"/>
      <c r="O483" s="29"/>
    </row>
    <row r="484" spans="1:17" hidden="1" outlineLevel="1">
      <c r="A484" s="96">
        <v>45580</v>
      </c>
      <c r="B484" s="17" t="s">
        <v>19</v>
      </c>
      <c r="C484" s="68">
        <v>64</v>
      </c>
      <c r="D484" s="100"/>
      <c r="E484" s="22">
        <f t="shared" si="69"/>
        <v>-1351</v>
      </c>
      <c r="G484" s="78">
        <v>72</v>
      </c>
      <c r="H484" s="62">
        <f>C479+I484</f>
        <v>56</v>
      </c>
      <c r="I484" s="20"/>
      <c r="J484" s="21"/>
      <c r="K484" s="57">
        <v>56</v>
      </c>
      <c r="L484" s="23">
        <f t="shared" si="72"/>
        <v>-135</v>
      </c>
      <c r="M484" s="23">
        <f t="shared" si="71"/>
        <v>-135</v>
      </c>
      <c r="N484" s="23"/>
      <c r="O484" s="23">
        <v>8</v>
      </c>
    </row>
    <row r="485" spans="1:17" hidden="1" outlineLevel="1">
      <c r="A485" s="96">
        <v>45581</v>
      </c>
      <c r="B485" s="17" t="s">
        <v>20</v>
      </c>
      <c r="C485" s="68">
        <v>64</v>
      </c>
      <c r="D485" s="100"/>
      <c r="E485" s="22">
        <f t="shared" si="69"/>
        <v>-1415</v>
      </c>
      <c r="G485" s="78">
        <v>32</v>
      </c>
      <c r="H485" s="62">
        <f>C480+I485</f>
        <v>64</v>
      </c>
      <c r="I485" s="20">
        <v>8</v>
      </c>
      <c r="J485" s="21"/>
      <c r="K485" s="57">
        <v>64</v>
      </c>
      <c r="L485" s="23">
        <f t="shared" si="72"/>
        <v>-103</v>
      </c>
      <c r="M485" s="23">
        <f t="shared" si="71"/>
        <v>-103</v>
      </c>
      <c r="N485" s="23"/>
      <c r="O485" s="23">
        <v>5</v>
      </c>
    </row>
    <row r="486" spans="1:17" hidden="1" outlineLevel="1">
      <c r="A486" s="96">
        <v>45582</v>
      </c>
      <c r="B486" s="17" t="s">
        <v>14</v>
      </c>
      <c r="C486" s="68">
        <v>64</v>
      </c>
      <c r="D486" s="100"/>
      <c r="E486" s="22">
        <f t="shared" si="69"/>
        <v>-1479</v>
      </c>
      <c r="G486" s="78">
        <v>56</v>
      </c>
      <c r="H486" s="62">
        <f>C484+I486</f>
        <v>64</v>
      </c>
      <c r="I486" s="20"/>
      <c r="J486" s="21"/>
      <c r="K486" s="57">
        <v>64</v>
      </c>
      <c r="L486" s="23">
        <f t="shared" si="72"/>
        <v>-95</v>
      </c>
      <c r="M486" s="23">
        <f t="shared" si="71"/>
        <v>-95</v>
      </c>
      <c r="N486" s="23"/>
      <c r="O486" s="23">
        <v>14</v>
      </c>
    </row>
    <row r="487" spans="1:17" hidden="1" outlineLevel="1">
      <c r="A487" s="96">
        <v>45583</v>
      </c>
      <c r="B487" s="17" t="s">
        <v>15</v>
      </c>
      <c r="C487" s="68">
        <v>64</v>
      </c>
      <c r="D487" s="100"/>
      <c r="E487" s="22">
        <f t="shared" si="69"/>
        <v>-1543</v>
      </c>
      <c r="G487" s="78">
        <v>64</v>
      </c>
      <c r="H487" s="62">
        <f>C485+I487</f>
        <v>64</v>
      </c>
      <c r="I487" s="20"/>
      <c r="J487" s="21"/>
      <c r="K487" s="57">
        <v>64</v>
      </c>
      <c r="L487" s="23">
        <f t="shared" si="72"/>
        <v>-95</v>
      </c>
      <c r="M487" s="23">
        <f t="shared" si="71"/>
        <v>-95</v>
      </c>
      <c r="N487" s="23"/>
      <c r="O487" s="23">
        <v>8</v>
      </c>
      <c r="Q487" s="1">
        <f>AVERAGE(G484:G487)</f>
        <v>56</v>
      </c>
    </row>
    <row r="488" spans="1:17" s="12" customFormat="1" hidden="1" outlineLevel="1">
      <c r="A488" s="95">
        <v>45584</v>
      </c>
      <c r="B488" s="25" t="s">
        <v>16</v>
      </c>
      <c r="C488" s="69"/>
      <c r="D488" s="99"/>
      <c r="E488" s="87">
        <f t="shared" si="69"/>
        <v>-1543</v>
      </c>
      <c r="G488" s="79"/>
      <c r="H488" s="63"/>
      <c r="I488" s="27"/>
      <c r="J488" s="28"/>
      <c r="K488" s="43"/>
      <c r="L488" s="29">
        <f t="shared" si="72"/>
        <v>-95</v>
      </c>
      <c r="M488" s="29">
        <f t="shared" si="71"/>
        <v>-95</v>
      </c>
      <c r="N488" s="29"/>
      <c r="O488" s="29"/>
    </row>
    <row r="489" spans="1:17" s="12" customFormat="1" hidden="1" outlineLevel="1" collapsed="1">
      <c r="A489" s="95">
        <v>45585</v>
      </c>
      <c r="B489" s="25" t="s">
        <v>17</v>
      </c>
      <c r="C489" s="69"/>
      <c r="D489" s="99"/>
      <c r="E489" s="87">
        <f t="shared" si="69"/>
        <v>-1543</v>
      </c>
      <c r="G489" s="79"/>
      <c r="H489" s="63"/>
      <c r="I489" s="27"/>
      <c r="J489" s="28"/>
      <c r="K489" s="43"/>
      <c r="L489" s="29">
        <f t="shared" si="72"/>
        <v>-95</v>
      </c>
      <c r="M489" s="29">
        <f t="shared" si="71"/>
        <v>-95</v>
      </c>
      <c r="N489" s="29"/>
      <c r="O489" s="29"/>
    </row>
    <row r="490" spans="1:17" hidden="1" outlineLevel="1">
      <c r="A490" s="96">
        <v>45586</v>
      </c>
      <c r="B490" s="17" t="s">
        <v>18</v>
      </c>
      <c r="C490" s="68">
        <v>72</v>
      </c>
      <c r="D490" s="100"/>
      <c r="E490" s="22">
        <f t="shared" si="69"/>
        <v>-1615</v>
      </c>
      <c r="G490" s="78">
        <v>88</v>
      </c>
      <c r="H490" s="62">
        <f>C486+I490</f>
        <v>64</v>
      </c>
      <c r="I490" s="20"/>
      <c r="J490" s="21"/>
      <c r="K490" s="57">
        <v>64</v>
      </c>
      <c r="L490" s="23">
        <f t="shared" si="72"/>
        <v>-119</v>
      </c>
      <c r="M490" s="23">
        <f t="shared" si="71"/>
        <v>-119</v>
      </c>
      <c r="N490" s="23"/>
      <c r="O490" s="23">
        <v>4</v>
      </c>
    </row>
    <row r="491" spans="1:17" hidden="1" outlineLevel="1">
      <c r="A491" s="96">
        <v>45587</v>
      </c>
      <c r="B491" s="17" t="s">
        <v>19</v>
      </c>
      <c r="C491" s="68">
        <v>72</v>
      </c>
      <c r="D491" s="100"/>
      <c r="E491" s="22">
        <f t="shared" si="69"/>
        <v>-1687</v>
      </c>
      <c r="G491" s="78">
        <v>72</v>
      </c>
      <c r="H491" s="62">
        <f>C487+I491</f>
        <v>64</v>
      </c>
      <c r="I491" s="20"/>
      <c r="J491" s="21"/>
      <c r="K491" s="57">
        <v>64</v>
      </c>
      <c r="L491" s="23">
        <f t="shared" si="72"/>
        <v>-127</v>
      </c>
      <c r="M491" s="23">
        <f t="shared" si="71"/>
        <v>-127</v>
      </c>
      <c r="N491" s="23"/>
      <c r="O491" s="23">
        <v>8</v>
      </c>
    </row>
    <row r="492" spans="1:17" hidden="1" outlineLevel="1">
      <c r="A492" s="96">
        <v>45588</v>
      </c>
      <c r="B492" s="17" t="s">
        <v>20</v>
      </c>
      <c r="C492" s="68">
        <v>72</v>
      </c>
      <c r="D492" s="100"/>
      <c r="E492" s="22">
        <f t="shared" si="69"/>
        <v>-1759</v>
      </c>
      <c r="G492" s="78">
        <v>72</v>
      </c>
      <c r="H492" s="62">
        <f>C490+I492</f>
        <v>72</v>
      </c>
      <c r="I492" s="20"/>
      <c r="J492" s="21"/>
      <c r="K492" s="57">
        <v>72</v>
      </c>
      <c r="L492" s="23">
        <f t="shared" si="72"/>
        <v>-127</v>
      </c>
      <c r="M492" s="23">
        <f t="shared" si="71"/>
        <v>-127</v>
      </c>
      <c r="N492" s="23"/>
      <c r="O492" s="23">
        <v>17</v>
      </c>
    </row>
    <row r="493" spans="1:17" hidden="1" outlineLevel="1">
      <c r="A493" s="96">
        <v>45589</v>
      </c>
      <c r="B493" s="17" t="s">
        <v>14</v>
      </c>
      <c r="C493" s="68">
        <v>72</v>
      </c>
      <c r="D493" s="100"/>
      <c r="E493" s="22">
        <f t="shared" si="69"/>
        <v>-1831</v>
      </c>
      <c r="G493" s="78">
        <v>64</v>
      </c>
      <c r="H493" s="62">
        <f>C491+I493</f>
        <v>72</v>
      </c>
      <c r="I493" s="20"/>
      <c r="J493" s="21"/>
      <c r="K493" s="57">
        <v>72</v>
      </c>
      <c r="L493" s="23">
        <f t="shared" si="72"/>
        <v>-119</v>
      </c>
      <c r="M493" s="23">
        <f t="shared" si="71"/>
        <v>-119</v>
      </c>
      <c r="N493" s="23"/>
      <c r="O493" s="23">
        <v>9</v>
      </c>
    </row>
    <row r="494" spans="1:17" hidden="1" outlineLevel="1">
      <c r="A494" s="96">
        <v>45590</v>
      </c>
      <c r="B494" s="17" t="s">
        <v>15</v>
      </c>
      <c r="C494" s="68">
        <v>72</v>
      </c>
      <c r="D494" s="100"/>
      <c r="E494" s="22">
        <f t="shared" si="69"/>
        <v>-1903</v>
      </c>
      <c r="G494" s="78">
        <v>72</v>
      </c>
      <c r="H494" s="62">
        <f>C492+I494</f>
        <v>72</v>
      </c>
      <c r="I494" s="20"/>
      <c r="J494" s="21"/>
      <c r="K494" s="57">
        <v>72</v>
      </c>
      <c r="L494" s="23">
        <f t="shared" si="72"/>
        <v>-119</v>
      </c>
      <c r="M494" s="23">
        <f t="shared" si="71"/>
        <v>-119</v>
      </c>
      <c r="N494" s="23"/>
      <c r="O494" s="23">
        <v>0</v>
      </c>
      <c r="Q494" s="1">
        <f>AVERAGE(G490:G494)</f>
        <v>73.599999999999994</v>
      </c>
    </row>
    <row r="495" spans="1:17" s="12" customFormat="1" hidden="1" outlineLevel="1">
      <c r="A495" s="95">
        <v>45591</v>
      </c>
      <c r="B495" s="25" t="s">
        <v>16</v>
      </c>
      <c r="C495" s="69"/>
      <c r="D495" s="99"/>
      <c r="E495" s="87">
        <f t="shared" si="69"/>
        <v>-1903</v>
      </c>
      <c r="G495" s="79"/>
      <c r="H495" s="63"/>
      <c r="I495" s="27"/>
      <c r="J495" s="28"/>
      <c r="K495" s="43"/>
      <c r="L495" s="29">
        <f t="shared" si="72"/>
        <v>-119</v>
      </c>
      <c r="M495" s="29">
        <f t="shared" si="71"/>
        <v>-119</v>
      </c>
      <c r="N495" s="29"/>
      <c r="O495" s="29"/>
    </row>
    <row r="496" spans="1:17" s="12" customFormat="1" hidden="1" outlineLevel="1" collapsed="1">
      <c r="A496" s="95">
        <v>45592</v>
      </c>
      <c r="B496" s="25" t="s">
        <v>17</v>
      </c>
      <c r="C496" s="69"/>
      <c r="D496" s="99"/>
      <c r="E496" s="87">
        <f t="shared" si="69"/>
        <v>-1903</v>
      </c>
      <c r="G496" s="79"/>
      <c r="H496" s="63"/>
      <c r="I496" s="27"/>
      <c r="J496" s="28"/>
      <c r="K496" s="43"/>
      <c r="L496" s="29">
        <f t="shared" si="72"/>
        <v>-119</v>
      </c>
      <c r="M496" s="29">
        <f t="shared" si="71"/>
        <v>-119</v>
      </c>
      <c r="N496" s="29"/>
      <c r="O496" s="29"/>
    </row>
    <row r="497" spans="1:17" hidden="1" outlineLevel="1">
      <c r="A497" s="96">
        <v>45593</v>
      </c>
      <c r="B497" s="17" t="s">
        <v>18</v>
      </c>
      <c r="C497" s="68">
        <v>80</v>
      </c>
      <c r="D497" s="100"/>
      <c r="E497" s="22">
        <f t="shared" si="69"/>
        <v>-1983</v>
      </c>
      <c r="G497" s="78">
        <v>88</v>
      </c>
      <c r="H497" s="62">
        <f>C493+I497</f>
        <v>72</v>
      </c>
      <c r="I497" s="20"/>
      <c r="J497" s="21"/>
      <c r="K497" s="57">
        <v>72</v>
      </c>
      <c r="L497" s="23">
        <f t="shared" si="72"/>
        <v>-135</v>
      </c>
      <c r="M497" s="23">
        <f t="shared" si="71"/>
        <v>-135</v>
      </c>
      <c r="N497" s="23"/>
      <c r="O497" s="23">
        <v>7</v>
      </c>
    </row>
    <row r="498" spans="1:17" hidden="1" outlineLevel="1">
      <c r="A498" s="96">
        <v>45594</v>
      </c>
      <c r="B498" s="17" t="s">
        <v>19</v>
      </c>
      <c r="C498" s="68">
        <v>80</v>
      </c>
      <c r="D498" s="100"/>
      <c r="E498" s="22">
        <f t="shared" si="69"/>
        <v>-2063</v>
      </c>
      <c r="G498" s="78">
        <v>64</v>
      </c>
      <c r="H498" s="62">
        <f>C494+I498</f>
        <v>72</v>
      </c>
      <c r="I498" s="20"/>
      <c r="J498" s="21"/>
      <c r="K498" s="57">
        <v>72</v>
      </c>
      <c r="L498" s="23">
        <f t="shared" si="72"/>
        <v>-127</v>
      </c>
      <c r="M498" s="23">
        <f t="shared" si="71"/>
        <v>-127</v>
      </c>
      <c r="N498" s="23"/>
      <c r="O498" s="23">
        <v>10</v>
      </c>
    </row>
    <row r="499" spans="1:17" hidden="1" outlineLevel="1">
      <c r="A499" s="96">
        <v>45595</v>
      </c>
      <c r="B499" s="17" t="s">
        <v>20</v>
      </c>
      <c r="C499" s="68">
        <v>80</v>
      </c>
      <c r="D499" s="100"/>
      <c r="E499" s="22">
        <f t="shared" si="69"/>
        <v>-2143</v>
      </c>
      <c r="G499" s="78">
        <v>72</v>
      </c>
      <c r="H499" s="62">
        <f>C497+I499</f>
        <v>80</v>
      </c>
      <c r="I499" s="20"/>
      <c r="J499" s="21"/>
      <c r="K499" s="57">
        <v>80</v>
      </c>
      <c r="L499" s="23">
        <f t="shared" si="72"/>
        <v>-119</v>
      </c>
      <c r="M499" s="23">
        <f t="shared" si="71"/>
        <v>-119</v>
      </c>
      <c r="N499" s="23"/>
      <c r="O499" s="23">
        <f>11+8</f>
        <v>19</v>
      </c>
    </row>
    <row r="500" spans="1:17" hidden="1" outlineLevel="1">
      <c r="A500" s="96">
        <v>45596</v>
      </c>
      <c r="B500" s="17" t="s">
        <v>14</v>
      </c>
      <c r="C500" s="68">
        <v>80</v>
      </c>
      <c r="D500" s="100"/>
      <c r="E500" s="22">
        <f t="shared" si="69"/>
        <v>-2223</v>
      </c>
      <c r="G500" s="78">
        <v>72</v>
      </c>
      <c r="H500" s="62">
        <f>C498+I500</f>
        <v>80</v>
      </c>
      <c r="I500" s="20"/>
      <c r="J500" s="21"/>
      <c r="K500" s="57">
        <v>80</v>
      </c>
      <c r="L500" s="23">
        <f t="shared" si="72"/>
        <v>-111</v>
      </c>
      <c r="M500" s="23">
        <f t="shared" si="71"/>
        <v>-111</v>
      </c>
      <c r="N500" s="23"/>
      <c r="O500" s="23">
        <v>7</v>
      </c>
    </row>
    <row r="501" spans="1:17" hidden="1" outlineLevel="1">
      <c r="A501" s="96">
        <v>45597</v>
      </c>
      <c r="B501" s="17" t="s">
        <v>15</v>
      </c>
      <c r="C501" s="68">
        <v>80</v>
      </c>
      <c r="D501" s="100"/>
      <c r="E501" s="22">
        <f t="shared" si="69"/>
        <v>-2303</v>
      </c>
      <c r="G501" s="78">
        <v>88</v>
      </c>
      <c r="H501" s="62">
        <f>C499+I501</f>
        <v>80</v>
      </c>
      <c r="I501" s="20"/>
      <c r="J501" s="21"/>
      <c r="K501" s="57">
        <v>80</v>
      </c>
      <c r="L501" s="23">
        <f t="shared" ref="L501:L530" si="74">L500-G501+K501</f>
        <v>-119</v>
      </c>
      <c r="M501" s="23">
        <f t="shared" ref="M501:M530" si="75">M500-G501+H501</f>
        <v>-119</v>
      </c>
      <c r="N501" s="23"/>
      <c r="O501" s="23">
        <v>12</v>
      </c>
      <c r="Q501" s="1">
        <f>AVERAGE(G497:G501)</f>
        <v>76.8</v>
      </c>
    </row>
    <row r="502" spans="1:17" s="12" customFormat="1" hidden="1" outlineLevel="1">
      <c r="A502" s="95">
        <v>45598</v>
      </c>
      <c r="B502" s="25" t="s">
        <v>16</v>
      </c>
      <c r="C502" s="69"/>
      <c r="D502" s="99"/>
      <c r="E502" s="87">
        <f t="shared" si="69"/>
        <v>-2303</v>
      </c>
      <c r="G502" s="79"/>
      <c r="H502" s="63"/>
      <c r="I502" s="27"/>
      <c r="J502" s="28"/>
      <c r="K502" s="43"/>
      <c r="L502" s="29">
        <f t="shared" si="74"/>
        <v>-119</v>
      </c>
      <c r="M502" s="29">
        <f t="shared" si="75"/>
        <v>-119</v>
      </c>
      <c r="N502" s="29"/>
      <c r="O502" s="29"/>
    </row>
    <row r="503" spans="1:17" s="12" customFormat="1" hidden="1" outlineLevel="1">
      <c r="A503" s="95">
        <v>45599</v>
      </c>
      <c r="B503" s="25" t="s">
        <v>17</v>
      </c>
      <c r="C503" s="69"/>
      <c r="D503" s="99"/>
      <c r="E503" s="87">
        <f t="shared" si="69"/>
        <v>-2303</v>
      </c>
      <c r="G503" s="79"/>
      <c r="H503" s="63"/>
      <c r="I503" s="27"/>
      <c r="J503" s="28"/>
      <c r="K503" s="43"/>
      <c r="L503" s="29">
        <f t="shared" si="74"/>
        <v>-119</v>
      </c>
      <c r="M503" s="29">
        <f t="shared" si="75"/>
        <v>-119</v>
      </c>
      <c r="N503" s="29"/>
      <c r="O503" s="29"/>
    </row>
    <row r="504" spans="1:17" s="12" customFormat="1" hidden="1" outlineLevel="1" collapsed="1">
      <c r="A504" s="95">
        <v>45600</v>
      </c>
      <c r="B504" s="25" t="s">
        <v>18</v>
      </c>
      <c r="C504" s="69"/>
      <c r="D504" s="99"/>
      <c r="E504" s="87">
        <f t="shared" si="69"/>
        <v>-2303</v>
      </c>
      <c r="G504" s="79"/>
      <c r="H504" s="63"/>
      <c r="I504" s="27"/>
      <c r="J504" s="28"/>
      <c r="K504" s="43"/>
      <c r="L504" s="29">
        <f t="shared" si="74"/>
        <v>-119</v>
      </c>
      <c r="M504" s="29">
        <f t="shared" si="75"/>
        <v>-119</v>
      </c>
      <c r="N504" s="29"/>
      <c r="O504" s="29"/>
    </row>
    <row r="505" spans="1:17" hidden="1" outlineLevel="1">
      <c r="A505" s="96">
        <v>45601</v>
      </c>
      <c r="B505" s="17" t="s">
        <v>19</v>
      </c>
      <c r="C505" s="68">
        <v>64</v>
      </c>
      <c r="D505" s="100"/>
      <c r="E505" s="22">
        <f t="shared" si="69"/>
        <v>-2367</v>
      </c>
      <c r="G505" s="78">
        <v>64</v>
      </c>
      <c r="H505" s="62">
        <f>C500+I505</f>
        <v>80</v>
      </c>
      <c r="I505" s="20"/>
      <c r="J505" s="21"/>
      <c r="K505" s="57">
        <v>80</v>
      </c>
      <c r="L505" s="23">
        <f t="shared" si="74"/>
        <v>-103</v>
      </c>
      <c r="M505" s="23">
        <f t="shared" si="75"/>
        <v>-103</v>
      </c>
      <c r="N505" s="23"/>
      <c r="O505" s="23">
        <v>0</v>
      </c>
    </row>
    <row r="506" spans="1:17" hidden="1" outlineLevel="1">
      <c r="A506" s="96">
        <v>45602</v>
      </c>
      <c r="B506" s="17" t="s">
        <v>20</v>
      </c>
      <c r="C506" s="68">
        <v>64</v>
      </c>
      <c r="D506" s="100"/>
      <c r="E506" s="22">
        <f t="shared" si="69"/>
        <v>-2431</v>
      </c>
      <c r="G506" s="78">
        <v>72</v>
      </c>
      <c r="H506" s="62">
        <f>C501+I506</f>
        <v>80</v>
      </c>
      <c r="I506" s="20"/>
      <c r="J506" s="21"/>
      <c r="K506" s="57">
        <v>80</v>
      </c>
      <c r="L506" s="23">
        <f t="shared" si="74"/>
        <v>-95</v>
      </c>
      <c r="M506" s="23">
        <f t="shared" si="75"/>
        <v>-95</v>
      </c>
      <c r="N506" s="23"/>
      <c r="O506" s="23">
        <v>8</v>
      </c>
    </row>
    <row r="507" spans="1:17" hidden="1" outlineLevel="1">
      <c r="A507" s="96">
        <v>45603</v>
      </c>
      <c r="B507" s="17" t="s">
        <v>14</v>
      </c>
      <c r="C507" s="68">
        <v>64</v>
      </c>
      <c r="D507" s="100"/>
      <c r="E507" s="22">
        <f t="shared" ref="E507:E570" si="76">E506-C507+D507</f>
        <v>-2495</v>
      </c>
      <c r="G507" s="78">
        <v>72</v>
      </c>
      <c r="H507" s="62">
        <f>C505+I507</f>
        <v>64</v>
      </c>
      <c r="I507" s="20"/>
      <c r="J507" s="21"/>
      <c r="K507" s="57">
        <v>64</v>
      </c>
      <c r="L507" s="23">
        <f t="shared" si="74"/>
        <v>-103</v>
      </c>
      <c r="M507" s="23">
        <f t="shared" si="75"/>
        <v>-103</v>
      </c>
      <c r="N507" s="23"/>
      <c r="O507" s="23">
        <v>18</v>
      </c>
    </row>
    <row r="508" spans="1:17" hidden="1" outlineLevel="1">
      <c r="A508" s="96">
        <v>45604</v>
      </c>
      <c r="B508" s="17" t="s">
        <v>15</v>
      </c>
      <c r="C508" s="68">
        <v>64</v>
      </c>
      <c r="D508" s="100"/>
      <c r="E508" s="22">
        <f t="shared" si="76"/>
        <v>-2559</v>
      </c>
      <c r="G508" s="78">
        <v>72</v>
      </c>
      <c r="H508" s="62">
        <f>C506+I508</f>
        <v>64</v>
      </c>
      <c r="I508" s="20"/>
      <c r="J508" s="21"/>
      <c r="K508" s="57">
        <v>64</v>
      </c>
      <c r="L508" s="23">
        <f t="shared" si="74"/>
        <v>-111</v>
      </c>
      <c r="M508" s="23">
        <f t="shared" si="75"/>
        <v>-111</v>
      </c>
      <c r="N508" s="23"/>
      <c r="O508" s="23">
        <v>9</v>
      </c>
      <c r="Q508" s="1">
        <f>AVERAGE(G505:G508)</f>
        <v>70</v>
      </c>
    </row>
    <row r="509" spans="1:17" s="12" customFormat="1" hidden="1" outlineLevel="1">
      <c r="A509" s="95">
        <v>45605</v>
      </c>
      <c r="B509" s="25" t="s">
        <v>16</v>
      </c>
      <c r="C509" s="69"/>
      <c r="D509" s="99"/>
      <c r="E509" s="87">
        <f t="shared" si="76"/>
        <v>-2559</v>
      </c>
      <c r="G509" s="79"/>
      <c r="H509" s="63"/>
      <c r="I509" s="27"/>
      <c r="J509" s="28"/>
      <c r="K509" s="43"/>
      <c r="L509" s="29">
        <f t="shared" si="74"/>
        <v>-111</v>
      </c>
      <c r="M509" s="29">
        <f t="shared" si="75"/>
        <v>-111</v>
      </c>
      <c r="N509" s="29"/>
      <c r="O509" s="29"/>
    </row>
    <row r="510" spans="1:17" s="12" customFormat="1" hidden="1" outlineLevel="1" collapsed="1">
      <c r="A510" s="95">
        <v>45606</v>
      </c>
      <c r="B510" s="25" t="s">
        <v>17</v>
      </c>
      <c r="C510" s="69"/>
      <c r="D510" s="99"/>
      <c r="E510" s="87">
        <f t="shared" si="76"/>
        <v>-2559</v>
      </c>
      <c r="G510" s="79"/>
      <c r="H510" s="63"/>
      <c r="I510" s="27"/>
      <c r="J510" s="28"/>
      <c r="K510" s="43"/>
      <c r="L510" s="29">
        <f t="shared" si="74"/>
        <v>-111</v>
      </c>
      <c r="M510" s="29">
        <f t="shared" si="75"/>
        <v>-111</v>
      </c>
      <c r="N510" s="29"/>
      <c r="O510" s="29"/>
    </row>
    <row r="511" spans="1:17" hidden="1" outlineLevel="1">
      <c r="A511" s="96">
        <v>45607</v>
      </c>
      <c r="B511" s="17" t="s">
        <v>18</v>
      </c>
      <c r="C511" s="68">
        <v>72</v>
      </c>
      <c r="D511" s="100"/>
      <c r="E511" s="22">
        <f t="shared" si="76"/>
        <v>-2631</v>
      </c>
      <c r="G511" s="78">
        <v>64</v>
      </c>
      <c r="H511" s="62">
        <f>C507+I511</f>
        <v>64</v>
      </c>
      <c r="I511" s="20"/>
      <c r="J511" s="21"/>
      <c r="K511" s="57">
        <v>64</v>
      </c>
      <c r="L511" s="23">
        <f t="shared" si="74"/>
        <v>-111</v>
      </c>
      <c r="M511" s="23">
        <f t="shared" si="75"/>
        <v>-111</v>
      </c>
      <c r="N511" s="23"/>
      <c r="O511" s="23">
        <v>0</v>
      </c>
    </row>
    <row r="512" spans="1:17" hidden="1" outlineLevel="1">
      <c r="A512" s="96">
        <v>45608</v>
      </c>
      <c r="B512" s="17" t="s">
        <v>19</v>
      </c>
      <c r="C512" s="68">
        <v>72</v>
      </c>
      <c r="D512" s="100"/>
      <c r="E512" s="22">
        <f t="shared" si="76"/>
        <v>-2703</v>
      </c>
      <c r="G512" s="78">
        <v>72</v>
      </c>
      <c r="H512" s="62">
        <f>C508+I512</f>
        <v>64</v>
      </c>
      <c r="I512" s="20"/>
      <c r="J512" s="21"/>
      <c r="K512" s="57">
        <v>64</v>
      </c>
      <c r="L512" s="23">
        <f t="shared" si="74"/>
        <v>-119</v>
      </c>
      <c r="M512" s="23">
        <f t="shared" si="75"/>
        <v>-119</v>
      </c>
      <c r="N512" s="23"/>
      <c r="O512" s="23">
        <v>8</v>
      </c>
    </row>
    <row r="513" spans="1:17" hidden="1" outlineLevel="1">
      <c r="A513" s="96">
        <v>45609</v>
      </c>
      <c r="B513" s="17" t="s">
        <v>20</v>
      </c>
      <c r="C513" s="68">
        <v>72</v>
      </c>
      <c r="D513" s="100"/>
      <c r="E513" s="22">
        <f t="shared" si="76"/>
        <v>-2775</v>
      </c>
      <c r="G513" s="78">
        <v>72</v>
      </c>
      <c r="H513" s="62">
        <f>C511+I513</f>
        <v>72</v>
      </c>
      <c r="I513" s="20"/>
      <c r="J513" s="21"/>
      <c r="K513" s="57">
        <v>72</v>
      </c>
      <c r="L513" s="23">
        <f t="shared" si="74"/>
        <v>-119</v>
      </c>
      <c r="M513" s="23">
        <f t="shared" si="75"/>
        <v>-119</v>
      </c>
      <c r="N513" s="23"/>
      <c r="O513" s="23">
        <v>0</v>
      </c>
    </row>
    <row r="514" spans="1:17" hidden="1" outlineLevel="1">
      <c r="A514" s="96">
        <v>45610</v>
      </c>
      <c r="B514" s="17" t="s">
        <v>14</v>
      </c>
      <c r="C514" s="68">
        <v>72</v>
      </c>
      <c r="D514" s="100"/>
      <c r="E514" s="22">
        <f t="shared" si="76"/>
        <v>-2847</v>
      </c>
      <c r="G514" s="78">
        <v>72</v>
      </c>
      <c r="H514" s="62">
        <f>C512+I514</f>
        <v>72</v>
      </c>
      <c r="I514" s="20"/>
      <c r="J514" s="21"/>
      <c r="K514" s="57">
        <v>72</v>
      </c>
      <c r="L514" s="23">
        <f t="shared" si="74"/>
        <v>-119</v>
      </c>
      <c r="M514" s="23">
        <f t="shared" si="75"/>
        <v>-119</v>
      </c>
      <c r="N514" s="23"/>
      <c r="O514" s="23">
        <v>21</v>
      </c>
    </row>
    <row r="515" spans="1:17" hidden="1" outlineLevel="1">
      <c r="A515" s="96">
        <v>45611</v>
      </c>
      <c r="B515" s="17" t="s">
        <v>15</v>
      </c>
      <c r="C515" s="68">
        <v>72</v>
      </c>
      <c r="D515" s="100"/>
      <c r="E515" s="22">
        <f t="shared" si="76"/>
        <v>-2919</v>
      </c>
      <c r="G515" s="78">
        <v>64</v>
      </c>
      <c r="H515" s="62">
        <f>C513+I515</f>
        <v>72</v>
      </c>
      <c r="I515" s="20"/>
      <c r="J515" s="21"/>
      <c r="K515" s="57">
        <v>72</v>
      </c>
      <c r="L515" s="23">
        <f t="shared" si="74"/>
        <v>-111</v>
      </c>
      <c r="M515" s="23">
        <f t="shared" si="75"/>
        <v>-111</v>
      </c>
      <c r="N515" s="23"/>
      <c r="O515" s="23">
        <v>6</v>
      </c>
      <c r="Q515" s="1">
        <f>AVERAGE(G511:G515)</f>
        <v>68.8</v>
      </c>
    </row>
    <row r="516" spans="1:17" s="12" customFormat="1" hidden="1" outlineLevel="1">
      <c r="A516" s="95">
        <v>45612</v>
      </c>
      <c r="B516" s="25" t="s">
        <v>16</v>
      </c>
      <c r="C516" s="69"/>
      <c r="D516" s="99"/>
      <c r="E516" s="87">
        <f t="shared" si="76"/>
        <v>-2919</v>
      </c>
      <c r="G516" s="79"/>
      <c r="H516" s="63"/>
      <c r="I516" s="27"/>
      <c r="J516" s="28"/>
      <c r="K516" s="43"/>
      <c r="L516" s="29">
        <f t="shared" si="74"/>
        <v>-111</v>
      </c>
      <c r="M516" s="29">
        <f t="shared" si="75"/>
        <v>-111</v>
      </c>
      <c r="N516" s="29"/>
      <c r="O516" s="29"/>
    </row>
    <row r="517" spans="1:17" s="12" customFormat="1" hidden="1" outlineLevel="1" collapsed="1">
      <c r="A517" s="95">
        <v>45613</v>
      </c>
      <c r="B517" s="25" t="s">
        <v>17</v>
      </c>
      <c r="C517" s="69"/>
      <c r="D517" s="99"/>
      <c r="E517" s="87">
        <f t="shared" si="76"/>
        <v>-2919</v>
      </c>
      <c r="G517" s="79"/>
      <c r="H517" s="63"/>
      <c r="I517" s="27"/>
      <c r="J517" s="28"/>
      <c r="K517" s="43"/>
      <c r="L517" s="29">
        <f t="shared" si="74"/>
        <v>-111</v>
      </c>
      <c r="M517" s="29">
        <f t="shared" si="75"/>
        <v>-111</v>
      </c>
      <c r="N517" s="29"/>
      <c r="O517" s="29"/>
    </row>
    <row r="518" spans="1:17" hidden="1" outlineLevel="1">
      <c r="A518" s="96">
        <v>45614</v>
      </c>
      <c r="B518" s="17" t="s">
        <v>18</v>
      </c>
      <c r="C518" s="68">
        <v>64</v>
      </c>
      <c r="D518" s="100"/>
      <c r="E518" s="22">
        <f t="shared" si="76"/>
        <v>-2983</v>
      </c>
      <c r="G518" s="78">
        <v>64</v>
      </c>
      <c r="H518" s="62">
        <f>C514+I518</f>
        <v>72</v>
      </c>
      <c r="I518" s="20"/>
      <c r="J518" s="21"/>
      <c r="K518" s="57">
        <v>72</v>
      </c>
      <c r="L518" s="23">
        <f t="shared" si="74"/>
        <v>-103</v>
      </c>
      <c r="M518" s="23">
        <f t="shared" si="75"/>
        <v>-103</v>
      </c>
      <c r="N518" s="23"/>
      <c r="O518" s="23">
        <v>10</v>
      </c>
    </row>
    <row r="519" spans="1:17" hidden="1" outlineLevel="1">
      <c r="A519" s="96">
        <v>45615</v>
      </c>
      <c r="B519" s="17" t="s">
        <v>19</v>
      </c>
      <c r="C519" s="68">
        <v>64</v>
      </c>
      <c r="D519" s="100"/>
      <c r="E519" s="22">
        <f t="shared" si="76"/>
        <v>-3047</v>
      </c>
      <c r="G519" s="78">
        <v>0</v>
      </c>
      <c r="H519" s="62">
        <f>C515+I519</f>
        <v>72</v>
      </c>
      <c r="I519" s="20"/>
      <c r="J519" s="21"/>
      <c r="K519" s="57">
        <v>72</v>
      </c>
      <c r="L519" s="23">
        <f t="shared" si="74"/>
        <v>-31</v>
      </c>
      <c r="M519" s="23">
        <f t="shared" si="75"/>
        <v>-31</v>
      </c>
      <c r="N519" s="23"/>
      <c r="O519" s="23">
        <v>10</v>
      </c>
    </row>
    <row r="520" spans="1:17" hidden="1" outlineLevel="1">
      <c r="A520" s="96">
        <v>45616</v>
      </c>
      <c r="B520" s="17" t="s">
        <v>20</v>
      </c>
      <c r="C520" s="68">
        <v>64</v>
      </c>
      <c r="D520" s="100"/>
      <c r="E520" s="22">
        <f t="shared" si="76"/>
        <v>-3111</v>
      </c>
      <c r="G520" s="78">
        <v>0</v>
      </c>
      <c r="H520" s="62">
        <f>C518+I520</f>
        <v>64</v>
      </c>
      <c r="I520" s="20"/>
      <c r="J520" s="21"/>
      <c r="K520" s="57">
        <v>64</v>
      </c>
      <c r="L520" s="23">
        <f t="shared" si="74"/>
        <v>33</v>
      </c>
      <c r="M520" s="23">
        <f t="shared" si="75"/>
        <v>33</v>
      </c>
      <c r="N520" s="23"/>
      <c r="O520" s="23">
        <v>11</v>
      </c>
    </row>
    <row r="521" spans="1:17" hidden="1" outlineLevel="1">
      <c r="A521" s="96">
        <v>45617</v>
      </c>
      <c r="B521" s="17" t="s">
        <v>14</v>
      </c>
      <c r="C521" s="68">
        <v>64</v>
      </c>
      <c r="D521" s="100"/>
      <c r="E521" s="22">
        <f t="shared" si="76"/>
        <v>-3175</v>
      </c>
      <c r="G521" s="78">
        <v>72</v>
      </c>
      <c r="H521" s="62">
        <f>C519+I521</f>
        <v>64</v>
      </c>
      <c r="I521" s="20"/>
      <c r="J521" s="21"/>
      <c r="K521" s="57">
        <v>64</v>
      </c>
      <c r="L521" s="23">
        <f t="shared" si="74"/>
        <v>25</v>
      </c>
      <c r="M521" s="23">
        <f t="shared" si="75"/>
        <v>25</v>
      </c>
      <c r="N521" s="23"/>
      <c r="O521" s="23">
        <v>0</v>
      </c>
    </row>
    <row r="522" spans="1:17" hidden="1" outlineLevel="1">
      <c r="A522" s="96">
        <v>45618</v>
      </c>
      <c r="B522" s="17" t="s">
        <v>15</v>
      </c>
      <c r="C522" s="68">
        <v>64</v>
      </c>
      <c r="D522" s="100"/>
      <c r="E522" s="22">
        <f t="shared" si="76"/>
        <v>-3239</v>
      </c>
      <c r="G522" s="78">
        <v>88</v>
      </c>
      <c r="H522" s="62">
        <f>C520+I522</f>
        <v>64</v>
      </c>
      <c r="I522" s="20"/>
      <c r="J522" s="21"/>
      <c r="K522" s="57">
        <v>64</v>
      </c>
      <c r="L522" s="23">
        <f t="shared" si="74"/>
        <v>1</v>
      </c>
      <c r="M522" s="23">
        <f t="shared" si="75"/>
        <v>1</v>
      </c>
      <c r="N522" s="23"/>
      <c r="O522" s="23">
        <v>18</v>
      </c>
      <c r="Q522" s="1">
        <f>AVERAGE(G518:G522)</f>
        <v>44.8</v>
      </c>
    </row>
    <row r="523" spans="1:17" s="12" customFormat="1" hidden="1" outlineLevel="1">
      <c r="A523" s="95">
        <v>45619</v>
      </c>
      <c r="B523" s="25" t="s">
        <v>16</v>
      </c>
      <c r="C523" s="69"/>
      <c r="D523" s="99"/>
      <c r="E523" s="87">
        <f t="shared" si="76"/>
        <v>-3239</v>
      </c>
      <c r="G523" s="79"/>
      <c r="H523" s="63"/>
      <c r="I523" s="27"/>
      <c r="J523" s="28"/>
      <c r="K523" s="43"/>
      <c r="L523" s="29">
        <f t="shared" si="74"/>
        <v>1</v>
      </c>
      <c r="M523" s="29">
        <f t="shared" si="75"/>
        <v>1</v>
      </c>
      <c r="N523" s="29"/>
      <c r="O523" s="29"/>
    </row>
    <row r="524" spans="1:17" s="12" customFormat="1" hidden="1" outlineLevel="1" collapsed="1">
      <c r="A524" s="95">
        <v>45620</v>
      </c>
      <c r="B524" s="25" t="s">
        <v>17</v>
      </c>
      <c r="C524" s="69"/>
      <c r="D524" s="99"/>
      <c r="E524" s="87">
        <f t="shared" si="76"/>
        <v>-3239</v>
      </c>
      <c r="G524" s="79"/>
      <c r="H524" s="63"/>
      <c r="I524" s="27"/>
      <c r="J524" s="28"/>
      <c r="K524" s="43"/>
      <c r="L524" s="29">
        <f t="shared" si="74"/>
        <v>1</v>
      </c>
      <c r="M524" s="29">
        <f t="shared" si="75"/>
        <v>1</v>
      </c>
      <c r="N524" s="29"/>
      <c r="O524" s="29"/>
    </row>
    <row r="525" spans="1:17" hidden="1" outlineLevel="1">
      <c r="A525" s="96">
        <v>45621</v>
      </c>
      <c r="B525" s="17" t="s">
        <v>18</v>
      </c>
      <c r="C525" s="68">
        <v>72</v>
      </c>
      <c r="D525" s="100"/>
      <c r="E525" s="22">
        <f t="shared" si="76"/>
        <v>-3311</v>
      </c>
      <c r="G525" s="78">
        <v>64</v>
      </c>
      <c r="H525" s="62">
        <f>C521+I525</f>
        <v>64</v>
      </c>
      <c r="I525" s="20"/>
      <c r="J525" s="21"/>
      <c r="K525" s="57">
        <v>64</v>
      </c>
      <c r="L525" s="23">
        <f t="shared" si="74"/>
        <v>1</v>
      </c>
      <c r="M525" s="23">
        <f t="shared" si="75"/>
        <v>1</v>
      </c>
      <c r="N525" s="23"/>
      <c r="O525" s="23">
        <v>10</v>
      </c>
    </row>
    <row r="526" spans="1:17" hidden="1" outlineLevel="1">
      <c r="A526" s="232">
        <v>45622</v>
      </c>
      <c r="B526" s="233" t="s">
        <v>19</v>
      </c>
      <c r="C526" s="269"/>
      <c r="D526" s="235"/>
      <c r="E526" s="236">
        <f t="shared" si="76"/>
        <v>-3311</v>
      </c>
      <c r="G526" s="78">
        <v>88</v>
      </c>
      <c r="H526" s="62">
        <f>C522+I526</f>
        <v>64</v>
      </c>
      <c r="I526" s="20"/>
      <c r="J526" s="21"/>
      <c r="K526" s="57">
        <v>64</v>
      </c>
      <c r="L526" s="23">
        <f t="shared" si="74"/>
        <v>-23</v>
      </c>
      <c r="M526" s="23">
        <f t="shared" si="75"/>
        <v>-23</v>
      </c>
      <c r="N526" s="23"/>
      <c r="O526" s="23">
        <v>11</v>
      </c>
    </row>
    <row r="527" spans="1:17" hidden="1" outlineLevel="1">
      <c r="A527" s="232">
        <v>45623</v>
      </c>
      <c r="B527" s="233" t="s">
        <v>20</v>
      </c>
      <c r="C527" s="269"/>
      <c r="D527" s="235"/>
      <c r="E527" s="236">
        <f t="shared" si="76"/>
        <v>-3311</v>
      </c>
      <c r="G527" s="78">
        <v>72</v>
      </c>
      <c r="H527" s="62">
        <f>C525+I527</f>
        <v>72</v>
      </c>
      <c r="I527" s="20"/>
      <c r="J527" s="21"/>
      <c r="K527" s="57">
        <v>72</v>
      </c>
      <c r="L527" s="23">
        <f t="shared" si="74"/>
        <v>-23</v>
      </c>
      <c r="M527" s="23">
        <f t="shared" si="75"/>
        <v>-23</v>
      </c>
      <c r="N527" s="23"/>
      <c r="O527" s="23">
        <v>9</v>
      </c>
    </row>
    <row r="528" spans="1:17" hidden="1" outlineLevel="1">
      <c r="A528" s="96">
        <v>45624</v>
      </c>
      <c r="B528" s="17" t="s">
        <v>14</v>
      </c>
      <c r="C528" s="68">
        <v>72</v>
      </c>
      <c r="D528" s="100"/>
      <c r="E528" s="22">
        <f t="shared" si="76"/>
        <v>-3383</v>
      </c>
      <c r="G528" s="274"/>
      <c r="H528" s="246">
        <f>C526+I528</f>
        <v>0</v>
      </c>
      <c r="I528" s="247"/>
      <c r="J528" s="243"/>
      <c r="K528" s="248"/>
      <c r="L528" s="240">
        <f t="shared" si="74"/>
        <v>-23</v>
      </c>
      <c r="M528" s="240">
        <f t="shared" si="75"/>
        <v>-23</v>
      </c>
      <c r="N528" s="240"/>
      <c r="O528" s="240">
        <v>0</v>
      </c>
    </row>
    <row r="529" spans="1:17" hidden="1" outlineLevel="1">
      <c r="A529" s="96">
        <v>45625</v>
      </c>
      <c r="B529" s="17" t="s">
        <v>15</v>
      </c>
      <c r="C529" s="68">
        <v>72</v>
      </c>
      <c r="D529" s="100"/>
      <c r="E529" s="22">
        <f t="shared" si="76"/>
        <v>-3455</v>
      </c>
      <c r="G529" s="274"/>
      <c r="H529" s="246">
        <f>C527+I529</f>
        <v>0</v>
      </c>
      <c r="I529" s="247"/>
      <c r="J529" s="243"/>
      <c r="K529" s="248"/>
      <c r="L529" s="240">
        <f t="shared" si="74"/>
        <v>-23</v>
      </c>
      <c r="M529" s="240">
        <f t="shared" si="75"/>
        <v>-23</v>
      </c>
      <c r="N529" s="240"/>
      <c r="O529" s="240">
        <v>0</v>
      </c>
      <c r="Q529" s="1">
        <f>AVERAGE(G525:G529)</f>
        <v>74.666666666666671</v>
      </c>
    </row>
    <row r="530" spans="1:17" s="12" customFormat="1" hidden="1" outlineLevel="1">
      <c r="A530" s="95">
        <v>45626</v>
      </c>
      <c r="B530" s="25" t="s">
        <v>16</v>
      </c>
      <c r="C530" s="69"/>
      <c r="D530" s="99"/>
      <c r="E530" s="87">
        <f t="shared" si="76"/>
        <v>-3455</v>
      </c>
      <c r="G530" s="79"/>
      <c r="H530" s="63"/>
      <c r="I530" s="27"/>
      <c r="J530" s="28"/>
      <c r="K530" s="43"/>
      <c r="L530" s="29">
        <f t="shared" si="74"/>
        <v>-23</v>
      </c>
      <c r="M530" s="29">
        <f t="shared" si="75"/>
        <v>-23</v>
      </c>
      <c r="N530" s="29"/>
      <c r="O530" s="29"/>
    </row>
    <row r="531" spans="1:17" s="12" customFormat="1" hidden="1" outlineLevel="1" collapsed="1">
      <c r="A531" s="95">
        <v>45627</v>
      </c>
      <c r="B531" s="25" t="s">
        <v>17</v>
      </c>
      <c r="C531" s="69"/>
      <c r="D531" s="99"/>
      <c r="E531" s="87">
        <f t="shared" si="76"/>
        <v>-3455</v>
      </c>
      <c r="G531" s="79"/>
      <c r="H531" s="63"/>
      <c r="I531" s="27"/>
      <c r="J531" s="28"/>
      <c r="K531" s="43"/>
      <c r="L531" s="29">
        <f t="shared" ref="L531:L561" si="77">L530-G531+K531</f>
        <v>-23</v>
      </c>
      <c r="M531" s="29">
        <f t="shared" ref="M531:M561" si="78">M530-G531+H531</f>
        <v>-23</v>
      </c>
      <c r="N531" s="29"/>
      <c r="O531" s="29"/>
    </row>
    <row r="532" spans="1:17" hidden="1" outlineLevel="1">
      <c r="A532" s="96">
        <v>45628</v>
      </c>
      <c r="B532" s="17" t="s">
        <v>18</v>
      </c>
      <c r="C532" s="68">
        <v>72</v>
      </c>
      <c r="D532" s="100"/>
      <c r="E532" s="22">
        <f t="shared" si="76"/>
        <v>-3527</v>
      </c>
      <c r="G532" s="78">
        <v>72</v>
      </c>
      <c r="H532" s="62">
        <f>C528+I532</f>
        <v>72</v>
      </c>
      <c r="I532" s="20"/>
      <c r="J532" s="21"/>
      <c r="K532" s="57">
        <v>72</v>
      </c>
      <c r="L532" s="23">
        <f t="shared" si="77"/>
        <v>-23</v>
      </c>
      <c r="M532" s="23">
        <f t="shared" si="78"/>
        <v>-23</v>
      </c>
      <c r="N532" s="23"/>
      <c r="O532" s="23">
        <v>0</v>
      </c>
    </row>
    <row r="533" spans="1:17" hidden="1" outlineLevel="1">
      <c r="A533" s="96">
        <v>45629</v>
      </c>
      <c r="B533" s="17" t="s">
        <v>19</v>
      </c>
      <c r="C533" s="68">
        <v>72</v>
      </c>
      <c r="D533" s="100"/>
      <c r="E533" s="22">
        <f t="shared" si="76"/>
        <v>-3599</v>
      </c>
      <c r="G533" s="78">
        <v>56</v>
      </c>
      <c r="H533" s="62">
        <f>C529+I533</f>
        <v>72</v>
      </c>
      <c r="I533" s="20"/>
      <c r="J533" s="21"/>
      <c r="K533" s="57">
        <v>72</v>
      </c>
      <c r="L533" s="23">
        <f t="shared" si="77"/>
        <v>-7</v>
      </c>
      <c r="M533" s="23">
        <f t="shared" si="78"/>
        <v>-7</v>
      </c>
      <c r="N533" s="23"/>
      <c r="O533" s="23">
        <v>9</v>
      </c>
    </row>
    <row r="534" spans="1:17" hidden="1" outlineLevel="1">
      <c r="A534" s="96">
        <v>45630</v>
      </c>
      <c r="B534" s="17" t="s">
        <v>20</v>
      </c>
      <c r="C534" s="68">
        <v>72</v>
      </c>
      <c r="D534" s="100"/>
      <c r="E534" s="22">
        <f t="shared" si="76"/>
        <v>-3671</v>
      </c>
      <c r="G534" s="78">
        <v>72</v>
      </c>
      <c r="H534" s="62">
        <f>C532+I534</f>
        <v>72</v>
      </c>
      <c r="I534" s="20"/>
      <c r="J534" s="21"/>
      <c r="K534" s="57">
        <v>72</v>
      </c>
      <c r="L534" s="23">
        <f t="shared" si="77"/>
        <v>-7</v>
      </c>
      <c r="M534" s="23">
        <f t="shared" si="78"/>
        <v>-7</v>
      </c>
      <c r="N534" s="23"/>
      <c r="O534" s="23">
        <v>8</v>
      </c>
    </row>
    <row r="535" spans="1:17" hidden="1" outlineLevel="1">
      <c r="A535" s="96">
        <v>45631</v>
      </c>
      <c r="B535" s="17" t="s">
        <v>14</v>
      </c>
      <c r="C535" s="68">
        <v>72</v>
      </c>
      <c r="D535" s="100"/>
      <c r="E535" s="22">
        <f t="shared" si="76"/>
        <v>-3743</v>
      </c>
      <c r="G535" s="78">
        <v>64</v>
      </c>
      <c r="H535" s="62">
        <f>C533+I535</f>
        <v>72</v>
      </c>
      <c r="I535" s="20"/>
      <c r="J535" s="21"/>
      <c r="K535" s="57">
        <v>72</v>
      </c>
      <c r="L535" s="23">
        <f t="shared" si="77"/>
        <v>1</v>
      </c>
      <c r="M535" s="23">
        <f t="shared" si="78"/>
        <v>1</v>
      </c>
      <c r="N535" s="23"/>
      <c r="O535" s="23">
        <v>11</v>
      </c>
    </row>
    <row r="536" spans="1:17" hidden="1" outlineLevel="1">
      <c r="A536" s="96">
        <v>45632</v>
      </c>
      <c r="B536" s="17" t="s">
        <v>15</v>
      </c>
      <c r="C536" s="68">
        <v>72</v>
      </c>
      <c r="D536" s="100"/>
      <c r="E536" s="22">
        <f t="shared" si="76"/>
        <v>-3815</v>
      </c>
      <c r="G536" s="78">
        <v>265</v>
      </c>
      <c r="H536" s="62">
        <f>C534+I536</f>
        <v>65</v>
      </c>
      <c r="I536" s="20">
        <v>-7</v>
      </c>
      <c r="J536" s="21"/>
      <c r="K536" s="57">
        <v>65</v>
      </c>
      <c r="L536" s="23">
        <f t="shared" si="77"/>
        <v>-199</v>
      </c>
      <c r="M536" s="23">
        <f t="shared" si="78"/>
        <v>-199</v>
      </c>
      <c r="N536" s="23"/>
      <c r="O536" s="23">
        <v>10</v>
      </c>
      <c r="Q536" s="1">
        <f>AVERAGE(G532:G536)</f>
        <v>105.8</v>
      </c>
    </row>
    <row r="537" spans="1:17" s="12" customFormat="1" hidden="1" outlineLevel="1">
      <c r="A537" s="95">
        <v>45633</v>
      </c>
      <c r="B537" s="25" t="s">
        <v>16</v>
      </c>
      <c r="C537" s="69"/>
      <c r="D537" s="99"/>
      <c r="E537" s="87">
        <f t="shared" si="76"/>
        <v>-3815</v>
      </c>
      <c r="G537" s="79"/>
      <c r="H537" s="63"/>
      <c r="I537" s="27"/>
      <c r="J537" s="28"/>
      <c r="K537" s="43"/>
      <c r="L537" s="29">
        <f t="shared" si="77"/>
        <v>-199</v>
      </c>
      <c r="M537" s="29">
        <f t="shared" si="78"/>
        <v>-199</v>
      </c>
      <c r="N537" s="29"/>
      <c r="O537" s="29"/>
    </row>
    <row r="538" spans="1:17" s="12" customFormat="1" hidden="1" outlineLevel="1">
      <c r="A538" s="95">
        <v>45634</v>
      </c>
      <c r="B538" s="25" t="s">
        <v>17</v>
      </c>
      <c r="C538" s="69"/>
      <c r="D538" s="99"/>
      <c r="E538" s="87">
        <f t="shared" si="76"/>
        <v>-3815</v>
      </c>
      <c r="G538" s="79"/>
      <c r="H538" s="63"/>
      <c r="I538" s="27"/>
      <c r="J538" s="28"/>
      <c r="K538" s="43"/>
      <c r="L538" s="29">
        <f t="shared" si="77"/>
        <v>-199</v>
      </c>
      <c r="M538" s="29">
        <f t="shared" si="78"/>
        <v>-199</v>
      </c>
      <c r="N538" s="29"/>
      <c r="O538" s="29"/>
    </row>
    <row r="539" spans="1:17" hidden="1" outlineLevel="1">
      <c r="A539" s="96">
        <v>45635</v>
      </c>
      <c r="B539" s="17" t="s">
        <v>18</v>
      </c>
      <c r="C539" s="68">
        <f>72+1</f>
        <v>73</v>
      </c>
      <c r="D539" s="100"/>
      <c r="E539" s="22">
        <f t="shared" si="76"/>
        <v>-3888</v>
      </c>
      <c r="G539" s="78">
        <v>0</v>
      </c>
      <c r="H539" s="62">
        <f>C535+I539</f>
        <v>72</v>
      </c>
      <c r="I539" s="20"/>
      <c r="J539" s="21"/>
      <c r="K539" s="57">
        <v>72</v>
      </c>
      <c r="L539" s="23">
        <f t="shared" si="77"/>
        <v>-127</v>
      </c>
      <c r="M539" s="23">
        <f t="shared" si="78"/>
        <v>-127</v>
      </c>
      <c r="N539" s="23"/>
      <c r="O539" s="23">
        <v>0</v>
      </c>
    </row>
    <row r="540" spans="1:17" hidden="1" outlineLevel="1">
      <c r="A540" s="96">
        <v>45636</v>
      </c>
      <c r="B540" s="17" t="s">
        <v>19</v>
      </c>
      <c r="C540" s="68">
        <v>72</v>
      </c>
      <c r="D540" s="100"/>
      <c r="E540" s="22">
        <f t="shared" si="76"/>
        <v>-3960</v>
      </c>
      <c r="G540" s="78">
        <v>0</v>
      </c>
      <c r="H540" s="62">
        <f>C536+I540</f>
        <v>72</v>
      </c>
      <c r="I540" s="20"/>
      <c r="J540" s="21"/>
      <c r="K540" s="57">
        <v>72</v>
      </c>
      <c r="L540" s="23">
        <f t="shared" si="77"/>
        <v>-55</v>
      </c>
      <c r="M540" s="23">
        <f t="shared" si="78"/>
        <v>-55</v>
      </c>
      <c r="N540" s="23"/>
      <c r="O540" s="23">
        <v>20</v>
      </c>
    </row>
    <row r="541" spans="1:17" hidden="1" outlineLevel="1">
      <c r="A541" s="96">
        <v>45637</v>
      </c>
      <c r="B541" s="17" t="s">
        <v>20</v>
      </c>
      <c r="C541" s="68">
        <v>72</v>
      </c>
      <c r="D541" s="100"/>
      <c r="E541" s="22">
        <f t="shared" si="76"/>
        <v>-4032</v>
      </c>
      <c r="G541" s="78">
        <f>16+1</f>
        <v>17</v>
      </c>
      <c r="H541" s="62">
        <f>C539+I541</f>
        <v>73</v>
      </c>
      <c r="I541" s="20"/>
      <c r="J541" s="21"/>
      <c r="K541" s="57">
        <v>73</v>
      </c>
      <c r="L541" s="23">
        <f t="shared" si="77"/>
        <v>1</v>
      </c>
      <c r="M541" s="23">
        <f t="shared" si="78"/>
        <v>1</v>
      </c>
      <c r="N541" s="23"/>
      <c r="O541" s="23">
        <v>10</v>
      </c>
    </row>
    <row r="542" spans="1:17" hidden="1" outlineLevel="1">
      <c r="A542" s="96">
        <v>45638</v>
      </c>
      <c r="B542" s="17" t="s">
        <v>14</v>
      </c>
      <c r="C542" s="68">
        <v>72</v>
      </c>
      <c r="D542" s="100"/>
      <c r="E542" s="22">
        <f t="shared" si="76"/>
        <v>-4104</v>
      </c>
      <c r="G542" s="78">
        <v>72</v>
      </c>
      <c r="H542" s="62">
        <f>C540+I542</f>
        <v>72</v>
      </c>
      <c r="I542" s="20"/>
      <c r="J542" s="21"/>
      <c r="K542" s="57">
        <v>72</v>
      </c>
      <c r="L542" s="23">
        <f t="shared" si="77"/>
        <v>1</v>
      </c>
      <c r="M542" s="23">
        <f t="shared" si="78"/>
        <v>1</v>
      </c>
      <c r="N542" s="23"/>
      <c r="O542" s="23">
        <v>8</v>
      </c>
    </row>
    <row r="543" spans="1:17" hidden="1" outlineLevel="1">
      <c r="A543" s="96">
        <v>45639</v>
      </c>
      <c r="B543" s="17" t="s">
        <v>15</v>
      </c>
      <c r="C543" s="68">
        <v>72</v>
      </c>
      <c r="D543" s="100"/>
      <c r="E543" s="22">
        <f t="shared" si="76"/>
        <v>-4176</v>
      </c>
      <c r="G543" s="78">
        <v>64</v>
      </c>
      <c r="H543" s="62">
        <f>C541+I543</f>
        <v>72</v>
      </c>
      <c r="I543" s="20"/>
      <c r="J543" s="21"/>
      <c r="K543" s="57">
        <v>72</v>
      </c>
      <c r="L543" s="23">
        <f t="shared" si="77"/>
        <v>9</v>
      </c>
      <c r="M543" s="23">
        <f t="shared" si="78"/>
        <v>9</v>
      </c>
      <c r="N543" s="23"/>
      <c r="O543" s="23">
        <v>8</v>
      </c>
      <c r="Q543" s="1">
        <f>AVERAGE(G539:G543)</f>
        <v>30.6</v>
      </c>
    </row>
    <row r="544" spans="1:17" s="12" customFormat="1" hidden="1" outlineLevel="1">
      <c r="A544" s="95">
        <v>45640</v>
      </c>
      <c r="B544" s="25" t="s">
        <v>16</v>
      </c>
      <c r="C544" s="69"/>
      <c r="D544" s="99"/>
      <c r="E544" s="87">
        <f t="shared" si="76"/>
        <v>-4176</v>
      </c>
      <c r="G544" s="79"/>
      <c r="H544" s="63"/>
      <c r="I544" s="27"/>
      <c r="J544" s="28"/>
      <c r="K544" s="43"/>
      <c r="L544" s="29">
        <f t="shared" si="77"/>
        <v>9</v>
      </c>
      <c r="M544" s="29">
        <f t="shared" si="78"/>
        <v>9</v>
      </c>
      <c r="N544" s="29"/>
      <c r="O544" s="29"/>
    </row>
    <row r="545" spans="1:17" s="12" customFormat="1" hidden="1" outlineLevel="1" collapsed="1">
      <c r="A545" s="95">
        <v>45641</v>
      </c>
      <c r="B545" s="25" t="s">
        <v>17</v>
      </c>
      <c r="C545" s="69"/>
      <c r="D545" s="99"/>
      <c r="E545" s="87">
        <f t="shared" si="76"/>
        <v>-4176</v>
      </c>
      <c r="G545" s="79"/>
      <c r="H545" s="63"/>
      <c r="I545" s="27"/>
      <c r="J545" s="28"/>
      <c r="K545" s="43"/>
      <c r="L545" s="29">
        <f t="shared" si="77"/>
        <v>9</v>
      </c>
      <c r="M545" s="29">
        <f t="shared" si="78"/>
        <v>9</v>
      </c>
      <c r="N545" s="29"/>
      <c r="O545" s="29"/>
    </row>
    <row r="546" spans="1:17" hidden="1" outlineLevel="1">
      <c r="A546" s="96">
        <v>45642</v>
      </c>
      <c r="B546" s="17" t="s">
        <v>18</v>
      </c>
      <c r="C546" s="68">
        <v>72</v>
      </c>
      <c r="D546" s="100"/>
      <c r="E546" s="22">
        <f t="shared" si="76"/>
        <v>-4248</v>
      </c>
      <c r="G546" s="78">
        <v>72</v>
      </c>
      <c r="H546" s="62">
        <f>C542+I546</f>
        <v>72</v>
      </c>
      <c r="I546" s="20"/>
      <c r="J546" s="21"/>
      <c r="K546" s="57">
        <v>72</v>
      </c>
      <c r="L546" s="23">
        <f t="shared" si="77"/>
        <v>9</v>
      </c>
      <c r="M546" s="23">
        <f t="shared" si="78"/>
        <v>9</v>
      </c>
      <c r="N546" s="23"/>
      <c r="O546" s="23">
        <v>9</v>
      </c>
    </row>
    <row r="547" spans="1:17" hidden="1" outlineLevel="1">
      <c r="A547" s="96">
        <v>45643</v>
      </c>
      <c r="B547" s="17" t="s">
        <v>19</v>
      </c>
      <c r="C547" s="68">
        <v>72</v>
      </c>
      <c r="D547" s="100"/>
      <c r="E547" s="22">
        <f t="shared" si="76"/>
        <v>-4320</v>
      </c>
      <c r="G547" s="78">
        <v>72</v>
      </c>
      <c r="H547" s="62">
        <f>C543+I547</f>
        <v>72</v>
      </c>
      <c r="I547" s="20"/>
      <c r="J547" s="21"/>
      <c r="K547" s="57">
        <v>72</v>
      </c>
      <c r="L547" s="23">
        <f t="shared" si="77"/>
        <v>9</v>
      </c>
      <c r="M547" s="23">
        <f t="shared" si="78"/>
        <v>9</v>
      </c>
      <c r="N547" s="23"/>
      <c r="O547" s="23">
        <v>10</v>
      </c>
    </row>
    <row r="548" spans="1:17" hidden="1" outlineLevel="1">
      <c r="A548" s="96">
        <v>45644</v>
      </c>
      <c r="B548" s="17" t="s">
        <v>20</v>
      </c>
      <c r="C548" s="68">
        <v>72</v>
      </c>
      <c r="D548" s="100"/>
      <c r="E548" s="22">
        <f t="shared" si="76"/>
        <v>-4392</v>
      </c>
      <c r="G548" s="78">
        <v>64</v>
      </c>
      <c r="H548" s="62">
        <f>C546+I548</f>
        <v>72</v>
      </c>
      <c r="I548" s="20"/>
      <c r="J548" s="21"/>
      <c r="K548" s="57">
        <v>72</v>
      </c>
      <c r="L548" s="23">
        <f t="shared" si="77"/>
        <v>17</v>
      </c>
      <c r="M548" s="23">
        <f t="shared" si="78"/>
        <v>17</v>
      </c>
      <c r="N548" s="23"/>
      <c r="O548" s="23">
        <v>0</v>
      </c>
    </row>
    <row r="549" spans="1:17" hidden="1" outlineLevel="1">
      <c r="A549" s="96">
        <v>45645</v>
      </c>
      <c r="B549" s="17" t="s">
        <v>14</v>
      </c>
      <c r="C549" s="68">
        <v>72</v>
      </c>
      <c r="D549" s="100"/>
      <c r="E549" s="22">
        <f t="shared" si="76"/>
        <v>-4464</v>
      </c>
      <c r="G549" s="78">
        <v>64</v>
      </c>
      <c r="H549" s="62">
        <f>C547+I549</f>
        <v>72</v>
      </c>
      <c r="I549" s="20"/>
      <c r="J549" s="21"/>
      <c r="K549" s="57">
        <v>72</v>
      </c>
      <c r="L549" s="23">
        <f t="shared" si="77"/>
        <v>25</v>
      </c>
      <c r="M549" s="23">
        <f t="shared" si="78"/>
        <v>25</v>
      </c>
      <c r="N549" s="23"/>
      <c r="O549" s="23">
        <v>9</v>
      </c>
    </row>
    <row r="550" spans="1:17" hidden="1" outlineLevel="1">
      <c r="A550" s="96">
        <v>45646</v>
      </c>
      <c r="B550" s="17" t="s">
        <v>15</v>
      </c>
      <c r="C550" s="68">
        <v>72</v>
      </c>
      <c r="D550" s="100"/>
      <c r="E550" s="22">
        <f t="shared" si="76"/>
        <v>-4536</v>
      </c>
      <c r="G550" s="78">
        <v>72</v>
      </c>
      <c r="H550" s="62">
        <f>C548+I550</f>
        <v>72</v>
      </c>
      <c r="I550" s="20"/>
      <c r="J550" s="21"/>
      <c r="K550" s="57">
        <v>72</v>
      </c>
      <c r="L550" s="23">
        <f t="shared" si="77"/>
        <v>25</v>
      </c>
      <c r="M550" s="23">
        <f t="shared" si="78"/>
        <v>25</v>
      </c>
      <c r="N550" s="23"/>
      <c r="O550" s="23">
        <v>19</v>
      </c>
      <c r="Q550" s="1">
        <f>AVERAGE(G546:G550)</f>
        <v>68.8</v>
      </c>
    </row>
    <row r="551" spans="1:17" s="12" customFormat="1" hidden="1" outlineLevel="1">
      <c r="A551" s="95">
        <v>45647</v>
      </c>
      <c r="B551" s="25" t="s">
        <v>16</v>
      </c>
      <c r="C551" s="69"/>
      <c r="D551" s="99"/>
      <c r="E551" s="87">
        <f t="shared" si="76"/>
        <v>-4536</v>
      </c>
      <c r="G551" s="64"/>
      <c r="H551" s="63"/>
      <c r="I551" s="27"/>
      <c r="J551" s="28"/>
      <c r="K551" s="43"/>
      <c r="L551" s="29">
        <f t="shared" si="77"/>
        <v>25</v>
      </c>
      <c r="M551" s="29">
        <f t="shared" si="78"/>
        <v>25</v>
      </c>
      <c r="N551" s="29"/>
      <c r="O551" s="29"/>
    </row>
    <row r="552" spans="1:17" s="12" customFormat="1" hidden="1" outlineLevel="1">
      <c r="A552" s="95">
        <v>45648</v>
      </c>
      <c r="B552" s="25" t="s">
        <v>17</v>
      </c>
      <c r="C552" s="69"/>
      <c r="D552" s="99"/>
      <c r="E552" s="87">
        <f t="shared" si="76"/>
        <v>-4536</v>
      </c>
      <c r="G552" s="64"/>
      <c r="H552" s="63"/>
      <c r="I552" s="27"/>
      <c r="J552" s="28"/>
      <c r="K552" s="43"/>
      <c r="L552" s="29">
        <f t="shared" si="77"/>
        <v>25</v>
      </c>
      <c r="M552" s="29">
        <f t="shared" si="78"/>
        <v>25</v>
      </c>
      <c r="N552" s="29"/>
      <c r="O552" s="29"/>
    </row>
    <row r="553" spans="1:17" hidden="1" outlineLevel="1">
      <c r="A553" s="96">
        <v>45649</v>
      </c>
      <c r="B553" s="17" t="s">
        <v>18</v>
      </c>
      <c r="C553" s="138">
        <v>80</v>
      </c>
      <c r="D553" s="100"/>
      <c r="E553" s="22">
        <f t="shared" si="76"/>
        <v>-4616</v>
      </c>
      <c r="G553" s="78">
        <v>88</v>
      </c>
      <c r="H553" s="62">
        <f>C549+I553</f>
        <v>72</v>
      </c>
      <c r="I553" s="20"/>
      <c r="J553" s="21"/>
      <c r="K553" s="57">
        <v>72</v>
      </c>
      <c r="L553" s="23">
        <f t="shared" si="77"/>
        <v>9</v>
      </c>
      <c r="M553" s="23">
        <f t="shared" si="78"/>
        <v>9</v>
      </c>
      <c r="N553" s="23"/>
      <c r="O553" s="23">
        <v>10</v>
      </c>
    </row>
    <row r="554" spans="1:17" hidden="1" outlineLevel="1">
      <c r="A554" s="96">
        <v>45650</v>
      </c>
      <c r="B554" s="17" t="s">
        <v>19</v>
      </c>
      <c r="C554" s="138">
        <v>88</v>
      </c>
      <c r="D554" s="100"/>
      <c r="E554" s="22">
        <f t="shared" si="76"/>
        <v>-4704</v>
      </c>
      <c r="G554" s="78">
        <v>120</v>
      </c>
      <c r="H554" s="62">
        <f>C550+I554</f>
        <v>72</v>
      </c>
      <c r="I554" s="20"/>
      <c r="J554" s="21"/>
      <c r="K554" s="57">
        <v>72</v>
      </c>
      <c r="L554" s="23">
        <f t="shared" si="77"/>
        <v>-39</v>
      </c>
      <c r="M554" s="23">
        <f t="shared" si="78"/>
        <v>-39</v>
      </c>
      <c r="N554" s="23"/>
      <c r="O554" s="23">
        <v>9</v>
      </c>
    </row>
    <row r="555" spans="1:17" hidden="1" outlineLevel="1">
      <c r="A555" s="96">
        <v>45651</v>
      </c>
      <c r="B555" s="17" t="s">
        <v>20</v>
      </c>
      <c r="C555" s="138">
        <v>88</v>
      </c>
      <c r="D555" s="100"/>
      <c r="E555" s="22">
        <f t="shared" si="76"/>
        <v>-4792</v>
      </c>
      <c r="G555" s="78">
        <v>80</v>
      </c>
      <c r="H555" s="62">
        <f>C553+I555</f>
        <v>80</v>
      </c>
      <c r="I555" s="20"/>
      <c r="J555" s="21"/>
      <c r="K555" s="57">
        <v>80</v>
      </c>
      <c r="L555" s="23">
        <f t="shared" si="77"/>
        <v>-39</v>
      </c>
      <c r="M555" s="23">
        <f t="shared" si="78"/>
        <v>-39</v>
      </c>
      <c r="N555" s="23"/>
      <c r="O555" s="23">
        <v>0</v>
      </c>
    </row>
    <row r="556" spans="1:17" hidden="1" outlineLevel="1">
      <c r="A556" s="96">
        <v>45652</v>
      </c>
      <c r="B556" s="17" t="s">
        <v>14</v>
      </c>
      <c r="C556" s="138">
        <v>88</v>
      </c>
      <c r="D556" s="100"/>
      <c r="E556" s="22">
        <f t="shared" si="76"/>
        <v>-4880</v>
      </c>
      <c r="G556" s="78">
        <v>88</v>
      </c>
      <c r="H556" s="62">
        <f>C554+I556</f>
        <v>88</v>
      </c>
      <c r="I556" s="20"/>
      <c r="J556" s="21"/>
      <c r="K556" s="57">
        <v>88</v>
      </c>
      <c r="L556" s="23">
        <f t="shared" si="77"/>
        <v>-39</v>
      </c>
      <c r="M556" s="23">
        <f t="shared" si="78"/>
        <v>-39</v>
      </c>
      <c r="N556" s="23"/>
      <c r="O556" s="23">
        <v>19</v>
      </c>
    </row>
    <row r="557" spans="1:17" hidden="1" outlineLevel="1">
      <c r="A557" s="96">
        <v>45653</v>
      </c>
      <c r="B557" s="17" t="s">
        <v>15</v>
      </c>
      <c r="C557" s="138">
        <v>80</v>
      </c>
      <c r="D557" s="100"/>
      <c r="E557" s="22">
        <f t="shared" si="76"/>
        <v>-4960</v>
      </c>
      <c r="G557" s="78">
        <v>80</v>
      </c>
      <c r="H557" s="62">
        <f>C555+I557</f>
        <v>88</v>
      </c>
      <c r="I557" s="20"/>
      <c r="J557" s="21"/>
      <c r="K557" s="57">
        <v>88</v>
      </c>
      <c r="L557" s="23">
        <f t="shared" si="77"/>
        <v>-31</v>
      </c>
      <c r="M557" s="23">
        <f t="shared" si="78"/>
        <v>-31</v>
      </c>
      <c r="N557" s="23"/>
      <c r="O557" s="23">
        <v>6</v>
      </c>
      <c r="Q557" s="1">
        <f>AVERAGE(G553:G557)</f>
        <v>91.2</v>
      </c>
    </row>
    <row r="558" spans="1:17" s="12" customFormat="1" hidden="1" outlineLevel="1" collapsed="1">
      <c r="A558" s="95">
        <v>45654</v>
      </c>
      <c r="B558" s="25" t="s">
        <v>16</v>
      </c>
      <c r="C558" s="69"/>
      <c r="D558" s="99"/>
      <c r="E558" s="87">
        <f t="shared" si="76"/>
        <v>-4960</v>
      </c>
      <c r="G558" s="79"/>
      <c r="H558" s="63"/>
      <c r="I558" s="27"/>
      <c r="J558" s="28"/>
      <c r="K558" s="43"/>
      <c r="L558" s="29">
        <f t="shared" si="77"/>
        <v>-31</v>
      </c>
      <c r="M558" s="29">
        <f t="shared" si="78"/>
        <v>-31</v>
      </c>
      <c r="N558" s="29"/>
      <c r="O558" s="29"/>
    </row>
    <row r="559" spans="1:17" s="12" customFormat="1" hidden="1" outlineLevel="1">
      <c r="A559" s="95">
        <v>45655</v>
      </c>
      <c r="B559" s="25" t="s">
        <v>17</v>
      </c>
      <c r="C559" s="69"/>
      <c r="D559" s="99"/>
      <c r="E559" s="87">
        <f t="shared" si="76"/>
        <v>-4960</v>
      </c>
      <c r="G559" s="79"/>
      <c r="H559" s="63"/>
      <c r="I559" s="27"/>
      <c r="J559" s="28"/>
      <c r="K559" s="43"/>
      <c r="L559" s="29">
        <f t="shared" si="77"/>
        <v>-31</v>
      </c>
      <c r="M559" s="29">
        <f t="shared" si="78"/>
        <v>-31</v>
      </c>
      <c r="N559" s="29"/>
      <c r="O559" s="29"/>
    </row>
    <row r="560" spans="1:17" s="12" customFormat="1" hidden="1" outlineLevel="1">
      <c r="A560" s="95">
        <v>45656</v>
      </c>
      <c r="B560" s="25" t="s">
        <v>18</v>
      </c>
      <c r="C560" s="69"/>
      <c r="D560" s="99"/>
      <c r="E560" s="87">
        <f t="shared" si="76"/>
        <v>-4960</v>
      </c>
      <c r="G560" s="79"/>
      <c r="H560" s="63"/>
      <c r="I560" s="27"/>
      <c r="J560" s="28"/>
      <c r="K560" s="43"/>
      <c r="L560" s="29">
        <f t="shared" si="77"/>
        <v>-31</v>
      </c>
      <c r="M560" s="29">
        <f t="shared" si="78"/>
        <v>-31</v>
      </c>
      <c r="N560" s="29"/>
      <c r="O560" s="29"/>
    </row>
    <row r="561" spans="1:17" s="12" customFormat="1" hidden="1" outlineLevel="1">
      <c r="A561" s="95">
        <v>45657</v>
      </c>
      <c r="B561" s="25" t="s">
        <v>19</v>
      </c>
      <c r="C561" s="69"/>
      <c r="D561" s="99"/>
      <c r="E561" s="87">
        <f t="shared" si="76"/>
        <v>-4960</v>
      </c>
      <c r="G561" s="79"/>
      <c r="H561" s="63"/>
      <c r="I561" s="27"/>
      <c r="J561" s="28"/>
      <c r="K561" s="43"/>
      <c r="L561" s="29">
        <f t="shared" si="77"/>
        <v>-31</v>
      </c>
      <c r="M561" s="29">
        <f t="shared" si="78"/>
        <v>-31</v>
      </c>
      <c r="N561" s="29"/>
      <c r="O561" s="29"/>
    </row>
    <row r="562" spans="1:17" s="12" customFormat="1" hidden="1" outlineLevel="1">
      <c r="A562" s="95">
        <v>45658</v>
      </c>
      <c r="B562" s="25" t="s">
        <v>20</v>
      </c>
      <c r="C562" s="69"/>
      <c r="D562" s="99"/>
      <c r="E562" s="87">
        <f t="shared" si="76"/>
        <v>-4960</v>
      </c>
      <c r="G562" s="79"/>
      <c r="H562" s="63"/>
      <c r="I562" s="27"/>
      <c r="J562" s="28"/>
      <c r="K562" s="43"/>
      <c r="L562" s="29">
        <f t="shared" ref="L562:L592" si="79">L561-G562+K562</f>
        <v>-31</v>
      </c>
      <c r="M562" s="29">
        <f t="shared" ref="M562:M592" si="80">M561-G562+H562</f>
        <v>-31</v>
      </c>
      <c r="N562" s="29"/>
      <c r="O562" s="29"/>
    </row>
    <row r="563" spans="1:17" s="12" customFormat="1" hidden="1" outlineLevel="1">
      <c r="A563" s="95">
        <v>45659</v>
      </c>
      <c r="B563" s="25" t="s">
        <v>14</v>
      </c>
      <c r="C563" s="69"/>
      <c r="D563" s="99"/>
      <c r="E563" s="87">
        <f t="shared" si="76"/>
        <v>-4960</v>
      </c>
      <c r="G563" s="79"/>
      <c r="H563" s="63"/>
      <c r="I563" s="27"/>
      <c r="J563" s="28"/>
      <c r="K563" s="43"/>
      <c r="L563" s="29">
        <f t="shared" si="79"/>
        <v>-31</v>
      </c>
      <c r="M563" s="29">
        <f t="shared" si="80"/>
        <v>-31</v>
      </c>
      <c r="N563" s="29"/>
      <c r="O563" s="29"/>
    </row>
    <row r="564" spans="1:17" s="12" customFormat="1" hidden="1" outlineLevel="1">
      <c r="A564" s="95">
        <v>45660</v>
      </c>
      <c r="B564" s="25" t="s">
        <v>15</v>
      </c>
      <c r="C564" s="69"/>
      <c r="D564" s="99"/>
      <c r="E564" s="87">
        <f t="shared" si="76"/>
        <v>-4960</v>
      </c>
      <c r="G564" s="79"/>
      <c r="H564" s="63"/>
      <c r="I564" s="27"/>
      <c r="J564" s="28"/>
      <c r="K564" s="43"/>
      <c r="L564" s="29">
        <f t="shared" si="79"/>
        <v>-31</v>
      </c>
      <c r="M564" s="29">
        <f t="shared" si="80"/>
        <v>-31</v>
      </c>
      <c r="N564" s="29"/>
      <c r="O564" s="29"/>
    </row>
    <row r="565" spans="1:17" s="12" customFormat="1" hidden="1" outlineLevel="1">
      <c r="A565" s="95">
        <v>45661</v>
      </c>
      <c r="B565" s="25" t="s">
        <v>16</v>
      </c>
      <c r="C565" s="69"/>
      <c r="D565" s="99"/>
      <c r="E565" s="87">
        <f t="shared" si="76"/>
        <v>-4960</v>
      </c>
      <c r="G565" s="79"/>
      <c r="H565" s="63"/>
      <c r="I565" s="27"/>
      <c r="J565" s="28"/>
      <c r="K565" s="43"/>
      <c r="L565" s="29">
        <f t="shared" si="79"/>
        <v>-31</v>
      </c>
      <c r="M565" s="29">
        <f t="shared" si="80"/>
        <v>-31</v>
      </c>
      <c r="N565" s="29"/>
      <c r="O565" s="29"/>
    </row>
    <row r="566" spans="1:17" s="12" customFormat="1" hidden="1" outlineLevel="1" collapsed="1">
      <c r="A566" s="95">
        <v>45662</v>
      </c>
      <c r="B566" s="25" t="s">
        <v>17</v>
      </c>
      <c r="C566" s="69"/>
      <c r="D566" s="99"/>
      <c r="E566" s="87">
        <f t="shared" si="76"/>
        <v>-4960</v>
      </c>
      <c r="G566" s="79"/>
      <c r="H566" s="63"/>
      <c r="I566" s="27"/>
      <c r="J566" s="28"/>
      <c r="K566" s="43"/>
      <c r="L566" s="29">
        <f t="shared" si="79"/>
        <v>-31</v>
      </c>
      <c r="M566" s="29">
        <f t="shared" si="80"/>
        <v>-31</v>
      </c>
      <c r="N566" s="29"/>
      <c r="O566" s="29"/>
    </row>
    <row r="567" spans="1:17" hidden="1" outlineLevel="1">
      <c r="A567" s="96">
        <v>45663</v>
      </c>
      <c r="B567" s="17" t="s">
        <v>18</v>
      </c>
      <c r="C567" s="68">
        <v>56</v>
      </c>
      <c r="D567" s="100"/>
      <c r="E567" s="22">
        <f t="shared" si="76"/>
        <v>-5016</v>
      </c>
      <c r="G567" s="78">
        <v>104</v>
      </c>
      <c r="H567" s="62">
        <f>C556+I567</f>
        <v>88</v>
      </c>
      <c r="I567" s="20"/>
      <c r="J567" s="21"/>
      <c r="K567" s="57">
        <v>88</v>
      </c>
      <c r="L567" s="23">
        <f t="shared" si="79"/>
        <v>-47</v>
      </c>
      <c r="M567" s="23">
        <f t="shared" si="80"/>
        <v>-47</v>
      </c>
      <c r="N567" s="23"/>
      <c r="O567" s="23">
        <v>0</v>
      </c>
    </row>
    <row r="568" spans="1:17" hidden="1" outlineLevel="1">
      <c r="A568" s="96">
        <v>45664</v>
      </c>
      <c r="B568" s="17" t="s">
        <v>19</v>
      </c>
      <c r="C568" s="68">
        <v>64</v>
      </c>
      <c r="D568" s="100"/>
      <c r="E568" s="22">
        <f t="shared" si="76"/>
        <v>-5080</v>
      </c>
      <c r="G568" s="78">
        <v>0</v>
      </c>
      <c r="H568" s="62">
        <f>C557+I568</f>
        <v>80</v>
      </c>
      <c r="I568" s="20">
        <v>0</v>
      </c>
      <c r="J568" s="21"/>
      <c r="K568" s="57">
        <v>80</v>
      </c>
      <c r="L568" s="23">
        <f t="shared" si="79"/>
        <v>33</v>
      </c>
      <c r="M568" s="23">
        <f t="shared" si="80"/>
        <v>33</v>
      </c>
      <c r="N568" s="23"/>
      <c r="O568" s="23">
        <v>10</v>
      </c>
    </row>
    <row r="569" spans="1:17" hidden="1" outlineLevel="1">
      <c r="A569" s="96">
        <v>45665</v>
      </c>
      <c r="B569" s="17" t="s">
        <v>20</v>
      </c>
      <c r="C569" s="68">
        <v>64</v>
      </c>
      <c r="D569" s="100"/>
      <c r="E569" s="22">
        <f t="shared" si="76"/>
        <v>-5144</v>
      </c>
      <c r="G569" s="78">
        <v>32</v>
      </c>
      <c r="H569" s="62">
        <f>C567+I569</f>
        <v>56</v>
      </c>
      <c r="I569" s="20"/>
      <c r="J569" s="21"/>
      <c r="K569" s="57">
        <v>56</v>
      </c>
      <c r="L569" s="23">
        <f t="shared" si="79"/>
        <v>57</v>
      </c>
      <c r="M569" s="23">
        <f t="shared" si="80"/>
        <v>57</v>
      </c>
      <c r="N569" s="23"/>
      <c r="O569" s="23">
        <v>22</v>
      </c>
    </row>
    <row r="570" spans="1:17" hidden="1" outlineLevel="1">
      <c r="A570" s="96">
        <v>45666</v>
      </c>
      <c r="B570" s="17" t="s">
        <v>14</v>
      </c>
      <c r="C570" s="68">
        <v>64</v>
      </c>
      <c r="D570" s="100"/>
      <c r="E570" s="22">
        <f t="shared" si="76"/>
        <v>-5208</v>
      </c>
      <c r="G570" s="78">
        <v>80</v>
      </c>
      <c r="H570" s="62">
        <f>C568+I570</f>
        <v>64</v>
      </c>
      <c r="I570" s="20"/>
      <c r="J570" s="21"/>
      <c r="K570" s="57">
        <v>64</v>
      </c>
      <c r="L570" s="23">
        <f t="shared" si="79"/>
        <v>41</v>
      </c>
      <c r="M570" s="23">
        <f t="shared" si="80"/>
        <v>41</v>
      </c>
      <c r="N570" s="23"/>
      <c r="O570" s="23">
        <v>0</v>
      </c>
    </row>
    <row r="571" spans="1:17" hidden="1" outlineLevel="1">
      <c r="A571" s="96">
        <v>45667</v>
      </c>
      <c r="B571" s="17" t="s">
        <v>15</v>
      </c>
      <c r="C571" s="68">
        <v>64</v>
      </c>
      <c r="D571" s="100"/>
      <c r="E571" s="22">
        <f t="shared" ref="E571:E621" si="81">E570-C571+D571</f>
        <v>-5272</v>
      </c>
      <c r="G571" s="78">
        <v>80</v>
      </c>
      <c r="H571" s="62">
        <f>C569+I571</f>
        <v>64</v>
      </c>
      <c r="I571" s="20"/>
      <c r="J571" s="21"/>
      <c r="K571" s="57">
        <v>64</v>
      </c>
      <c r="L571" s="23">
        <f t="shared" si="79"/>
        <v>25</v>
      </c>
      <c r="M571" s="23">
        <f t="shared" si="80"/>
        <v>25</v>
      </c>
      <c r="N571" s="23"/>
      <c r="O571" s="23">
        <v>13</v>
      </c>
      <c r="Q571" s="1">
        <f>AVERAGE(G567:G571)</f>
        <v>59.2</v>
      </c>
    </row>
    <row r="572" spans="1:17" s="12" customFormat="1" hidden="1" outlineLevel="1">
      <c r="A572" s="95">
        <v>45668</v>
      </c>
      <c r="B572" s="25" t="s">
        <v>16</v>
      </c>
      <c r="C572" s="69"/>
      <c r="D572" s="99"/>
      <c r="E572" s="87">
        <f t="shared" si="81"/>
        <v>-5272</v>
      </c>
      <c r="G572" s="79"/>
      <c r="H572" s="63"/>
      <c r="I572" s="27"/>
      <c r="J572" s="28"/>
      <c r="K572" s="43"/>
      <c r="L572" s="29">
        <f t="shared" si="79"/>
        <v>25</v>
      </c>
      <c r="M572" s="29">
        <f t="shared" si="80"/>
        <v>25</v>
      </c>
      <c r="N572" s="29"/>
      <c r="O572" s="29"/>
    </row>
    <row r="573" spans="1:17" s="12" customFormat="1" hidden="1" outlineLevel="1">
      <c r="A573" s="95">
        <v>45669</v>
      </c>
      <c r="B573" s="25" t="s">
        <v>17</v>
      </c>
      <c r="C573" s="69"/>
      <c r="D573" s="99"/>
      <c r="E573" s="87">
        <f t="shared" si="81"/>
        <v>-5272</v>
      </c>
      <c r="G573" s="79"/>
      <c r="H573" s="63"/>
      <c r="I573" s="27"/>
      <c r="J573" s="28"/>
      <c r="K573" s="43"/>
      <c r="L573" s="29">
        <f t="shared" si="79"/>
        <v>25</v>
      </c>
      <c r="M573" s="29">
        <f t="shared" si="80"/>
        <v>25</v>
      </c>
      <c r="N573" s="29"/>
      <c r="O573" s="29"/>
    </row>
    <row r="574" spans="1:17" s="12" customFormat="1" hidden="1" outlineLevel="1" collapsed="1">
      <c r="A574" s="95">
        <v>45670</v>
      </c>
      <c r="B574" s="25" t="s">
        <v>18</v>
      </c>
      <c r="C574" s="69"/>
      <c r="D574" s="99"/>
      <c r="E574" s="87">
        <f t="shared" si="81"/>
        <v>-5272</v>
      </c>
      <c r="G574" s="79"/>
      <c r="H574" s="63"/>
      <c r="I574" s="27"/>
      <c r="J574" s="28"/>
      <c r="K574" s="43"/>
      <c r="L574" s="29">
        <f t="shared" si="79"/>
        <v>25</v>
      </c>
      <c r="M574" s="29">
        <f t="shared" si="80"/>
        <v>25</v>
      </c>
      <c r="N574" s="29"/>
      <c r="O574" s="29"/>
    </row>
    <row r="575" spans="1:17" hidden="1" outlineLevel="1">
      <c r="A575" s="96">
        <v>45671</v>
      </c>
      <c r="B575" s="17" t="s">
        <v>19</v>
      </c>
      <c r="C575" s="68">
        <v>72</v>
      </c>
      <c r="D575" s="100"/>
      <c r="E575" s="22">
        <f t="shared" si="81"/>
        <v>-5344</v>
      </c>
      <c r="G575" s="78">
        <v>88</v>
      </c>
      <c r="H575" s="62">
        <f>C570+I575</f>
        <v>64</v>
      </c>
      <c r="I575" s="20"/>
      <c r="J575" s="21"/>
      <c r="K575" s="57">
        <v>64</v>
      </c>
      <c r="L575" s="23">
        <f t="shared" si="79"/>
        <v>1</v>
      </c>
      <c r="M575" s="23">
        <f t="shared" si="80"/>
        <v>1</v>
      </c>
      <c r="N575" s="23"/>
      <c r="O575" s="23"/>
    </row>
    <row r="576" spans="1:17" hidden="1" outlineLevel="1">
      <c r="A576" s="96">
        <v>45672</v>
      </c>
      <c r="B576" s="17" t="s">
        <v>20</v>
      </c>
      <c r="C576" s="68">
        <f>72+3</f>
        <v>75</v>
      </c>
      <c r="D576" s="100"/>
      <c r="E576" s="22">
        <f t="shared" si="81"/>
        <v>-5419</v>
      </c>
      <c r="G576" s="78">
        <v>80</v>
      </c>
      <c r="H576" s="62">
        <f>C571+I576</f>
        <v>64</v>
      </c>
      <c r="I576" s="20"/>
      <c r="J576" s="21"/>
      <c r="K576" s="57">
        <v>64</v>
      </c>
      <c r="L576" s="23">
        <f t="shared" si="79"/>
        <v>-15</v>
      </c>
      <c r="M576" s="23">
        <f t="shared" si="80"/>
        <v>-15</v>
      </c>
      <c r="N576" s="23"/>
      <c r="O576" s="23"/>
    </row>
    <row r="577" spans="1:17" hidden="1" outlineLevel="1">
      <c r="A577" s="96">
        <v>45673</v>
      </c>
      <c r="B577" s="17" t="s">
        <v>14</v>
      </c>
      <c r="C577" s="68">
        <v>72</v>
      </c>
      <c r="D577" s="100"/>
      <c r="E577" s="22">
        <f t="shared" si="81"/>
        <v>-5491</v>
      </c>
      <c r="G577" s="78">
        <v>72</v>
      </c>
      <c r="H577" s="62">
        <f>C575+I577</f>
        <v>72</v>
      </c>
      <c r="I577" s="20"/>
      <c r="J577" s="21"/>
      <c r="K577" s="57">
        <v>72</v>
      </c>
      <c r="L577" s="23">
        <f t="shared" si="79"/>
        <v>-15</v>
      </c>
      <c r="M577" s="23">
        <f t="shared" si="80"/>
        <v>-15</v>
      </c>
      <c r="N577" s="23"/>
      <c r="O577" s="23">
        <v>9</v>
      </c>
    </row>
    <row r="578" spans="1:17" hidden="1" outlineLevel="1">
      <c r="A578" s="96">
        <v>45674</v>
      </c>
      <c r="B578" s="17" t="s">
        <v>15</v>
      </c>
      <c r="C578" s="68">
        <v>72</v>
      </c>
      <c r="D578" s="100"/>
      <c r="E578" s="22">
        <f t="shared" si="81"/>
        <v>-5563</v>
      </c>
      <c r="G578" s="78">
        <v>83</v>
      </c>
      <c r="H578" s="62">
        <f>C576+I578</f>
        <v>75</v>
      </c>
      <c r="I578" s="20"/>
      <c r="J578" s="21"/>
      <c r="K578" s="57">
        <v>75</v>
      </c>
      <c r="L578" s="23">
        <f t="shared" si="79"/>
        <v>-23</v>
      </c>
      <c r="M578" s="23">
        <f t="shared" si="80"/>
        <v>-23</v>
      </c>
      <c r="N578" s="23"/>
      <c r="O578" s="23">
        <v>11</v>
      </c>
      <c r="Q578" s="1">
        <f>AVERAGE(G575:G578)</f>
        <v>80.75</v>
      </c>
    </row>
    <row r="579" spans="1:17" s="12" customFormat="1" hidden="1" outlineLevel="1">
      <c r="A579" s="95">
        <v>45675</v>
      </c>
      <c r="B579" s="25" t="s">
        <v>16</v>
      </c>
      <c r="C579" s="69"/>
      <c r="D579" s="99"/>
      <c r="E579" s="87">
        <f t="shared" si="81"/>
        <v>-5563</v>
      </c>
      <c r="G579" s="79"/>
      <c r="H579" s="63"/>
      <c r="I579" s="27"/>
      <c r="J579" s="28"/>
      <c r="K579" s="43"/>
      <c r="L579" s="29">
        <f t="shared" si="79"/>
        <v>-23</v>
      </c>
      <c r="M579" s="29">
        <f t="shared" si="80"/>
        <v>-23</v>
      </c>
      <c r="N579" s="29"/>
      <c r="O579" s="29"/>
    </row>
    <row r="580" spans="1:17" s="12" customFormat="1" hidden="1" outlineLevel="1" collapsed="1">
      <c r="A580" s="95">
        <v>45676</v>
      </c>
      <c r="B580" s="25" t="s">
        <v>17</v>
      </c>
      <c r="C580" s="69"/>
      <c r="D580" s="99"/>
      <c r="E580" s="87">
        <f t="shared" si="81"/>
        <v>-5563</v>
      </c>
      <c r="G580" s="79"/>
      <c r="H580" s="63"/>
      <c r="I580" s="27"/>
      <c r="J580" s="28"/>
      <c r="K580" s="43"/>
      <c r="L580" s="29">
        <f t="shared" si="79"/>
        <v>-23</v>
      </c>
      <c r="M580" s="29">
        <f t="shared" si="80"/>
        <v>-23</v>
      </c>
      <c r="N580" s="29"/>
      <c r="O580" s="29"/>
    </row>
    <row r="581" spans="1:17" hidden="1" outlineLevel="1">
      <c r="A581" s="96">
        <v>45677</v>
      </c>
      <c r="B581" s="17" t="s">
        <v>18</v>
      </c>
      <c r="C581" s="68">
        <v>72</v>
      </c>
      <c r="D581" s="100"/>
      <c r="E581" s="22">
        <f t="shared" si="81"/>
        <v>-5635</v>
      </c>
      <c r="G581" s="78">
        <v>64</v>
      </c>
      <c r="H581" s="62">
        <f>C577+I581</f>
        <v>72</v>
      </c>
      <c r="I581" s="20"/>
      <c r="J581" s="21"/>
      <c r="K581" s="57">
        <v>72</v>
      </c>
      <c r="L581" s="23">
        <f t="shared" si="79"/>
        <v>-15</v>
      </c>
      <c r="M581" s="23">
        <f t="shared" si="80"/>
        <v>-15</v>
      </c>
      <c r="N581" s="23"/>
      <c r="O581" s="23"/>
    </row>
    <row r="582" spans="1:17" hidden="1" outlineLevel="1">
      <c r="A582" s="96">
        <v>45678</v>
      </c>
      <c r="B582" s="17" t="s">
        <v>19</v>
      </c>
      <c r="C582" s="68">
        <v>72</v>
      </c>
      <c r="D582" s="100"/>
      <c r="E582" s="22">
        <f t="shared" si="81"/>
        <v>-5707</v>
      </c>
      <c r="G582" s="78">
        <v>88</v>
      </c>
      <c r="H582" s="62">
        <f>C578+I582</f>
        <v>72</v>
      </c>
      <c r="I582" s="20"/>
      <c r="J582" s="21"/>
      <c r="K582" s="57">
        <v>72</v>
      </c>
      <c r="L582" s="23">
        <f t="shared" si="79"/>
        <v>-31</v>
      </c>
      <c r="M582" s="23">
        <f t="shared" si="80"/>
        <v>-31</v>
      </c>
      <c r="N582" s="23"/>
      <c r="O582" s="23"/>
    </row>
    <row r="583" spans="1:17" hidden="1" outlineLevel="1">
      <c r="A583" s="96">
        <v>45679</v>
      </c>
      <c r="B583" s="17" t="s">
        <v>20</v>
      </c>
      <c r="C583" s="68">
        <v>72</v>
      </c>
      <c r="D583" s="100"/>
      <c r="E583" s="22">
        <f t="shared" si="81"/>
        <v>-5779</v>
      </c>
      <c r="G583" s="78">
        <v>72</v>
      </c>
      <c r="H583" s="62">
        <f>C581+I583</f>
        <v>72</v>
      </c>
      <c r="I583" s="20"/>
      <c r="J583" s="21"/>
      <c r="K583" s="57">
        <v>72</v>
      </c>
      <c r="L583" s="23">
        <f t="shared" si="79"/>
        <v>-31</v>
      </c>
      <c r="M583" s="23">
        <f t="shared" si="80"/>
        <v>-31</v>
      </c>
      <c r="N583" s="23"/>
      <c r="O583" s="23">
        <v>10</v>
      </c>
    </row>
    <row r="584" spans="1:17" hidden="1" outlineLevel="1">
      <c r="A584" s="96">
        <v>45680</v>
      </c>
      <c r="B584" s="17" t="s">
        <v>14</v>
      </c>
      <c r="C584" s="68">
        <v>72</v>
      </c>
      <c r="D584" s="100"/>
      <c r="E584" s="22">
        <f t="shared" si="81"/>
        <v>-5851</v>
      </c>
      <c r="G584" s="78">
        <v>72</v>
      </c>
      <c r="H584" s="62">
        <f>C582+I584</f>
        <v>72</v>
      </c>
      <c r="I584" s="20"/>
      <c r="J584" s="21"/>
      <c r="K584" s="57">
        <v>72</v>
      </c>
      <c r="L584" s="23">
        <f t="shared" si="79"/>
        <v>-31</v>
      </c>
      <c r="M584" s="23">
        <f t="shared" si="80"/>
        <v>-31</v>
      </c>
      <c r="N584" s="23"/>
      <c r="O584" s="23">
        <v>10</v>
      </c>
    </row>
    <row r="585" spans="1:17" hidden="1" outlineLevel="1">
      <c r="A585" s="96">
        <v>45681</v>
      </c>
      <c r="B585" s="17" t="s">
        <v>15</v>
      </c>
      <c r="C585" s="68">
        <v>72</v>
      </c>
      <c r="D585" s="100"/>
      <c r="E585" s="22">
        <f t="shared" si="81"/>
        <v>-5923</v>
      </c>
      <c r="G585" s="78">
        <v>72</v>
      </c>
      <c r="H585" s="62">
        <f>C583+I585</f>
        <v>72</v>
      </c>
      <c r="I585" s="20"/>
      <c r="J585" s="21"/>
      <c r="K585" s="57">
        <v>72</v>
      </c>
      <c r="L585" s="23">
        <f t="shared" si="79"/>
        <v>-31</v>
      </c>
      <c r="M585" s="23">
        <f t="shared" si="80"/>
        <v>-31</v>
      </c>
      <c r="N585" s="23"/>
      <c r="O585" s="23">
        <v>0</v>
      </c>
      <c r="Q585" s="1">
        <f>AVERAGE(G581:G585)</f>
        <v>73.599999999999994</v>
      </c>
    </row>
    <row r="586" spans="1:17" s="12" customFormat="1" hidden="1" outlineLevel="1">
      <c r="A586" s="95">
        <v>45682</v>
      </c>
      <c r="B586" s="25" t="s">
        <v>16</v>
      </c>
      <c r="C586" s="69"/>
      <c r="D586" s="99"/>
      <c r="E586" s="87">
        <f t="shared" si="81"/>
        <v>-5923</v>
      </c>
      <c r="G586" s="79"/>
      <c r="H586" s="63"/>
      <c r="I586" s="27"/>
      <c r="J586" s="28"/>
      <c r="K586" s="43"/>
      <c r="L586" s="29">
        <f t="shared" si="79"/>
        <v>-31</v>
      </c>
      <c r="M586" s="29">
        <f t="shared" si="80"/>
        <v>-31</v>
      </c>
      <c r="N586" s="29"/>
      <c r="O586" s="29"/>
    </row>
    <row r="587" spans="1:17" s="12" customFormat="1" hidden="1" outlineLevel="1" collapsed="1">
      <c r="A587" s="95">
        <v>45683</v>
      </c>
      <c r="B587" s="25" t="s">
        <v>17</v>
      </c>
      <c r="C587" s="69"/>
      <c r="D587" s="99"/>
      <c r="E587" s="87">
        <f t="shared" si="81"/>
        <v>-5923</v>
      </c>
      <c r="G587" s="79"/>
      <c r="H587" s="63"/>
      <c r="I587" s="27"/>
      <c r="J587" s="28"/>
      <c r="K587" s="43"/>
      <c r="L587" s="29">
        <f t="shared" si="79"/>
        <v>-31</v>
      </c>
      <c r="M587" s="29">
        <f t="shared" si="80"/>
        <v>-31</v>
      </c>
      <c r="N587" s="29"/>
      <c r="O587" s="29"/>
    </row>
    <row r="588" spans="1:17" hidden="1" outlineLevel="1">
      <c r="A588" s="96">
        <v>45684</v>
      </c>
      <c r="B588" s="17" t="s">
        <v>18</v>
      </c>
      <c r="C588" s="68">
        <v>80</v>
      </c>
      <c r="D588" s="100"/>
      <c r="E588" s="22">
        <f t="shared" si="81"/>
        <v>-6003</v>
      </c>
      <c r="G588" s="78">
        <v>72</v>
      </c>
      <c r="H588" s="62">
        <f>C584+I588</f>
        <v>72</v>
      </c>
      <c r="I588" s="20"/>
      <c r="J588" s="21"/>
      <c r="K588" s="57">
        <v>72</v>
      </c>
      <c r="L588" s="23">
        <f t="shared" si="79"/>
        <v>-31</v>
      </c>
      <c r="M588" s="23">
        <f t="shared" si="80"/>
        <v>-31</v>
      </c>
      <c r="N588" s="23"/>
      <c r="O588" s="23">
        <v>0</v>
      </c>
    </row>
    <row r="589" spans="1:17" hidden="1" outlineLevel="1">
      <c r="A589" s="96">
        <v>45685</v>
      </c>
      <c r="B589" s="17" t="s">
        <v>19</v>
      </c>
      <c r="C589" s="68">
        <v>80</v>
      </c>
      <c r="D589" s="100"/>
      <c r="E589" s="22">
        <f t="shared" si="81"/>
        <v>-6083</v>
      </c>
      <c r="G589" s="78">
        <v>72</v>
      </c>
      <c r="H589" s="62">
        <f>C585+I589</f>
        <v>72</v>
      </c>
      <c r="I589" s="20"/>
      <c r="J589" s="21"/>
      <c r="K589" s="57">
        <v>72</v>
      </c>
      <c r="L589" s="23">
        <f t="shared" si="79"/>
        <v>-31</v>
      </c>
      <c r="M589" s="23">
        <f t="shared" si="80"/>
        <v>-31</v>
      </c>
      <c r="N589" s="23"/>
      <c r="O589" s="23">
        <v>0</v>
      </c>
    </row>
    <row r="590" spans="1:17" hidden="1" outlineLevel="1">
      <c r="A590" s="96">
        <v>45686</v>
      </c>
      <c r="B590" s="17" t="s">
        <v>20</v>
      </c>
      <c r="C590" s="68">
        <v>80</v>
      </c>
      <c r="D590" s="100"/>
      <c r="E590" s="22">
        <f t="shared" si="81"/>
        <v>-6163</v>
      </c>
      <c r="G590" s="78">
        <v>64</v>
      </c>
      <c r="H590" s="62">
        <f>C588+I590</f>
        <v>80</v>
      </c>
      <c r="I590" s="20"/>
      <c r="J590" s="21"/>
      <c r="K590" s="57">
        <v>80</v>
      </c>
      <c r="L590" s="23">
        <f t="shared" si="79"/>
        <v>-15</v>
      </c>
      <c r="M590" s="23">
        <f t="shared" si="80"/>
        <v>-15</v>
      </c>
      <c r="N590" s="23"/>
      <c r="O590" s="23">
        <v>18</v>
      </c>
    </row>
    <row r="591" spans="1:17" hidden="1" outlineLevel="1">
      <c r="A591" s="96">
        <v>45687</v>
      </c>
      <c r="B591" s="17" t="s">
        <v>14</v>
      </c>
      <c r="C591" s="68">
        <v>80</v>
      </c>
      <c r="D591" s="100"/>
      <c r="E591" s="22">
        <f t="shared" si="81"/>
        <v>-6243</v>
      </c>
      <c r="G591" s="78">
        <v>96</v>
      </c>
      <c r="H591" s="62">
        <f>C589+I591</f>
        <v>80</v>
      </c>
      <c r="I591" s="20"/>
      <c r="J591" s="21"/>
      <c r="K591" s="57">
        <v>80</v>
      </c>
      <c r="L591" s="23">
        <f t="shared" si="79"/>
        <v>-31</v>
      </c>
      <c r="M591" s="23">
        <f t="shared" si="80"/>
        <v>-31</v>
      </c>
      <c r="N591" s="23"/>
      <c r="O591" s="23">
        <v>10</v>
      </c>
    </row>
    <row r="592" spans="1:17" hidden="1" outlineLevel="1">
      <c r="A592" s="96">
        <v>45688</v>
      </c>
      <c r="B592" s="17" t="s">
        <v>15</v>
      </c>
      <c r="C592" s="68">
        <v>80</v>
      </c>
      <c r="D592" s="100"/>
      <c r="E592" s="22">
        <f t="shared" si="81"/>
        <v>-6323</v>
      </c>
      <c r="G592" s="78">
        <v>80</v>
      </c>
      <c r="H592" s="62">
        <f>C590+I592</f>
        <v>80</v>
      </c>
      <c r="I592" s="20"/>
      <c r="J592" s="21"/>
      <c r="K592" s="57">
        <v>80</v>
      </c>
      <c r="L592" s="23">
        <f t="shared" si="79"/>
        <v>-31</v>
      </c>
      <c r="M592" s="23">
        <f t="shared" si="80"/>
        <v>-31</v>
      </c>
      <c r="N592" s="23"/>
      <c r="O592" s="23">
        <v>10</v>
      </c>
      <c r="Q592" s="1">
        <f>AVERAGE(G588:G592)</f>
        <v>76.8</v>
      </c>
    </row>
    <row r="593" spans="1:17" s="12" customFormat="1" hidden="1" outlineLevel="1">
      <c r="A593" s="95">
        <v>45689</v>
      </c>
      <c r="B593" s="25" t="s">
        <v>16</v>
      </c>
      <c r="C593" s="69"/>
      <c r="D593" s="99"/>
      <c r="E593" s="87">
        <f t="shared" si="81"/>
        <v>-6323</v>
      </c>
      <c r="G593" s="79"/>
      <c r="H593" s="63"/>
      <c r="I593" s="27"/>
      <c r="J593" s="28"/>
      <c r="K593" s="43"/>
      <c r="L593" s="29">
        <f t="shared" ref="L593:L621" si="82">L592-G593+K593</f>
        <v>-31</v>
      </c>
      <c r="M593" s="29">
        <f t="shared" ref="M593:M621" si="83">M592-G593+H593</f>
        <v>-31</v>
      </c>
      <c r="N593" s="29"/>
      <c r="O593" s="29"/>
    </row>
    <row r="594" spans="1:17" s="12" customFormat="1" hidden="1" outlineLevel="1" collapsed="1">
      <c r="A594" s="95">
        <v>45690</v>
      </c>
      <c r="B594" s="25" t="s">
        <v>17</v>
      </c>
      <c r="C594" s="69"/>
      <c r="D594" s="99"/>
      <c r="E594" s="87">
        <f t="shared" si="81"/>
        <v>-6323</v>
      </c>
      <c r="G594" s="79"/>
      <c r="H594" s="63"/>
      <c r="I594" s="27"/>
      <c r="J594" s="28"/>
      <c r="K594" s="43"/>
      <c r="L594" s="29">
        <f t="shared" si="82"/>
        <v>-31</v>
      </c>
      <c r="M594" s="29">
        <f t="shared" si="83"/>
        <v>-31</v>
      </c>
      <c r="N594" s="29"/>
      <c r="O594" s="29"/>
    </row>
    <row r="595" spans="1:17" hidden="1" outlineLevel="1">
      <c r="A595" s="96">
        <v>45691</v>
      </c>
      <c r="B595" s="17" t="s">
        <v>18</v>
      </c>
      <c r="C595" s="68">
        <v>64</v>
      </c>
      <c r="D595" s="100"/>
      <c r="E595" s="22">
        <f t="shared" si="81"/>
        <v>-6387</v>
      </c>
      <c r="G595" s="78">
        <v>64</v>
      </c>
      <c r="H595" s="62">
        <f>C591+I595</f>
        <v>80</v>
      </c>
      <c r="I595" s="20"/>
      <c r="J595" s="21"/>
      <c r="K595" s="57">
        <v>80</v>
      </c>
      <c r="L595" s="23">
        <f t="shared" si="82"/>
        <v>-15</v>
      </c>
      <c r="M595" s="23">
        <f t="shared" si="83"/>
        <v>-15</v>
      </c>
      <c r="N595" s="23"/>
      <c r="O595" s="23">
        <v>0</v>
      </c>
    </row>
    <row r="596" spans="1:17" hidden="1" outlineLevel="1">
      <c r="A596" s="96">
        <v>45692</v>
      </c>
      <c r="B596" s="17" t="s">
        <v>19</v>
      </c>
      <c r="C596" s="68">
        <v>64</v>
      </c>
      <c r="D596" s="100"/>
      <c r="E596" s="22">
        <f t="shared" si="81"/>
        <v>-6451</v>
      </c>
      <c r="G596" s="78">
        <v>72</v>
      </c>
      <c r="H596" s="62">
        <f>C592+I596</f>
        <v>80</v>
      </c>
      <c r="I596" s="20"/>
      <c r="J596" s="21"/>
      <c r="K596" s="57">
        <v>80</v>
      </c>
      <c r="L596" s="23">
        <f t="shared" si="82"/>
        <v>-7</v>
      </c>
      <c r="M596" s="23">
        <f t="shared" si="83"/>
        <v>-7</v>
      </c>
      <c r="N596" s="23"/>
      <c r="O596" s="23">
        <v>10</v>
      </c>
    </row>
    <row r="597" spans="1:17" hidden="1" outlineLevel="1">
      <c r="A597" s="96">
        <v>45693</v>
      </c>
      <c r="B597" s="17" t="s">
        <v>20</v>
      </c>
      <c r="C597" s="68">
        <v>64</v>
      </c>
      <c r="D597" s="100"/>
      <c r="E597" s="22">
        <f t="shared" si="81"/>
        <v>-6515</v>
      </c>
      <c r="G597" s="78">
        <v>56</v>
      </c>
      <c r="H597" s="62">
        <f>C595+I597</f>
        <v>64</v>
      </c>
      <c r="I597" s="20"/>
      <c r="J597" s="21"/>
      <c r="K597" s="57">
        <v>64</v>
      </c>
      <c r="L597" s="23">
        <f t="shared" si="82"/>
        <v>1</v>
      </c>
      <c r="M597" s="23">
        <f t="shared" si="83"/>
        <v>1</v>
      </c>
      <c r="N597" s="23"/>
      <c r="O597" s="23">
        <v>9</v>
      </c>
    </row>
    <row r="598" spans="1:17" hidden="1" outlineLevel="1">
      <c r="A598" s="96">
        <v>45694</v>
      </c>
      <c r="B598" s="17" t="s">
        <v>14</v>
      </c>
      <c r="C598" s="68">
        <v>64</v>
      </c>
      <c r="D598" s="100"/>
      <c r="E598" s="22">
        <f t="shared" si="81"/>
        <v>-6579</v>
      </c>
      <c r="G598" s="78">
        <v>72</v>
      </c>
      <c r="H598" s="62">
        <f>C596+I598</f>
        <v>64</v>
      </c>
      <c r="I598" s="20"/>
      <c r="J598" s="21"/>
      <c r="K598" s="57">
        <v>64</v>
      </c>
      <c r="L598" s="23">
        <f t="shared" si="82"/>
        <v>-7</v>
      </c>
      <c r="M598" s="23">
        <f t="shared" si="83"/>
        <v>-7</v>
      </c>
      <c r="N598" s="23"/>
      <c r="O598" s="23"/>
    </row>
    <row r="599" spans="1:17" hidden="1" outlineLevel="1">
      <c r="A599" s="96">
        <v>45695</v>
      </c>
      <c r="B599" s="17" t="s">
        <v>15</v>
      </c>
      <c r="C599" s="68">
        <v>64</v>
      </c>
      <c r="D599" s="100"/>
      <c r="E599" s="22">
        <f t="shared" si="81"/>
        <v>-6643</v>
      </c>
      <c r="G599" s="78">
        <v>56</v>
      </c>
      <c r="H599" s="62">
        <f>C597+I599</f>
        <v>64</v>
      </c>
      <c r="I599" s="20"/>
      <c r="J599" s="21"/>
      <c r="K599" s="57">
        <v>64</v>
      </c>
      <c r="L599" s="23">
        <f t="shared" si="82"/>
        <v>1</v>
      </c>
      <c r="M599" s="23">
        <f t="shared" si="83"/>
        <v>1</v>
      </c>
      <c r="N599" s="23"/>
      <c r="O599" s="23"/>
      <c r="Q599" s="1">
        <f>AVERAGE(G595:G599)</f>
        <v>64</v>
      </c>
    </row>
    <row r="600" spans="1:17" s="12" customFormat="1" hidden="1" outlineLevel="1">
      <c r="A600" s="95">
        <v>45696</v>
      </c>
      <c r="B600" s="25" t="s">
        <v>16</v>
      </c>
      <c r="C600" s="69"/>
      <c r="D600" s="99"/>
      <c r="E600" s="87">
        <f t="shared" si="81"/>
        <v>-6643</v>
      </c>
      <c r="G600" s="64"/>
      <c r="H600" s="63"/>
      <c r="I600" s="27"/>
      <c r="J600" s="28"/>
      <c r="K600" s="43"/>
      <c r="L600" s="29">
        <f t="shared" si="82"/>
        <v>1</v>
      </c>
      <c r="M600" s="29">
        <f t="shared" si="83"/>
        <v>1</v>
      </c>
      <c r="N600" s="29"/>
      <c r="O600" s="29"/>
    </row>
    <row r="601" spans="1:17" s="12" customFormat="1" hidden="1" outlineLevel="1" collapsed="1">
      <c r="A601" s="95">
        <v>45697</v>
      </c>
      <c r="B601" s="25" t="s">
        <v>17</v>
      </c>
      <c r="C601" s="69"/>
      <c r="D601" s="99"/>
      <c r="E601" s="87">
        <f t="shared" si="81"/>
        <v>-6643</v>
      </c>
      <c r="G601" s="64"/>
      <c r="H601" s="63"/>
      <c r="I601" s="27"/>
      <c r="J601" s="28"/>
      <c r="K601" s="43"/>
      <c r="L601" s="29">
        <f t="shared" si="82"/>
        <v>1</v>
      </c>
      <c r="M601" s="29">
        <f t="shared" si="83"/>
        <v>1</v>
      </c>
      <c r="N601" s="29"/>
      <c r="O601" s="29"/>
    </row>
    <row r="602" spans="1:17" hidden="1" outlineLevel="1">
      <c r="A602" s="96">
        <v>45698</v>
      </c>
      <c r="B602" s="17" t="s">
        <v>18</v>
      </c>
      <c r="C602" s="68">
        <v>72</v>
      </c>
      <c r="D602" s="100"/>
      <c r="E602" s="22">
        <f t="shared" si="81"/>
        <v>-6715</v>
      </c>
      <c r="G602" s="78">
        <v>72</v>
      </c>
      <c r="H602" s="62">
        <f>C598+I602</f>
        <v>64</v>
      </c>
      <c r="I602" s="20"/>
      <c r="J602" s="21"/>
      <c r="K602" s="57">
        <v>64</v>
      </c>
      <c r="L602" s="23">
        <f t="shared" si="82"/>
        <v>-7</v>
      </c>
      <c r="M602" s="23">
        <f t="shared" si="83"/>
        <v>-7</v>
      </c>
      <c r="N602" s="23"/>
      <c r="O602" s="23"/>
    </row>
    <row r="603" spans="1:17" hidden="1" outlineLevel="1">
      <c r="A603" s="96">
        <v>45699</v>
      </c>
      <c r="B603" s="17" t="s">
        <v>19</v>
      </c>
      <c r="C603" s="68">
        <v>72</v>
      </c>
      <c r="D603" s="100"/>
      <c r="E603" s="22">
        <f t="shared" si="81"/>
        <v>-6787</v>
      </c>
      <c r="G603" s="78">
        <v>72</v>
      </c>
      <c r="H603" s="62">
        <f>C599+I603</f>
        <v>64</v>
      </c>
      <c r="I603" s="20"/>
      <c r="J603" s="21"/>
      <c r="K603" s="57">
        <v>64</v>
      </c>
      <c r="L603" s="23">
        <f t="shared" si="82"/>
        <v>-15</v>
      </c>
      <c r="M603" s="23">
        <f t="shared" si="83"/>
        <v>-15</v>
      </c>
      <c r="N603" s="23"/>
      <c r="O603" s="23">
        <v>8</v>
      </c>
    </row>
    <row r="604" spans="1:17" hidden="1" outlineLevel="1">
      <c r="A604" s="96">
        <v>45700</v>
      </c>
      <c r="B604" s="17" t="s">
        <v>20</v>
      </c>
      <c r="C604" s="68">
        <v>72</v>
      </c>
      <c r="D604" s="100"/>
      <c r="E604" s="22">
        <f t="shared" si="81"/>
        <v>-6859</v>
      </c>
      <c r="G604" s="78">
        <v>56</v>
      </c>
      <c r="H604" s="62">
        <f>C602+I604</f>
        <v>72</v>
      </c>
      <c r="I604" s="20"/>
      <c r="J604" s="21"/>
      <c r="K604" s="57">
        <v>72</v>
      </c>
      <c r="L604" s="23">
        <f t="shared" si="82"/>
        <v>1</v>
      </c>
      <c r="M604" s="23">
        <f t="shared" si="83"/>
        <v>1</v>
      </c>
      <c r="N604" s="23"/>
      <c r="O604" s="23">
        <v>9</v>
      </c>
    </row>
    <row r="605" spans="1:17" hidden="1" outlineLevel="1">
      <c r="A605" s="96">
        <v>45701</v>
      </c>
      <c r="B605" s="17" t="s">
        <v>14</v>
      </c>
      <c r="C605" s="68">
        <v>72</v>
      </c>
      <c r="D605" s="100"/>
      <c r="E605" s="22">
        <f t="shared" si="81"/>
        <v>-6931</v>
      </c>
      <c r="G605" s="78">
        <v>80</v>
      </c>
      <c r="H605" s="62">
        <f>C603+I605</f>
        <v>72</v>
      </c>
      <c r="I605" s="20"/>
      <c r="J605" s="21"/>
      <c r="K605" s="57">
        <v>72</v>
      </c>
      <c r="L605" s="23">
        <f t="shared" si="82"/>
        <v>-7</v>
      </c>
      <c r="M605" s="23">
        <f t="shared" si="83"/>
        <v>-7</v>
      </c>
      <c r="N605" s="23"/>
      <c r="O605" s="23">
        <v>0</v>
      </c>
    </row>
    <row r="606" spans="1:17" hidden="1" outlineLevel="1">
      <c r="A606" s="96">
        <v>45702</v>
      </c>
      <c r="B606" s="17" t="s">
        <v>15</v>
      </c>
      <c r="C606" s="68">
        <v>64</v>
      </c>
      <c r="D606" s="100"/>
      <c r="E606" s="22">
        <f t="shared" si="81"/>
        <v>-6995</v>
      </c>
      <c r="G606" s="78">
        <v>56</v>
      </c>
      <c r="H606" s="62">
        <f>C604+I606</f>
        <v>72</v>
      </c>
      <c r="I606" s="20"/>
      <c r="J606" s="21"/>
      <c r="K606" s="57">
        <v>72</v>
      </c>
      <c r="L606" s="23">
        <f t="shared" si="82"/>
        <v>9</v>
      </c>
      <c r="M606" s="23">
        <f t="shared" si="83"/>
        <v>9</v>
      </c>
      <c r="N606" s="23"/>
      <c r="O606" s="23">
        <v>25</v>
      </c>
      <c r="Q606" s="1">
        <f>AVERAGE(G602:G606)</f>
        <v>67.2</v>
      </c>
    </row>
    <row r="607" spans="1:17" s="12" customFormat="1" hidden="1" outlineLevel="1">
      <c r="A607" s="95">
        <v>45703</v>
      </c>
      <c r="B607" s="25" t="s">
        <v>16</v>
      </c>
      <c r="C607" s="69"/>
      <c r="D607" s="99"/>
      <c r="E607" s="87">
        <f t="shared" si="81"/>
        <v>-6995</v>
      </c>
      <c r="G607" s="79"/>
      <c r="H607" s="63"/>
      <c r="I607" s="27"/>
      <c r="J607" s="28"/>
      <c r="K607" s="43"/>
      <c r="L607" s="29">
        <f t="shared" si="82"/>
        <v>9</v>
      </c>
      <c r="M607" s="29">
        <f t="shared" si="83"/>
        <v>9</v>
      </c>
      <c r="N607" s="29"/>
      <c r="O607" s="29"/>
    </row>
    <row r="608" spans="1:17" s="12" customFormat="1" hidden="1" outlineLevel="1" collapsed="1">
      <c r="A608" s="95">
        <v>45704</v>
      </c>
      <c r="B608" s="25" t="s">
        <v>17</v>
      </c>
      <c r="C608" s="69"/>
      <c r="D608" s="99"/>
      <c r="E608" s="87">
        <f t="shared" si="81"/>
        <v>-6995</v>
      </c>
      <c r="G608" s="79"/>
      <c r="H608" s="63"/>
      <c r="I608" s="27"/>
      <c r="J608" s="28"/>
      <c r="K608" s="43"/>
      <c r="L608" s="29">
        <f t="shared" si="82"/>
        <v>9</v>
      </c>
      <c r="M608" s="29">
        <f t="shared" si="83"/>
        <v>9</v>
      </c>
      <c r="N608" s="29"/>
      <c r="O608" s="29"/>
    </row>
    <row r="609" spans="1:17" hidden="1" outlineLevel="1">
      <c r="A609" s="96">
        <v>45705</v>
      </c>
      <c r="B609" s="17" t="s">
        <v>18</v>
      </c>
      <c r="C609" s="68">
        <v>64</v>
      </c>
      <c r="D609" s="100"/>
      <c r="E609" s="22">
        <f t="shared" si="81"/>
        <v>-7059</v>
      </c>
      <c r="G609" s="78">
        <v>72</v>
      </c>
      <c r="H609" s="62">
        <f>C605+I609</f>
        <v>72</v>
      </c>
      <c r="I609" s="20"/>
      <c r="J609" s="21"/>
      <c r="K609" s="57">
        <v>72</v>
      </c>
      <c r="L609" s="23">
        <f t="shared" si="82"/>
        <v>9</v>
      </c>
      <c r="M609" s="23">
        <f t="shared" si="83"/>
        <v>9</v>
      </c>
      <c r="N609" s="23"/>
      <c r="O609" s="23">
        <v>9</v>
      </c>
    </row>
    <row r="610" spans="1:17" hidden="1" outlineLevel="1">
      <c r="A610" s="96">
        <v>45706</v>
      </c>
      <c r="B610" s="17" t="s">
        <v>19</v>
      </c>
      <c r="C610" s="68">
        <v>64</v>
      </c>
      <c r="D610" s="100"/>
      <c r="E610" s="22">
        <f t="shared" si="81"/>
        <v>-7123</v>
      </c>
      <c r="G610" s="78">
        <v>72</v>
      </c>
      <c r="H610" s="62">
        <f>C606+I610</f>
        <v>64</v>
      </c>
      <c r="I610" s="20"/>
      <c r="J610" s="21"/>
      <c r="K610" s="57">
        <v>64</v>
      </c>
      <c r="L610" s="23">
        <f t="shared" si="82"/>
        <v>1</v>
      </c>
      <c r="M610" s="23">
        <f t="shared" si="83"/>
        <v>1</v>
      </c>
      <c r="N610" s="23"/>
      <c r="O610" s="23">
        <v>0</v>
      </c>
    </row>
    <row r="611" spans="1:17" hidden="1" outlineLevel="1">
      <c r="A611" s="96">
        <v>45707</v>
      </c>
      <c r="B611" s="17" t="s">
        <v>20</v>
      </c>
      <c r="C611" s="68">
        <v>64</v>
      </c>
      <c r="D611" s="100"/>
      <c r="E611" s="22">
        <f t="shared" si="81"/>
        <v>-7187</v>
      </c>
      <c r="G611" s="78">
        <v>72</v>
      </c>
      <c r="H611" s="62">
        <f>C609+I611</f>
        <v>64</v>
      </c>
      <c r="I611" s="20"/>
      <c r="J611" s="21"/>
      <c r="K611" s="57">
        <v>64</v>
      </c>
      <c r="L611" s="23">
        <f t="shared" si="82"/>
        <v>-7</v>
      </c>
      <c r="M611" s="23">
        <f t="shared" si="83"/>
        <v>-7</v>
      </c>
      <c r="N611" s="23"/>
      <c r="O611" s="23">
        <v>9</v>
      </c>
    </row>
    <row r="612" spans="1:17" hidden="1" outlineLevel="1">
      <c r="A612" s="96">
        <v>45708</v>
      </c>
      <c r="B612" s="17" t="s">
        <v>14</v>
      </c>
      <c r="C612" s="68">
        <v>72</v>
      </c>
      <c r="D612" s="100"/>
      <c r="E612" s="22">
        <f t="shared" si="81"/>
        <v>-7259</v>
      </c>
      <c r="G612" s="78">
        <v>72</v>
      </c>
      <c r="H612" s="62">
        <f>C610+I612</f>
        <v>64</v>
      </c>
      <c r="I612" s="20"/>
      <c r="J612" s="21"/>
      <c r="K612" s="57">
        <v>64</v>
      </c>
      <c r="L612" s="23">
        <f t="shared" si="82"/>
        <v>-15</v>
      </c>
      <c r="M612" s="23">
        <f t="shared" si="83"/>
        <v>-15</v>
      </c>
      <c r="N612" s="23"/>
      <c r="O612" s="23">
        <v>8</v>
      </c>
    </row>
    <row r="613" spans="1:17" hidden="1" outlineLevel="1">
      <c r="A613" s="96">
        <v>45709</v>
      </c>
      <c r="B613" s="17" t="s">
        <v>15</v>
      </c>
      <c r="C613" s="68">
        <v>72</v>
      </c>
      <c r="D613" s="100"/>
      <c r="E613" s="22">
        <f t="shared" si="81"/>
        <v>-7331</v>
      </c>
      <c r="G613" s="78">
        <v>56</v>
      </c>
      <c r="H613" s="62">
        <f>C611+I613</f>
        <v>64</v>
      </c>
      <c r="I613" s="20"/>
      <c r="J613" s="21"/>
      <c r="K613" s="57">
        <v>64</v>
      </c>
      <c r="L613" s="23">
        <f t="shared" si="82"/>
        <v>-7</v>
      </c>
      <c r="M613" s="23">
        <f t="shared" si="83"/>
        <v>-7</v>
      </c>
      <c r="N613" s="23"/>
      <c r="O613" s="23">
        <v>10</v>
      </c>
      <c r="Q613" s="1">
        <f>AVERAGE(G609:G613)</f>
        <v>68.8</v>
      </c>
    </row>
    <row r="614" spans="1:17" s="12" customFormat="1" hidden="1" outlineLevel="1">
      <c r="A614" s="95">
        <v>45710</v>
      </c>
      <c r="B614" s="25" t="s">
        <v>16</v>
      </c>
      <c r="C614" s="69"/>
      <c r="D614" s="99"/>
      <c r="E614" s="87">
        <f t="shared" si="81"/>
        <v>-7331</v>
      </c>
      <c r="G614" s="79"/>
      <c r="H614" s="63"/>
      <c r="I614" s="27"/>
      <c r="J614" s="28"/>
      <c r="K614" s="43"/>
      <c r="L614" s="29">
        <f t="shared" si="82"/>
        <v>-7</v>
      </c>
      <c r="M614" s="29">
        <f t="shared" si="83"/>
        <v>-7</v>
      </c>
      <c r="N614" s="29"/>
      <c r="O614" s="29"/>
    </row>
    <row r="615" spans="1:17" s="12" customFormat="1" hidden="1" outlineLevel="1" collapsed="1">
      <c r="A615" s="95">
        <v>45711</v>
      </c>
      <c r="B615" s="25" t="s">
        <v>17</v>
      </c>
      <c r="C615" s="69"/>
      <c r="D615" s="99"/>
      <c r="E615" s="87">
        <f t="shared" si="81"/>
        <v>-7331</v>
      </c>
      <c r="G615" s="79"/>
      <c r="H615" s="63"/>
      <c r="I615" s="27"/>
      <c r="J615" s="28"/>
      <c r="K615" s="43"/>
      <c r="L615" s="29">
        <f t="shared" si="82"/>
        <v>-7</v>
      </c>
      <c r="M615" s="29">
        <f t="shared" si="83"/>
        <v>-7</v>
      </c>
      <c r="N615" s="29"/>
      <c r="O615" s="29"/>
    </row>
    <row r="616" spans="1:17" hidden="1" outlineLevel="1">
      <c r="A616" s="96">
        <v>45712</v>
      </c>
      <c r="B616" s="17" t="s">
        <v>18</v>
      </c>
      <c r="C616" s="68">
        <v>72</v>
      </c>
      <c r="D616" s="100"/>
      <c r="E616" s="22">
        <f t="shared" si="81"/>
        <v>-7403</v>
      </c>
      <c r="G616" s="78">
        <v>72</v>
      </c>
      <c r="H616" s="62">
        <f>C612+I616</f>
        <v>72</v>
      </c>
      <c r="I616" s="20"/>
      <c r="J616" s="21"/>
      <c r="K616" s="57">
        <v>72</v>
      </c>
      <c r="L616" s="23">
        <f t="shared" si="82"/>
        <v>-7</v>
      </c>
      <c r="M616" s="23">
        <f t="shared" si="83"/>
        <v>-7</v>
      </c>
      <c r="N616" s="23"/>
      <c r="O616" s="23"/>
    </row>
    <row r="617" spans="1:17" hidden="1" outlineLevel="1">
      <c r="A617" s="96">
        <v>45713</v>
      </c>
      <c r="B617" s="17" t="s">
        <v>19</v>
      </c>
      <c r="C617" s="68">
        <v>72</v>
      </c>
      <c r="D617" s="100"/>
      <c r="E617" s="22">
        <f t="shared" si="81"/>
        <v>-7475</v>
      </c>
      <c r="G617" s="78">
        <v>80</v>
      </c>
      <c r="H617" s="62">
        <f>C613+I617</f>
        <v>72</v>
      </c>
      <c r="I617" s="20"/>
      <c r="J617" s="21"/>
      <c r="K617" s="57">
        <v>72</v>
      </c>
      <c r="L617" s="23">
        <f t="shared" si="82"/>
        <v>-15</v>
      </c>
      <c r="M617" s="23">
        <f t="shared" si="83"/>
        <v>-15</v>
      </c>
      <c r="N617" s="23"/>
      <c r="O617" s="23">
        <v>10</v>
      </c>
    </row>
    <row r="618" spans="1:17" hidden="1" outlineLevel="1">
      <c r="A618" s="96">
        <v>45714</v>
      </c>
      <c r="B618" s="17" t="s">
        <v>20</v>
      </c>
      <c r="C618" s="68">
        <v>72</v>
      </c>
      <c r="D618" s="100"/>
      <c r="E618" s="22">
        <f t="shared" si="81"/>
        <v>-7547</v>
      </c>
      <c r="G618" s="78">
        <v>56</v>
      </c>
      <c r="H618" s="62">
        <f>C616+I618</f>
        <v>72</v>
      </c>
      <c r="I618" s="20"/>
      <c r="J618" s="21"/>
      <c r="K618" s="57">
        <v>72</v>
      </c>
      <c r="L618" s="23">
        <f t="shared" si="82"/>
        <v>1</v>
      </c>
      <c r="M618" s="23">
        <f t="shared" si="83"/>
        <v>1</v>
      </c>
      <c r="N618" s="23"/>
      <c r="O618" s="23">
        <v>0</v>
      </c>
    </row>
    <row r="619" spans="1:17" hidden="1" outlineLevel="1">
      <c r="A619" s="96">
        <v>45715</v>
      </c>
      <c r="B619" s="17" t="s">
        <v>14</v>
      </c>
      <c r="C619" s="68">
        <v>72</v>
      </c>
      <c r="D619" s="100"/>
      <c r="E619" s="22">
        <f t="shared" si="81"/>
        <v>-7619</v>
      </c>
      <c r="G619" s="78">
        <v>80</v>
      </c>
      <c r="H619" s="62">
        <f>C617+I619</f>
        <v>72</v>
      </c>
      <c r="I619" s="20"/>
      <c r="J619" s="21"/>
      <c r="K619" s="57">
        <v>72</v>
      </c>
      <c r="L619" s="23">
        <f t="shared" si="82"/>
        <v>-7</v>
      </c>
      <c r="M619" s="23">
        <f t="shared" si="83"/>
        <v>-7</v>
      </c>
      <c r="N619" s="23"/>
      <c r="O619" s="23">
        <v>9</v>
      </c>
    </row>
    <row r="620" spans="1:17" hidden="1" outlineLevel="1">
      <c r="A620" s="96">
        <v>45716</v>
      </c>
      <c r="B620" s="17" t="s">
        <v>15</v>
      </c>
      <c r="C620" s="68">
        <v>72</v>
      </c>
      <c r="D620" s="100"/>
      <c r="E620" s="22">
        <f t="shared" si="81"/>
        <v>-7691</v>
      </c>
      <c r="G620" s="78">
        <v>64</v>
      </c>
      <c r="H620" s="62">
        <f>C618+I620</f>
        <v>72</v>
      </c>
      <c r="I620" s="20"/>
      <c r="J620" s="21"/>
      <c r="K620" s="57">
        <v>72</v>
      </c>
      <c r="L620" s="23">
        <f t="shared" si="82"/>
        <v>1</v>
      </c>
      <c r="M620" s="23">
        <f t="shared" si="83"/>
        <v>1</v>
      </c>
      <c r="N620" s="23"/>
      <c r="O620" s="23">
        <v>15</v>
      </c>
      <c r="Q620" s="1">
        <f>AVERAGE(G616:G620)</f>
        <v>70.400000000000006</v>
      </c>
    </row>
    <row r="621" spans="1:17" s="12" customFormat="1" hidden="1" outlineLevel="1">
      <c r="A621" s="95">
        <v>45717</v>
      </c>
      <c r="B621" s="25" t="s">
        <v>16</v>
      </c>
      <c r="C621" s="69"/>
      <c r="D621" s="99"/>
      <c r="E621" s="87">
        <f t="shared" si="81"/>
        <v>-7691</v>
      </c>
      <c r="G621" s="79"/>
      <c r="H621" s="63"/>
      <c r="I621" s="27"/>
      <c r="J621" s="28"/>
      <c r="K621" s="43"/>
      <c r="L621" s="29">
        <f t="shared" si="82"/>
        <v>1</v>
      </c>
      <c r="M621" s="29">
        <f t="shared" si="83"/>
        <v>1</v>
      </c>
      <c r="N621" s="29"/>
      <c r="O621" s="29"/>
    </row>
    <row r="622" spans="1:17" s="12" customFormat="1" hidden="1" outlineLevel="1" collapsed="1">
      <c r="A622" s="95">
        <v>45718</v>
      </c>
      <c r="B622" s="25" t="s">
        <v>17</v>
      </c>
      <c r="C622" s="69"/>
      <c r="D622" s="99"/>
      <c r="E622" s="87">
        <f t="shared" ref="E622:E651" si="84">E621-C622+D622</f>
        <v>-7691</v>
      </c>
      <c r="G622" s="79"/>
      <c r="H622" s="63"/>
      <c r="I622" s="27"/>
      <c r="J622" s="28"/>
      <c r="K622" s="43"/>
      <c r="L622" s="29">
        <f t="shared" ref="L622:L651" si="85">L621-G622+K622</f>
        <v>1</v>
      </c>
      <c r="M622" s="29">
        <f t="shared" ref="M622:M651" si="86">M621-G622+H622</f>
        <v>1</v>
      </c>
      <c r="N622" s="29"/>
      <c r="O622" s="29"/>
    </row>
    <row r="623" spans="1:17" hidden="1" outlineLevel="1">
      <c r="A623" s="96">
        <v>45719</v>
      </c>
      <c r="B623" s="17" t="s">
        <v>18</v>
      </c>
      <c r="C623" s="68">
        <v>72</v>
      </c>
      <c r="D623" s="100"/>
      <c r="E623" s="22">
        <f t="shared" si="84"/>
        <v>-7763</v>
      </c>
      <c r="G623" s="78">
        <v>80</v>
      </c>
      <c r="H623" s="62">
        <f>C619+I623</f>
        <v>72</v>
      </c>
      <c r="I623" s="20"/>
      <c r="J623" s="21"/>
      <c r="K623" s="57">
        <v>72</v>
      </c>
      <c r="L623" s="23">
        <f t="shared" si="85"/>
        <v>-7</v>
      </c>
      <c r="M623" s="23">
        <f t="shared" si="86"/>
        <v>-7</v>
      </c>
      <c r="N623" s="23"/>
      <c r="O623" s="23">
        <v>6</v>
      </c>
    </row>
    <row r="624" spans="1:17" hidden="1" outlineLevel="1">
      <c r="A624" s="96">
        <v>45720</v>
      </c>
      <c r="B624" s="17" t="s">
        <v>19</v>
      </c>
      <c r="C624" s="68">
        <v>72</v>
      </c>
      <c r="D624" s="100"/>
      <c r="E624" s="22">
        <f t="shared" si="84"/>
        <v>-7835</v>
      </c>
      <c r="G624" s="78">
        <v>72</v>
      </c>
      <c r="H624" s="62">
        <f>C620+I624</f>
        <v>72</v>
      </c>
      <c r="I624" s="20"/>
      <c r="J624" s="21"/>
      <c r="K624" s="57">
        <v>72</v>
      </c>
      <c r="L624" s="23">
        <f t="shared" si="85"/>
        <v>-7</v>
      </c>
      <c r="M624" s="23">
        <f t="shared" si="86"/>
        <v>-7</v>
      </c>
      <c r="N624" s="23"/>
      <c r="O624" s="23">
        <v>6</v>
      </c>
    </row>
    <row r="625" spans="1:17" hidden="1" outlineLevel="1">
      <c r="A625" s="96">
        <v>45721</v>
      </c>
      <c r="B625" s="17" t="s">
        <v>20</v>
      </c>
      <c r="C625" s="68">
        <v>64</v>
      </c>
      <c r="D625" s="100"/>
      <c r="E625" s="22">
        <f t="shared" si="84"/>
        <v>-7899</v>
      </c>
      <c r="G625" s="78">
        <v>64</v>
      </c>
      <c r="H625" s="62">
        <f>C623+I625</f>
        <v>72</v>
      </c>
      <c r="I625" s="20"/>
      <c r="J625" s="21"/>
      <c r="K625" s="57">
        <v>72</v>
      </c>
      <c r="L625" s="23">
        <f t="shared" si="85"/>
        <v>1</v>
      </c>
      <c r="M625" s="23">
        <f t="shared" si="86"/>
        <v>1</v>
      </c>
      <c r="N625" s="23"/>
      <c r="O625" s="23">
        <v>0</v>
      </c>
    </row>
    <row r="626" spans="1:17" hidden="1" outlineLevel="1">
      <c r="A626" s="96">
        <v>45722</v>
      </c>
      <c r="B626" s="17" t="s">
        <v>14</v>
      </c>
      <c r="C626" s="68">
        <v>64</v>
      </c>
      <c r="D626" s="100"/>
      <c r="E626" s="22">
        <f t="shared" si="84"/>
        <v>-7963</v>
      </c>
      <c r="G626" s="78">
        <v>72</v>
      </c>
      <c r="H626" s="62">
        <f>C624+I626</f>
        <v>72</v>
      </c>
      <c r="I626" s="20"/>
      <c r="J626" s="21"/>
      <c r="K626" s="57">
        <v>72</v>
      </c>
      <c r="L626" s="23">
        <f t="shared" si="85"/>
        <v>1</v>
      </c>
      <c r="M626" s="23">
        <f t="shared" si="86"/>
        <v>1</v>
      </c>
      <c r="N626" s="23"/>
      <c r="O626" s="23">
        <v>17</v>
      </c>
    </row>
    <row r="627" spans="1:17" hidden="1" outlineLevel="1">
      <c r="A627" s="96">
        <v>45723</v>
      </c>
      <c r="B627" s="17" t="s">
        <v>15</v>
      </c>
      <c r="C627" s="68">
        <v>64</v>
      </c>
      <c r="D627" s="100"/>
      <c r="E627" s="22">
        <f t="shared" si="84"/>
        <v>-8027</v>
      </c>
      <c r="G627" s="78">
        <v>56</v>
      </c>
      <c r="H627" s="62">
        <f>C625+I627</f>
        <v>64</v>
      </c>
      <c r="I627" s="20"/>
      <c r="J627" s="21"/>
      <c r="K627" s="57">
        <v>64</v>
      </c>
      <c r="L627" s="23">
        <f t="shared" si="85"/>
        <v>9</v>
      </c>
      <c r="M627" s="23">
        <f t="shared" si="86"/>
        <v>9</v>
      </c>
      <c r="N627" s="23"/>
      <c r="O627" s="23">
        <v>0</v>
      </c>
      <c r="Q627" s="1">
        <f>AVERAGE(G623:G627)</f>
        <v>68.8</v>
      </c>
    </row>
    <row r="628" spans="1:17" s="12" customFormat="1" hidden="1" outlineLevel="1">
      <c r="A628" s="95">
        <v>45724</v>
      </c>
      <c r="B628" s="25" t="s">
        <v>16</v>
      </c>
      <c r="C628" s="69"/>
      <c r="D628" s="99"/>
      <c r="E628" s="87">
        <f t="shared" si="84"/>
        <v>-8027</v>
      </c>
      <c r="G628" s="79"/>
      <c r="H628" s="63"/>
      <c r="I628" s="27"/>
      <c r="J628" s="28"/>
      <c r="K628" s="43"/>
      <c r="L628" s="29">
        <f t="shared" si="85"/>
        <v>9</v>
      </c>
      <c r="M628" s="29">
        <f t="shared" si="86"/>
        <v>9</v>
      </c>
      <c r="N628" s="29"/>
      <c r="O628" s="29"/>
    </row>
    <row r="629" spans="1:17" s="12" customFormat="1" hidden="1" outlineLevel="1" collapsed="1">
      <c r="A629" s="95">
        <v>45725</v>
      </c>
      <c r="B629" s="25" t="s">
        <v>17</v>
      </c>
      <c r="C629" s="69"/>
      <c r="D629" s="99"/>
      <c r="E629" s="87">
        <f t="shared" si="84"/>
        <v>-8027</v>
      </c>
      <c r="G629" s="79"/>
      <c r="H629" s="63"/>
      <c r="I629" s="27"/>
      <c r="J629" s="28"/>
      <c r="K629" s="43"/>
      <c r="L629" s="29">
        <f t="shared" si="85"/>
        <v>9</v>
      </c>
      <c r="M629" s="29">
        <f t="shared" si="86"/>
        <v>9</v>
      </c>
      <c r="N629" s="29"/>
      <c r="O629" s="29"/>
    </row>
    <row r="630" spans="1:17" hidden="1" outlineLevel="1">
      <c r="A630" s="96">
        <v>45726</v>
      </c>
      <c r="B630" s="17" t="s">
        <v>18</v>
      </c>
      <c r="C630" s="68">
        <v>64</v>
      </c>
      <c r="D630" s="100"/>
      <c r="E630" s="22">
        <f t="shared" si="84"/>
        <v>-8091</v>
      </c>
      <c r="G630" s="78">
        <v>80</v>
      </c>
      <c r="H630" s="62">
        <f>C626+I630</f>
        <v>64</v>
      </c>
      <c r="I630" s="20"/>
      <c r="J630" s="21"/>
      <c r="K630" s="57">
        <v>64</v>
      </c>
      <c r="L630" s="23">
        <f t="shared" si="85"/>
        <v>-7</v>
      </c>
      <c r="M630" s="23">
        <f t="shared" si="86"/>
        <v>-7</v>
      </c>
      <c r="N630" s="23"/>
      <c r="O630" s="23">
        <v>0</v>
      </c>
    </row>
    <row r="631" spans="1:17" hidden="1" outlineLevel="1">
      <c r="A631" s="96">
        <v>45727</v>
      </c>
      <c r="B631" s="17" t="s">
        <v>19</v>
      </c>
      <c r="C631" s="68">
        <v>72</v>
      </c>
      <c r="D631" s="100"/>
      <c r="E631" s="22">
        <f t="shared" si="84"/>
        <v>-8163</v>
      </c>
      <c r="G631" s="78">
        <v>72</v>
      </c>
      <c r="H631" s="62">
        <f>C627+I631</f>
        <v>64</v>
      </c>
      <c r="I631" s="20"/>
      <c r="J631" s="21"/>
      <c r="K631" s="57">
        <v>64</v>
      </c>
      <c r="L631" s="23">
        <f t="shared" si="85"/>
        <v>-15</v>
      </c>
      <c r="M631" s="23">
        <f t="shared" si="86"/>
        <v>-15</v>
      </c>
      <c r="N631" s="23"/>
      <c r="O631" s="23">
        <v>8</v>
      </c>
    </row>
    <row r="632" spans="1:17" hidden="1" outlineLevel="1">
      <c r="A632" s="96">
        <v>45728</v>
      </c>
      <c r="B632" s="17" t="s">
        <v>20</v>
      </c>
      <c r="C632" s="68">
        <v>72</v>
      </c>
      <c r="D632" s="100"/>
      <c r="E632" s="22">
        <f t="shared" si="84"/>
        <v>-8235</v>
      </c>
      <c r="G632" s="78">
        <v>64</v>
      </c>
      <c r="H632" s="62">
        <f>C630+I632</f>
        <v>64</v>
      </c>
      <c r="I632" s="20"/>
      <c r="J632" s="21"/>
      <c r="K632" s="57">
        <v>64</v>
      </c>
      <c r="L632" s="23">
        <f t="shared" si="85"/>
        <v>-15</v>
      </c>
      <c r="M632" s="23">
        <f t="shared" si="86"/>
        <v>-15</v>
      </c>
      <c r="N632" s="23"/>
      <c r="O632" s="23">
        <v>0</v>
      </c>
    </row>
    <row r="633" spans="1:17" hidden="1" outlineLevel="1">
      <c r="A633" s="96">
        <v>45729</v>
      </c>
      <c r="B633" s="17" t="s">
        <v>14</v>
      </c>
      <c r="C633" s="68">
        <v>72</v>
      </c>
      <c r="D633" s="100"/>
      <c r="E633" s="22">
        <f t="shared" si="84"/>
        <v>-8307</v>
      </c>
      <c r="G633" s="78">
        <v>72</v>
      </c>
      <c r="H633" s="62">
        <f>C631+I633</f>
        <v>72</v>
      </c>
      <c r="I633" s="20"/>
      <c r="J633" s="21"/>
      <c r="K633" s="57">
        <v>72</v>
      </c>
      <c r="L633" s="23">
        <f t="shared" si="85"/>
        <v>-15</v>
      </c>
      <c r="M633" s="23">
        <f t="shared" si="86"/>
        <v>-15</v>
      </c>
      <c r="N633" s="23"/>
      <c r="O633" s="23">
        <v>9</v>
      </c>
    </row>
    <row r="634" spans="1:17" hidden="1" outlineLevel="1">
      <c r="A634" s="96">
        <v>45730</v>
      </c>
      <c r="B634" s="17" t="s">
        <v>15</v>
      </c>
      <c r="C634" s="68">
        <v>72</v>
      </c>
      <c r="D634" s="100"/>
      <c r="E634" s="22">
        <f t="shared" si="84"/>
        <v>-8379</v>
      </c>
      <c r="G634" s="78">
        <v>64</v>
      </c>
      <c r="H634" s="62">
        <f>C632+I634</f>
        <v>72</v>
      </c>
      <c r="I634" s="20"/>
      <c r="J634" s="21"/>
      <c r="K634" s="57">
        <v>72</v>
      </c>
      <c r="L634" s="23">
        <f t="shared" si="85"/>
        <v>-7</v>
      </c>
      <c r="M634" s="23">
        <f t="shared" si="86"/>
        <v>-7</v>
      </c>
      <c r="N634" s="23"/>
      <c r="O634" s="23">
        <v>14</v>
      </c>
      <c r="Q634" s="1">
        <f>AVERAGE(G630:G634)</f>
        <v>70.400000000000006</v>
      </c>
    </row>
    <row r="635" spans="1:17" s="12" customFormat="1" hidden="1" outlineLevel="1">
      <c r="A635" s="95">
        <v>45731</v>
      </c>
      <c r="B635" s="25" t="s">
        <v>16</v>
      </c>
      <c r="C635" s="69"/>
      <c r="D635" s="99"/>
      <c r="E635" s="87">
        <f t="shared" si="84"/>
        <v>-8379</v>
      </c>
      <c r="G635" s="79"/>
      <c r="H635" s="63"/>
      <c r="I635" s="27"/>
      <c r="J635" s="28"/>
      <c r="K635" s="43"/>
      <c r="L635" s="29">
        <f t="shared" si="85"/>
        <v>-7</v>
      </c>
      <c r="M635" s="29">
        <f t="shared" si="86"/>
        <v>-7</v>
      </c>
      <c r="N635" s="29"/>
      <c r="O635" s="29"/>
    </row>
    <row r="636" spans="1:17" s="12" customFormat="1" hidden="1" outlineLevel="1" collapsed="1">
      <c r="A636" s="95">
        <v>45732</v>
      </c>
      <c r="B636" s="25" t="s">
        <v>17</v>
      </c>
      <c r="C636" s="69"/>
      <c r="D636" s="99"/>
      <c r="E636" s="87">
        <f t="shared" si="84"/>
        <v>-8379</v>
      </c>
      <c r="G636" s="79"/>
      <c r="H636" s="63"/>
      <c r="I636" s="27"/>
      <c r="J636" s="28"/>
      <c r="K636" s="43"/>
      <c r="L636" s="29">
        <f t="shared" si="85"/>
        <v>-7</v>
      </c>
      <c r="M636" s="29">
        <f t="shared" si="86"/>
        <v>-7</v>
      </c>
      <c r="N636" s="29"/>
      <c r="O636" s="29"/>
    </row>
    <row r="637" spans="1:17" hidden="1" outlineLevel="1">
      <c r="A637" s="96">
        <v>45733</v>
      </c>
      <c r="B637" s="17" t="s">
        <v>18</v>
      </c>
      <c r="C637" s="68">
        <v>64</v>
      </c>
      <c r="D637" s="100"/>
      <c r="E637" s="22">
        <f t="shared" si="84"/>
        <v>-8443</v>
      </c>
      <c r="G637" s="78">
        <v>72</v>
      </c>
      <c r="H637" s="62">
        <f>C633+I637</f>
        <v>72</v>
      </c>
      <c r="I637" s="20"/>
      <c r="J637" s="21"/>
      <c r="K637" s="57">
        <v>72</v>
      </c>
      <c r="L637" s="23">
        <f t="shared" si="85"/>
        <v>-7</v>
      </c>
      <c r="M637" s="23">
        <f t="shared" si="86"/>
        <v>-7</v>
      </c>
      <c r="N637" s="23"/>
      <c r="O637" s="23">
        <v>10</v>
      </c>
    </row>
    <row r="638" spans="1:17" hidden="1" outlineLevel="1">
      <c r="A638" s="96">
        <v>45734</v>
      </c>
      <c r="B638" s="17" t="s">
        <v>19</v>
      </c>
      <c r="C638" s="68">
        <v>64</v>
      </c>
      <c r="D638" s="100"/>
      <c r="E638" s="22">
        <f t="shared" si="84"/>
        <v>-8507</v>
      </c>
      <c r="G638" s="78">
        <v>80</v>
      </c>
      <c r="H638" s="62">
        <f>C634+I638</f>
        <v>72</v>
      </c>
      <c r="I638" s="20"/>
      <c r="J638" s="21"/>
      <c r="K638" s="57">
        <v>72</v>
      </c>
      <c r="L638" s="23">
        <f t="shared" si="85"/>
        <v>-15</v>
      </c>
      <c r="M638" s="23">
        <f t="shared" si="86"/>
        <v>-15</v>
      </c>
      <c r="N638" s="23"/>
      <c r="O638" s="23">
        <v>7</v>
      </c>
    </row>
    <row r="639" spans="1:17" hidden="1" outlineLevel="1">
      <c r="A639" s="96">
        <v>45735</v>
      </c>
      <c r="B639" s="17" t="s">
        <v>20</v>
      </c>
      <c r="C639" s="68">
        <v>64</v>
      </c>
      <c r="D639" s="100"/>
      <c r="E639" s="22">
        <f t="shared" si="84"/>
        <v>-8571</v>
      </c>
      <c r="G639" s="78">
        <v>56</v>
      </c>
      <c r="H639" s="62">
        <f>C637+I639</f>
        <v>64</v>
      </c>
      <c r="I639" s="20"/>
      <c r="J639" s="21"/>
      <c r="K639" s="57">
        <v>64</v>
      </c>
      <c r="L639" s="23">
        <f t="shared" si="85"/>
        <v>-7</v>
      </c>
      <c r="M639" s="23">
        <f t="shared" si="86"/>
        <v>-7</v>
      </c>
      <c r="N639" s="23"/>
      <c r="O639" s="23">
        <v>9</v>
      </c>
    </row>
    <row r="640" spans="1:17" hidden="1" outlineLevel="1">
      <c r="A640" s="96">
        <v>45736</v>
      </c>
      <c r="B640" s="17" t="s">
        <v>14</v>
      </c>
      <c r="C640" s="68">
        <v>64</v>
      </c>
      <c r="D640" s="100"/>
      <c r="E640" s="22">
        <f t="shared" si="84"/>
        <v>-8635</v>
      </c>
      <c r="G640" s="78">
        <v>50</v>
      </c>
      <c r="H640" s="62">
        <f>C638+I640</f>
        <v>64</v>
      </c>
      <c r="I640" s="20"/>
      <c r="J640" s="21"/>
      <c r="K640" s="57">
        <v>64</v>
      </c>
      <c r="L640" s="23">
        <f t="shared" si="85"/>
        <v>7</v>
      </c>
      <c r="M640" s="23">
        <f t="shared" si="86"/>
        <v>7</v>
      </c>
      <c r="N640" s="23"/>
      <c r="O640" s="23">
        <v>10</v>
      </c>
    </row>
    <row r="641" spans="1:17" hidden="1" outlineLevel="1">
      <c r="A641" s="96">
        <v>45737</v>
      </c>
      <c r="B641" s="17" t="s">
        <v>15</v>
      </c>
      <c r="C641" s="68">
        <v>64</v>
      </c>
      <c r="D641" s="100"/>
      <c r="E641" s="22">
        <f t="shared" si="84"/>
        <v>-8699</v>
      </c>
      <c r="G641" s="78">
        <v>56</v>
      </c>
      <c r="H641" s="62">
        <f>C639+I641</f>
        <v>64</v>
      </c>
      <c r="I641" s="20"/>
      <c r="J641" s="21"/>
      <c r="K641" s="57">
        <v>64</v>
      </c>
      <c r="L641" s="23">
        <f t="shared" si="85"/>
        <v>15</v>
      </c>
      <c r="M641" s="23">
        <f t="shared" si="86"/>
        <v>15</v>
      </c>
      <c r="N641" s="23"/>
      <c r="O641" s="23">
        <v>8</v>
      </c>
      <c r="Q641" s="1">
        <f>AVERAGE(G637:G641)</f>
        <v>62.8</v>
      </c>
    </row>
    <row r="642" spans="1:17" s="12" customFormat="1" hidden="1" outlineLevel="1">
      <c r="A642" s="95">
        <v>45738</v>
      </c>
      <c r="B642" s="25" t="s">
        <v>16</v>
      </c>
      <c r="C642" s="69"/>
      <c r="D642" s="99"/>
      <c r="E642" s="87">
        <f t="shared" si="84"/>
        <v>-8699</v>
      </c>
      <c r="G642" s="79"/>
      <c r="H642" s="63"/>
      <c r="I642" s="27"/>
      <c r="J642" s="28"/>
      <c r="K642" s="43"/>
      <c r="L642" s="29">
        <f t="shared" si="85"/>
        <v>15</v>
      </c>
      <c r="M642" s="29">
        <f t="shared" si="86"/>
        <v>15</v>
      </c>
      <c r="N642" s="29"/>
      <c r="O642" s="29"/>
    </row>
    <row r="643" spans="1:17" s="12" customFormat="1" hidden="1" outlineLevel="1" collapsed="1">
      <c r="A643" s="95">
        <v>45739</v>
      </c>
      <c r="B643" s="25" t="s">
        <v>17</v>
      </c>
      <c r="C643" s="69"/>
      <c r="D643" s="99"/>
      <c r="E643" s="87">
        <f t="shared" si="84"/>
        <v>-8699</v>
      </c>
      <c r="G643" s="79"/>
      <c r="H643" s="63"/>
      <c r="I643" s="27"/>
      <c r="J643" s="28"/>
      <c r="K643" s="43"/>
      <c r="L643" s="29">
        <f t="shared" si="85"/>
        <v>15</v>
      </c>
      <c r="M643" s="29">
        <f t="shared" si="86"/>
        <v>15</v>
      </c>
      <c r="N643" s="29"/>
      <c r="O643" s="29"/>
    </row>
    <row r="644" spans="1:17" hidden="1" outlineLevel="1">
      <c r="A644" s="96">
        <v>45740</v>
      </c>
      <c r="B644" s="17" t="s">
        <v>18</v>
      </c>
      <c r="C644" s="68">
        <v>56</v>
      </c>
      <c r="D644" s="100"/>
      <c r="E644" s="22">
        <f t="shared" si="84"/>
        <v>-8755</v>
      </c>
      <c r="G644" s="78">
        <v>80</v>
      </c>
      <c r="H644" s="62">
        <f t="shared" ref="H644:H646" si="87">IF(C642&lt;&gt;"",C642+I644,IF(C640&lt;&gt;"",C640+I644,IF(C639&lt;&gt;"",C639+I644,IF(C638&lt;&gt;"",C638+I644,IF(C637&lt;&gt;"",C637+I644,IF(C636&lt;&gt;"",C636+I644))))))</f>
        <v>64</v>
      </c>
      <c r="I644" s="20"/>
      <c r="J644" s="21"/>
      <c r="K644" s="57">
        <v>64</v>
      </c>
      <c r="L644" s="23">
        <f t="shared" si="85"/>
        <v>-1</v>
      </c>
      <c r="M644" s="23">
        <f t="shared" si="86"/>
        <v>-1</v>
      </c>
      <c r="N644" s="23"/>
      <c r="O644" s="23">
        <v>9</v>
      </c>
    </row>
    <row r="645" spans="1:17" hidden="1" outlineLevel="1">
      <c r="A645" s="96">
        <v>45741</v>
      </c>
      <c r="B645" s="17" t="s">
        <v>19</v>
      </c>
      <c r="C645" s="68">
        <v>56</v>
      </c>
      <c r="D645" s="100"/>
      <c r="E645" s="22">
        <f t="shared" si="84"/>
        <v>-8811</v>
      </c>
      <c r="G645" s="78">
        <v>64</v>
      </c>
      <c r="H645" s="62">
        <f t="shared" si="87"/>
        <v>64</v>
      </c>
      <c r="I645" s="20"/>
      <c r="J645" s="21"/>
      <c r="K645" s="57">
        <v>64</v>
      </c>
      <c r="L645" s="23">
        <f t="shared" si="85"/>
        <v>-1</v>
      </c>
      <c r="M645" s="23">
        <f t="shared" si="86"/>
        <v>-1</v>
      </c>
      <c r="N645" s="23"/>
      <c r="O645" s="23">
        <v>8</v>
      </c>
    </row>
    <row r="646" spans="1:17" hidden="1" outlineLevel="1">
      <c r="A646" s="96">
        <v>45742</v>
      </c>
      <c r="B646" s="17" t="s">
        <v>20</v>
      </c>
      <c r="C646" s="68">
        <v>56</v>
      </c>
      <c r="D646" s="100"/>
      <c r="E646" s="22">
        <f t="shared" si="84"/>
        <v>-8867</v>
      </c>
      <c r="G646" s="78">
        <v>56</v>
      </c>
      <c r="H646" s="62">
        <f t="shared" si="87"/>
        <v>56</v>
      </c>
      <c r="I646" s="20"/>
      <c r="J646" s="21"/>
      <c r="K646" s="57">
        <v>56</v>
      </c>
      <c r="L646" s="23">
        <f t="shared" si="85"/>
        <v>-1</v>
      </c>
      <c r="M646" s="23">
        <f t="shared" si="86"/>
        <v>-1</v>
      </c>
      <c r="N646" s="23"/>
      <c r="O646" s="23">
        <v>10</v>
      </c>
    </row>
    <row r="647" spans="1:17" hidden="1" outlineLevel="1">
      <c r="A647" s="96">
        <v>45743</v>
      </c>
      <c r="B647" s="17" t="s">
        <v>14</v>
      </c>
      <c r="C647" s="68">
        <v>56</v>
      </c>
      <c r="D647" s="100"/>
      <c r="E647" s="22">
        <f t="shared" si="84"/>
        <v>-8923</v>
      </c>
      <c r="G647" s="78">
        <v>56</v>
      </c>
      <c r="H647" s="62">
        <f>IF(C645&lt;&gt;"",C645+I647,IF(C643&lt;&gt;"",C643+I647,IF(C642&lt;&gt;"",C642+I647,IF(C641&lt;&gt;"",C641+I647,IF(C640&lt;&gt;"",C640+I647,IF(C639&lt;&gt;"",C639+I647))))))</f>
        <v>56</v>
      </c>
      <c r="I647" s="20"/>
      <c r="J647" s="21"/>
      <c r="K647" s="57">
        <v>56</v>
      </c>
      <c r="L647" s="23">
        <f t="shared" si="85"/>
        <v>-1</v>
      </c>
      <c r="M647" s="23">
        <f t="shared" si="86"/>
        <v>-1</v>
      </c>
      <c r="N647" s="23"/>
      <c r="O647" s="23">
        <v>0</v>
      </c>
    </row>
    <row r="648" spans="1:17" hidden="1" outlineLevel="1">
      <c r="A648" s="96">
        <v>45744</v>
      </c>
      <c r="B648" s="17" t="s">
        <v>15</v>
      </c>
      <c r="C648" s="68">
        <v>56</v>
      </c>
      <c r="D648" s="100"/>
      <c r="E648" s="22">
        <f t="shared" si="84"/>
        <v>-8979</v>
      </c>
      <c r="G648" s="78">
        <v>72</v>
      </c>
      <c r="H648" s="62">
        <f>IF(C646&lt;&gt;"",C646+I648,IF(C644&lt;&gt;"",C644+I648,IF(C643&lt;&gt;"",C643+I648,IF(C642&lt;&gt;"",C642+I648,IF(C641&lt;&gt;"",C641+I648,IF(C640&lt;&gt;"",C640+I648))))))</f>
        <v>56</v>
      </c>
      <c r="I648" s="20"/>
      <c r="J648" s="21"/>
      <c r="K648" s="57">
        <v>56</v>
      </c>
      <c r="L648" s="23">
        <f t="shared" si="85"/>
        <v>-17</v>
      </c>
      <c r="M648" s="23">
        <f t="shared" si="86"/>
        <v>-17</v>
      </c>
      <c r="N648" s="23"/>
      <c r="O648" s="23">
        <v>17</v>
      </c>
      <c r="Q648" s="1">
        <f>AVERAGE(G644:G648)</f>
        <v>65.599999999999994</v>
      </c>
    </row>
    <row r="649" spans="1:17" s="12" customFormat="1" hidden="1" outlineLevel="1">
      <c r="A649" s="95">
        <v>45745</v>
      </c>
      <c r="B649" s="25" t="s">
        <v>16</v>
      </c>
      <c r="C649" s="69"/>
      <c r="D649" s="99"/>
      <c r="E649" s="87">
        <f t="shared" si="84"/>
        <v>-8979</v>
      </c>
      <c r="G649" s="79"/>
      <c r="H649" s="63"/>
      <c r="I649" s="27"/>
      <c r="J649" s="28"/>
      <c r="K649" s="43"/>
      <c r="L649" s="29">
        <f t="shared" si="85"/>
        <v>-17</v>
      </c>
      <c r="M649" s="29">
        <f t="shared" si="86"/>
        <v>-17</v>
      </c>
      <c r="N649" s="29"/>
      <c r="O649" s="29"/>
    </row>
    <row r="650" spans="1:17" s="12" customFormat="1" hidden="1" outlineLevel="1" collapsed="1">
      <c r="A650" s="95">
        <v>45746</v>
      </c>
      <c r="B650" s="25" t="s">
        <v>17</v>
      </c>
      <c r="C650" s="69"/>
      <c r="D650" s="99"/>
      <c r="E650" s="87">
        <f t="shared" si="84"/>
        <v>-8979</v>
      </c>
      <c r="G650" s="79"/>
      <c r="H650" s="63"/>
      <c r="I650" s="27"/>
      <c r="J650" s="28"/>
      <c r="K650" s="43"/>
      <c r="L650" s="29">
        <f t="shared" si="85"/>
        <v>-17</v>
      </c>
      <c r="M650" s="29">
        <f t="shared" si="86"/>
        <v>-17</v>
      </c>
      <c r="N650" s="29"/>
      <c r="O650" s="29"/>
    </row>
    <row r="651" spans="1:17" hidden="1" outlineLevel="1">
      <c r="A651" s="96">
        <v>45747</v>
      </c>
      <c r="B651" s="17" t="s">
        <v>18</v>
      </c>
      <c r="C651" s="68">
        <v>56</v>
      </c>
      <c r="D651" s="100"/>
      <c r="E651" s="22">
        <f t="shared" si="84"/>
        <v>-9035</v>
      </c>
      <c r="G651" s="78">
        <v>64</v>
      </c>
      <c r="H651" s="62">
        <f t="shared" ref="H651" si="88">IF(C649&lt;&gt;"",C649+I651,IF(C647&lt;&gt;"",C647+I651,IF(C646&lt;&gt;"",C646+I651,IF(C645&lt;&gt;"",C645+I651,IF(C644&lt;&gt;"",C644+I651,IF(C643&lt;&gt;"",C643+I651))))))</f>
        <v>56</v>
      </c>
      <c r="I651" s="20"/>
      <c r="J651" s="21"/>
      <c r="K651" s="57">
        <v>56</v>
      </c>
      <c r="L651" s="23">
        <f t="shared" si="85"/>
        <v>-25</v>
      </c>
      <c r="M651" s="23">
        <f t="shared" si="86"/>
        <v>-25</v>
      </c>
      <c r="N651" s="23"/>
      <c r="O651" s="23">
        <v>0</v>
      </c>
    </row>
    <row r="652" spans="1:17" hidden="1" outlineLevel="1">
      <c r="A652" s="96">
        <v>45748</v>
      </c>
      <c r="B652" s="17" t="s">
        <v>19</v>
      </c>
      <c r="C652" s="68">
        <v>0</v>
      </c>
      <c r="D652" s="100"/>
      <c r="E652" s="22">
        <f t="shared" ref="E652:E683" si="89">E651-C652+D652</f>
        <v>-9035</v>
      </c>
      <c r="G652" s="78">
        <v>56</v>
      </c>
      <c r="H652" s="62">
        <f t="shared" ref="H652:H681" si="90">IF(C650&lt;&gt;"",C650+I652,IF(C648&lt;&gt;"",C648+I652,IF(C647&lt;&gt;"",C647+I652,IF(C646&lt;&gt;"",C646+I652,IF(C645&lt;&gt;"",C645+I652,IF(C644&lt;&gt;"",C644+I652))))))</f>
        <v>56</v>
      </c>
      <c r="I652" s="20"/>
      <c r="J652" s="21"/>
      <c r="K652" s="57">
        <v>56</v>
      </c>
      <c r="L652" s="23">
        <f t="shared" ref="L652:L683" si="91">L651-G652+K652</f>
        <v>-25</v>
      </c>
      <c r="M652" s="23">
        <f t="shared" ref="M652:M683" si="92">M651-G652+H652</f>
        <v>-25</v>
      </c>
      <c r="N652" s="23"/>
      <c r="O652" s="23">
        <v>10</v>
      </c>
    </row>
    <row r="653" spans="1:17" hidden="1" outlineLevel="1">
      <c r="A653" s="96">
        <v>45749</v>
      </c>
      <c r="B653" s="17" t="s">
        <v>20</v>
      </c>
      <c r="C653" s="68">
        <v>56</v>
      </c>
      <c r="D653" s="100"/>
      <c r="E653" s="22">
        <f t="shared" si="89"/>
        <v>-9091</v>
      </c>
      <c r="G653" s="78">
        <v>72</v>
      </c>
      <c r="H653" s="62">
        <f t="shared" si="90"/>
        <v>56</v>
      </c>
      <c r="I653" s="20"/>
      <c r="J653" s="21"/>
      <c r="K653" s="57">
        <v>56</v>
      </c>
      <c r="L653" s="23">
        <f t="shared" si="91"/>
        <v>-41</v>
      </c>
      <c r="M653" s="23">
        <f t="shared" si="92"/>
        <v>-41</v>
      </c>
      <c r="N653" s="23"/>
      <c r="O653" s="23"/>
    </row>
    <row r="654" spans="1:17" s="12" customFormat="1" hidden="1" outlineLevel="1">
      <c r="A654" s="95">
        <v>45750</v>
      </c>
      <c r="B654" s="25" t="s">
        <v>14</v>
      </c>
      <c r="C654" s="68">
        <v>56</v>
      </c>
      <c r="D654" s="99"/>
      <c r="E654" s="87">
        <f t="shared" si="89"/>
        <v>-9147</v>
      </c>
      <c r="G654" s="79"/>
      <c r="H654" s="63"/>
      <c r="I654" s="27"/>
      <c r="J654" s="28"/>
      <c r="K654" s="43"/>
      <c r="L654" s="29">
        <f t="shared" si="91"/>
        <v>-41</v>
      </c>
      <c r="M654" s="29">
        <f t="shared" si="92"/>
        <v>-41</v>
      </c>
      <c r="N654" s="29"/>
      <c r="O654" s="29"/>
    </row>
    <row r="655" spans="1:17" hidden="1" outlineLevel="1">
      <c r="A655" s="96">
        <v>45751</v>
      </c>
      <c r="B655" s="17" t="s">
        <v>15</v>
      </c>
      <c r="C655" s="68">
        <v>56</v>
      </c>
      <c r="D655" s="100"/>
      <c r="E655" s="22">
        <f t="shared" si="89"/>
        <v>-9203</v>
      </c>
      <c r="G655" s="78">
        <v>24</v>
      </c>
      <c r="H655" s="62">
        <f t="shared" si="90"/>
        <v>56</v>
      </c>
      <c r="I655" s="20"/>
      <c r="J655" s="21"/>
      <c r="K655" s="57">
        <v>56</v>
      </c>
      <c r="L655" s="23">
        <f t="shared" si="91"/>
        <v>-9</v>
      </c>
      <c r="M655" s="23">
        <f t="shared" si="92"/>
        <v>-9</v>
      </c>
      <c r="N655" s="23"/>
      <c r="O655" s="23"/>
      <c r="Q655" s="1">
        <f>AVERAGE(G651:G655)</f>
        <v>54</v>
      </c>
    </row>
    <row r="656" spans="1:17" s="12" customFormat="1" hidden="1" outlineLevel="1">
      <c r="A656" s="95">
        <v>45752</v>
      </c>
      <c r="B656" s="25" t="s">
        <v>16</v>
      </c>
      <c r="C656" s="69"/>
      <c r="D656" s="99"/>
      <c r="E656" s="87">
        <f t="shared" si="89"/>
        <v>-9203</v>
      </c>
      <c r="G656" s="79"/>
      <c r="H656" s="63"/>
      <c r="I656" s="27"/>
      <c r="J656" s="28"/>
      <c r="K656" s="43"/>
      <c r="L656" s="29">
        <f t="shared" si="91"/>
        <v>-9</v>
      </c>
      <c r="M656" s="29">
        <f t="shared" si="92"/>
        <v>-9</v>
      </c>
      <c r="N656" s="29"/>
      <c r="O656" s="29"/>
    </row>
    <row r="657" spans="1:17" s="12" customFormat="1" hidden="1" outlineLevel="1" collapsed="1">
      <c r="A657" s="95">
        <v>45753</v>
      </c>
      <c r="B657" s="25" t="s">
        <v>17</v>
      </c>
      <c r="C657" s="69"/>
      <c r="D657" s="99"/>
      <c r="E657" s="87">
        <f t="shared" si="89"/>
        <v>-9203</v>
      </c>
      <c r="G657" s="79"/>
      <c r="H657" s="63"/>
      <c r="I657" s="27"/>
      <c r="J657" s="28"/>
      <c r="K657" s="43"/>
      <c r="L657" s="29">
        <f t="shared" si="91"/>
        <v>-9</v>
      </c>
      <c r="M657" s="29">
        <f t="shared" si="92"/>
        <v>-9</v>
      </c>
      <c r="N657" s="29"/>
      <c r="O657" s="29"/>
    </row>
    <row r="658" spans="1:17" hidden="1" outlineLevel="1">
      <c r="A658" s="96">
        <v>45754</v>
      </c>
      <c r="B658" s="17" t="s">
        <v>18</v>
      </c>
      <c r="C658" s="68">
        <v>64</v>
      </c>
      <c r="D658" s="100"/>
      <c r="E658" s="22">
        <f t="shared" si="89"/>
        <v>-9267</v>
      </c>
      <c r="G658" s="78">
        <v>72</v>
      </c>
      <c r="H658" s="62">
        <f t="shared" si="90"/>
        <v>56</v>
      </c>
      <c r="I658" s="20"/>
      <c r="J658" s="21"/>
      <c r="K658" s="57">
        <v>56</v>
      </c>
      <c r="L658" s="23">
        <f t="shared" si="91"/>
        <v>-25</v>
      </c>
      <c r="M658" s="23">
        <f t="shared" si="92"/>
        <v>-25</v>
      </c>
      <c r="N658" s="23"/>
      <c r="O658" s="23">
        <v>13</v>
      </c>
    </row>
    <row r="659" spans="1:17" hidden="1" outlineLevel="1">
      <c r="A659" s="96">
        <v>45755</v>
      </c>
      <c r="B659" s="17" t="s">
        <v>19</v>
      </c>
      <c r="C659" s="68">
        <v>64</v>
      </c>
      <c r="D659" s="100"/>
      <c r="E659" s="22">
        <f t="shared" si="89"/>
        <v>-9331</v>
      </c>
      <c r="G659" s="78">
        <v>64</v>
      </c>
      <c r="H659" s="62">
        <f t="shared" si="90"/>
        <v>56</v>
      </c>
      <c r="I659" s="20"/>
      <c r="J659" s="21"/>
      <c r="K659" s="57">
        <v>56</v>
      </c>
      <c r="L659" s="23">
        <f t="shared" si="91"/>
        <v>-33</v>
      </c>
      <c r="M659" s="23">
        <f t="shared" si="92"/>
        <v>-33</v>
      </c>
      <c r="N659" s="23"/>
      <c r="O659" s="23">
        <v>0</v>
      </c>
    </row>
    <row r="660" spans="1:17" hidden="1" outlineLevel="1">
      <c r="A660" s="96">
        <v>45756</v>
      </c>
      <c r="B660" s="17" t="s">
        <v>20</v>
      </c>
      <c r="C660" s="68">
        <v>64</v>
      </c>
      <c r="D660" s="100"/>
      <c r="E660" s="22">
        <f t="shared" si="89"/>
        <v>-9395</v>
      </c>
      <c r="G660" s="78">
        <v>62</v>
      </c>
      <c r="H660" s="62">
        <f t="shared" si="90"/>
        <v>64</v>
      </c>
      <c r="I660" s="20"/>
      <c r="J660" s="21"/>
      <c r="K660" s="57">
        <v>64</v>
      </c>
      <c r="L660" s="23">
        <f t="shared" si="91"/>
        <v>-31</v>
      </c>
      <c r="M660" s="23">
        <f t="shared" si="92"/>
        <v>-31</v>
      </c>
      <c r="N660" s="23"/>
      <c r="O660" s="23">
        <v>23</v>
      </c>
    </row>
    <row r="661" spans="1:17" hidden="1" outlineLevel="1">
      <c r="A661" s="96">
        <v>45757</v>
      </c>
      <c r="B661" s="17" t="s">
        <v>14</v>
      </c>
      <c r="C661" s="68">
        <v>64</v>
      </c>
      <c r="D661" s="100"/>
      <c r="E661" s="22">
        <f t="shared" si="89"/>
        <v>-9459</v>
      </c>
      <c r="G661" s="78">
        <v>66</v>
      </c>
      <c r="H661" s="62">
        <f t="shared" si="90"/>
        <v>66</v>
      </c>
      <c r="I661" s="20">
        <v>2</v>
      </c>
      <c r="J661" s="21"/>
      <c r="K661" s="57">
        <v>66</v>
      </c>
      <c r="L661" s="23">
        <f t="shared" si="91"/>
        <v>-31</v>
      </c>
      <c r="M661" s="23">
        <f t="shared" si="92"/>
        <v>-31</v>
      </c>
      <c r="N661" s="23"/>
      <c r="O661" s="23">
        <v>0</v>
      </c>
    </row>
    <row r="662" spans="1:17" hidden="1" outlineLevel="1">
      <c r="A662" s="96">
        <v>45758</v>
      </c>
      <c r="B662" s="17" t="s">
        <v>15</v>
      </c>
      <c r="C662" s="68">
        <v>64</v>
      </c>
      <c r="D662" s="100"/>
      <c r="E662" s="22">
        <f t="shared" si="89"/>
        <v>-9523</v>
      </c>
      <c r="G662" s="78">
        <v>56</v>
      </c>
      <c r="H662" s="62">
        <f t="shared" si="90"/>
        <v>64</v>
      </c>
      <c r="I662" s="20"/>
      <c r="J662" s="21"/>
      <c r="K662" s="57">
        <v>64</v>
      </c>
      <c r="L662" s="23">
        <f t="shared" si="91"/>
        <v>-23</v>
      </c>
      <c r="M662" s="23">
        <f t="shared" si="92"/>
        <v>-23</v>
      </c>
      <c r="N662" s="23"/>
      <c r="O662" s="23">
        <v>0</v>
      </c>
      <c r="Q662" s="1">
        <f>AVERAGE(G658:G662)</f>
        <v>64</v>
      </c>
    </row>
    <row r="663" spans="1:17" s="12" customFormat="1" hidden="1" outlineLevel="1">
      <c r="A663" s="95">
        <v>45759</v>
      </c>
      <c r="B663" s="25" t="s">
        <v>16</v>
      </c>
      <c r="C663" s="69"/>
      <c r="D663" s="99"/>
      <c r="E663" s="87">
        <f t="shared" si="89"/>
        <v>-9523</v>
      </c>
      <c r="G663" s="79"/>
      <c r="H663" s="63"/>
      <c r="I663" s="27"/>
      <c r="J663" s="28"/>
      <c r="K663" s="43"/>
      <c r="L663" s="29">
        <f t="shared" si="91"/>
        <v>-23</v>
      </c>
      <c r="M663" s="29">
        <f t="shared" si="92"/>
        <v>-23</v>
      </c>
      <c r="N663" s="29"/>
      <c r="O663" s="29"/>
    </row>
    <row r="664" spans="1:17" s="12" customFormat="1" hidden="1" outlineLevel="1" collapsed="1">
      <c r="A664" s="95">
        <v>45760</v>
      </c>
      <c r="B664" s="25" t="s">
        <v>17</v>
      </c>
      <c r="C664" s="69"/>
      <c r="D664" s="99"/>
      <c r="E664" s="87">
        <f t="shared" si="89"/>
        <v>-9523</v>
      </c>
      <c r="G664" s="79"/>
      <c r="H664" s="63"/>
      <c r="I664" s="27"/>
      <c r="J664" s="28"/>
      <c r="K664" s="43"/>
      <c r="L664" s="29">
        <f t="shared" si="91"/>
        <v>-23</v>
      </c>
      <c r="M664" s="29">
        <f t="shared" si="92"/>
        <v>-23</v>
      </c>
      <c r="N664" s="29"/>
      <c r="O664" s="29"/>
    </row>
    <row r="665" spans="1:17" hidden="1" outlineLevel="1">
      <c r="A665" s="96">
        <v>45761</v>
      </c>
      <c r="B665" s="17" t="s">
        <v>18</v>
      </c>
      <c r="C665" s="68">
        <v>64</v>
      </c>
      <c r="D665" s="100"/>
      <c r="E665" s="22">
        <f t="shared" si="89"/>
        <v>-9587</v>
      </c>
      <c r="G665" s="78">
        <v>72</v>
      </c>
      <c r="H665" s="62">
        <f t="shared" si="90"/>
        <v>64</v>
      </c>
      <c r="I665" s="20"/>
      <c r="J665" s="21"/>
      <c r="K665" s="57">
        <v>64</v>
      </c>
      <c r="L665" s="23">
        <f t="shared" si="91"/>
        <v>-31</v>
      </c>
      <c r="M665" s="23">
        <f t="shared" si="92"/>
        <v>-31</v>
      </c>
      <c r="N665" s="23"/>
      <c r="O665" s="23">
        <v>8</v>
      </c>
    </row>
    <row r="666" spans="1:17" hidden="1" outlineLevel="1">
      <c r="A666" s="96">
        <v>45762</v>
      </c>
      <c r="B666" s="17" t="s">
        <v>19</v>
      </c>
      <c r="C666" s="68">
        <v>64</v>
      </c>
      <c r="D666" s="100"/>
      <c r="E666" s="22">
        <f t="shared" si="89"/>
        <v>-9651</v>
      </c>
      <c r="G666" s="78">
        <v>72</v>
      </c>
      <c r="H666" s="62">
        <f t="shared" si="90"/>
        <v>64</v>
      </c>
      <c r="I666" s="20"/>
      <c r="J666" s="21"/>
      <c r="K666" s="57">
        <v>64</v>
      </c>
      <c r="L666" s="23">
        <f t="shared" si="91"/>
        <v>-39</v>
      </c>
      <c r="M666" s="23">
        <f t="shared" si="92"/>
        <v>-39</v>
      </c>
      <c r="N666" s="23"/>
      <c r="O666" s="23">
        <v>0</v>
      </c>
    </row>
    <row r="667" spans="1:17" hidden="1" outlineLevel="1">
      <c r="A667" s="96">
        <v>45763</v>
      </c>
      <c r="B667" s="17" t="s">
        <v>20</v>
      </c>
      <c r="C667" s="68">
        <v>64</v>
      </c>
      <c r="D667" s="100"/>
      <c r="E667" s="22">
        <f t="shared" si="89"/>
        <v>-9715</v>
      </c>
      <c r="G667" s="78">
        <v>56</v>
      </c>
      <c r="H667" s="62">
        <f t="shared" si="90"/>
        <v>64</v>
      </c>
      <c r="I667" s="20"/>
      <c r="J667" s="21"/>
      <c r="K667" s="57">
        <v>64</v>
      </c>
      <c r="L667" s="23">
        <f t="shared" si="91"/>
        <v>-31</v>
      </c>
      <c r="M667" s="23">
        <f t="shared" si="92"/>
        <v>-31</v>
      </c>
      <c r="N667" s="23"/>
      <c r="O667" s="23">
        <v>20</v>
      </c>
    </row>
    <row r="668" spans="1:17" hidden="1" outlineLevel="1">
      <c r="A668" s="96">
        <v>45764</v>
      </c>
      <c r="B668" s="17" t="s">
        <v>14</v>
      </c>
      <c r="C668" s="68">
        <v>64</v>
      </c>
      <c r="D668" s="100"/>
      <c r="E668" s="22">
        <f t="shared" si="89"/>
        <v>-9779</v>
      </c>
      <c r="G668" s="78">
        <v>48</v>
      </c>
      <c r="H668" s="62">
        <f t="shared" si="90"/>
        <v>64</v>
      </c>
      <c r="I668" s="20"/>
      <c r="J668" s="21"/>
      <c r="K668" s="57">
        <v>64</v>
      </c>
      <c r="L668" s="23">
        <f t="shared" si="91"/>
        <v>-15</v>
      </c>
      <c r="M668" s="23">
        <f t="shared" si="92"/>
        <v>-15</v>
      </c>
      <c r="N668" s="23"/>
      <c r="O668" s="23">
        <v>8</v>
      </c>
    </row>
    <row r="669" spans="1:17" hidden="1" outlineLevel="1">
      <c r="A669" s="96">
        <v>45765</v>
      </c>
      <c r="B669" s="17" t="s">
        <v>15</v>
      </c>
      <c r="C669" s="68">
        <v>72</v>
      </c>
      <c r="D669" s="100"/>
      <c r="E669" s="22">
        <f t="shared" si="89"/>
        <v>-9851</v>
      </c>
      <c r="G669" s="78">
        <v>56</v>
      </c>
      <c r="H669" s="175">
        <f t="shared" si="90"/>
        <v>0</v>
      </c>
      <c r="I669" s="20">
        <v>-64</v>
      </c>
      <c r="J669" s="21"/>
      <c r="K669" s="57">
        <v>0</v>
      </c>
      <c r="L669" s="23">
        <f t="shared" si="91"/>
        <v>-71</v>
      </c>
      <c r="M669" s="23">
        <f t="shared" si="92"/>
        <v>-71</v>
      </c>
      <c r="N669" s="23"/>
      <c r="O669" s="23">
        <v>8</v>
      </c>
      <c r="Q669" s="1">
        <f>AVERAGE(G665:G669)</f>
        <v>60.8</v>
      </c>
    </row>
    <row r="670" spans="1:17" s="12" customFormat="1" hidden="1" outlineLevel="1">
      <c r="A670" s="95">
        <v>45766</v>
      </c>
      <c r="B670" s="25" t="s">
        <v>16</v>
      </c>
      <c r="C670" s="69"/>
      <c r="D670" s="99"/>
      <c r="E670" s="87">
        <f t="shared" si="89"/>
        <v>-9851</v>
      </c>
      <c r="G670" s="79"/>
      <c r="H670" s="63"/>
      <c r="I670" s="27"/>
      <c r="J670" s="28"/>
      <c r="K670" s="43"/>
      <c r="L670" s="29">
        <f t="shared" si="91"/>
        <v>-71</v>
      </c>
      <c r="M670" s="29">
        <f t="shared" si="92"/>
        <v>-71</v>
      </c>
      <c r="N670" s="29"/>
      <c r="O670" s="29"/>
    </row>
    <row r="671" spans="1:17" s="12" customFormat="1" hidden="1" outlineLevel="1">
      <c r="A671" s="95">
        <v>45767</v>
      </c>
      <c r="B671" s="25" t="s">
        <v>17</v>
      </c>
      <c r="C671" s="69"/>
      <c r="D671" s="99"/>
      <c r="E671" s="87">
        <f t="shared" si="89"/>
        <v>-9851</v>
      </c>
      <c r="G671" s="79"/>
      <c r="H671" s="63"/>
      <c r="I671" s="27"/>
      <c r="J671" s="28"/>
      <c r="K671" s="43"/>
      <c r="L671" s="29">
        <f t="shared" si="91"/>
        <v>-71</v>
      </c>
      <c r="M671" s="29">
        <f t="shared" si="92"/>
        <v>-71</v>
      </c>
      <c r="N671" s="29"/>
      <c r="O671" s="29"/>
    </row>
    <row r="672" spans="1:17" hidden="1" outlineLevel="1">
      <c r="A672" s="96">
        <v>45768</v>
      </c>
      <c r="B672" s="17" t="s">
        <v>18</v>
      </c>
      <c r="C672" s="68">
        <v>72</v>
      </c>
      <c r="D672" s="100"/>
      <c r="E672" s="22">
        <f t="shared" si="89"/>
        <v>-9923</v>
      </c>
      <c r="G672" s="78">
        <v>72</v>
      </c>
      <c r="H672" s="175">
        <f t="shared" si="90"/>
        <v>64</v>
      </c>
      <c r="I672" s="20"/>
      <c r="J672" s="21"/>
      <c r="K672" s="57">
        <v>64</v>
      </c>
      <c r="L672" s="23">
        <f t="shared" si="91"/>
        <v>-79</v>
      </c>
      <c r="M672" s="23">
        <f t="shared" si="92"/>
        <v>-79</v>
      </c>
      <c r="N672" s="23"/>
      <c r="O672" s="23">
        <v>0</v>
      </c>
    </row>
    <row r="673" spans="1:21" hidden="1" outlineLevel="1">
      <c r="A673" s="96">
        <v>45769</v>
      </c>
      <c r="B673" s="17" t="s">
        <v>19</v>
      </c>
      <c r="C673" s="68">
        <v>72</v>
      </c>
      <c r="D673" s="100"/>
      <c r="E673" s="22">
        <f t="shared" si="89"/>
        <v>-9995</v>
      </c>
      <c r="G673" s="78">
        <v>72</v>
      </c>
      <c r="H673" s="62">
        <f t="shared" si="90"/>
        <v>72</v>
      </c>
      <c r="I673" s="20"/>
      <c r="J673" s="21"/>
      <c r="K673" s="57">
        <v>72</v>
      </c>
      <c r="L673" s="23">
        <f t="shared" si="91"/>
        <v>-79</v>
      </c>
      <c r="M673" s="23">
        <f t="shared" si="92"/>
        <v>-79</v>
      </c>
      <c r="N673" s="23"/>
      <c r="O673" s="23">
        <v>7</v>
      </c>
    </row>
    <row r="674" spans="1:21" hidden="1" outlineLevel="1">
      <c r="A674" s="96">
        <v>45770</v>
      </c>
      <c r="B674" s="17" t="s">
        <v>20</v>
      </c>
      <c r="C674" s="68">
        <v>72</v>
      </c>
      <c r="D674" s="100"/>
      <c r="E674" s="22">
        <f t="shared" si="89"/>
        <v>-10067</v>
      </c>
      <c r="G674" s="78">
        <v>32</v>
      </c>
      <c r="H674" s="62">
        <f t="shared" si="90"/>
        <v>72</v>
      </c>
      <c r="I674" s="20"/>
      <c r="J674" s="21"/>
      <c r="K674" s="57">
        <v>72</v>
      </c>
      <c r="L674" s="23">
        <f t="shared" si="91"/>
        <v>-39</v>
      </c>
      <c r="M674" s="23">
        <f t="shared" si="92"/>
        <v>-39</v>
      </c>
      <c r="N674" s="23"/>
      <c r="O674" s="23">
        <v>23</v>
      </c>
    </row>
    <row r="675" spans="1:21" hidden="1" outlineLevel="1">
      <c r="A675" s="96">
        <v>45771</v>
      </c>
      <c r="B675" s="17" t="s">
        <v>14</v>
      </c>
      <c r="C675" s="68">
        <v>72</v>
      </c>
      <c r="D675" s="100"/>
      <c r="E675" s="22">
        <f t="shared" si="89"/>
        <v>-10139</v>
      </c>
      <c r="G675" s="78">
        <v>24</v>
      </c>
      <c r="H675" s="62">
        <f t="shared" si="90"/>
        <v>72</v>
      </c>
      <c r="I675" s="20"/>
      <c r="J675" s="21"/>
      <c r="K675" s="57">
        <v>72</v>
      </c>
      <c r="L675" s="23">
        <f t="shared" si="91"/>
        <v>9</v>
      </c>
      <c r="M675" s="23">
        <f t="shared" si="92"/>
        <v>9</v>
      </c>
      <c r="N675" s="23"/>
      <c r="O675" s="23">
        <v>0</v>
      </c>
    </row>
    <row r="676" spans="1:21" hidden="1" outlineLevel="1">
      <c r="A676" s="96">
        <v>45772</v>
      </c>
      <c r="B676" s="17" t="s">
        <v>15</v>
      </c>
      <c r="C676" s="68">
        <v>72</v>
      </c>
      <c r="D676" s="100"/>
      <c r="E676" s="22">
        <f t="shared" si="89"/>
        <v>-10211</v>
      </c>
      <c r="G676" s="78">
        <v>80</v>
      </c>
      <c r="H676" s="62">
        <f t="shared" si="90"/>
        <v>72</v>
      </c>
      <c r="I676" s="20"/>
      <c r="J676" s="21"/>
      <c r="K676" s="57">
        <v>72</v>
      </c>
      <c r="L676" s="23">
        <f t="shared" si="91"/>
        <v>1</v>
      </c>
      <c r="M676" s="23">
        <f t="shared" si="92"/>
        <v>1</v>
      </c>
      <c r="N676" s="23"/>
      <c r="O676" s="23">
        <v>8</v>
      </c>
      <c r="Q676" s="1">
        <f>AVERAGE(G672:G676)</f>
        <v>56</v>
      </c>
    </row>
    <row r="677" spans="1:21" s="12" customFormat="1" hidden="1" outlineLevel="1">
      <c r="A677" s="95">
        <v>45773</v>
      </c>
      <c r="B677" s="25" t="s">
        <v>16</v>
      </c>
      <c r="C677" s="69"/>
      <c r="D677" s="99"/>
      <c r="E677" s="87">
        <f t="shared" si="89"/>
        <v>-10211</v>
      </c>
      <c r="G677" s="79"/>
      <c r="H677" s="63"/>
      <c r="I677" s="27"/>
      <c r="J677" s="28"/>
      <c r="K677" s="43"/>
      <c r="L677" s="29">
        <f t="shared" si="91"/>
        <v>1</v>
      </c>
      <c r="M677" s="29">
        <f t="shared" si="92"/>
        <v>1</v>
      </c>
      <c r="N677" s="29"/>
      <c r="O677" s="29"/>
    </row>
    <row r="678" spans="1:21" s="12" customFormat="1" hidden="1" outlineLevel="1">
      <c r="A678" s="95">
        <v>45774</v>
      </c>
      <c r="B678" s="25" t="s">
        <v>17</v>
      </c>
      <c r="C678" s="69"/>
      <c r="D678" s="99"/>
      <c r="E678" s="87">
        <f t="shared" si="89"/>
        <v>-10211</v>
      </c>
      <c r="G678" s="79"/>
      <c r="H678" s="63"/>
      <c r="I678" s="27"/>
      <c r="J678" s="28"/>
      <c r="K678" s="43"/>
      <c r="L678" s="29">
        <f t="shared" si="91"/>
        <v>1</v>
      </c>
      <c r="M678" s="29">
        <f t="shared" si="92"/>
        <v>1</v>
      </c>
      <c r="N678" s="29"/>
      <c r="O678" s="29"/>
    </row>
    <row r="679" spans="1:21" hidden="1" outlineLevel="1">
      <c r="A679" s="96">
        <v>45775</v>
      </c>
      <c r="B679" s="17" t="s">
        <v>18</v>
      </c>
      <c r="C679" s="68">
        <v>64</v>
      </c>
      <c r="D679" s="100"/>
      <c r="E679" s="22">
        <f t="shared" si="89"/>
        <v>-10275</v>
      </c>
      <c r="G679" s="78">
        <v>80</v>
      </c>
      <c r="H679" s="62">
        <f t="shared" si="90"/>
        <v>72</v>
      </c>
      <c r="I679" s="20"/>
      <c r="J679" s="21"/>
      <c r="K679" s="57">
        <v>72</v>
      </c>
      <c r="L679" s="23">
        <f t="shared" si="91"/>
        <v>-7</v>
      </c>
      <c r="M679" s="23">
        <f t="shared" si="92"/>
        <v>-7</v>
      </c>
      <c r="N679" s="23"/>
      <c r="O679" s="23">
        <v>0</v>
      </c>
    </row>
    <row r="680" spans="1:21" hidden="1" outlineLevel="1">
      <c r="A680" s="96">
        <v>45776</v>
      </c>
      <c r="B680" s="17" t="s">
        <v>19</v>
      </c>
      <c r="C680" s="282">
        <f>64-64</f>
        <v>0</v>
      </c>
      <c r="D680" s="100"/>
      <c r="E680" s="22">
        <f t="shared" si="89"/>
        <v>-10275</v>
      </c>
      <c r="G680" s="78">
        <v>40</v>
      </c>
      <c r="H680" s="62">
        <f t="shared" si="90"/>
        <v>72</v>
      </c>
      <c r="I680" s="20"/>
      <c r="J680" s="21"/>
      <c r="K680" s="57">
        <v>72</v>
      </c>
      <c r="L680" s="23">
        <f t="shared" si="91"/>
        <v>25</v>
      </c>
      <c r="M680" s="23">
        <f t="shared" si="92"/>
        <v>25</v>
      </c>
      <c r="N680" s="23"/>
      <c r="O680" s="23"/>
    </row>
    <row r="681" spans="1:21" hidden="1" outlineLevel="1">
      <c r="A681" s="96">
        <v>45777</v>
      </c>
      <c r="B681" s="17" t="s">
        <v>20</v>
      </c>
      <c r="C681" s="282"/>
      <c r="D681" s="100"/>
      <c r="E681" s="22">
        <f t="shared" si="89"/>
        <v>-10275</v>
      </c>
      <c r="G681" s="78">
        <v>104</v>
      </c>
      <c r="H681" s="62">
        <f t="shared" si="90"/>
        <v>64</v>
      </c>
      <c r="I681" s="20"/>
      <c r="J681" s="21"/>
      <c r="K681" s="57">
        <v>64</v>
      </c>
      <c r="L681" s="23">
        <f t="shared" si="91"/>
        <v>-15</v>
      </c>
      <c r="M681" s="23">
        <f t="shared" si="92"/>
        <v>-15</v>
      </c>
      <c r="N681" s="23"/>
      <c r="O681" s="23">
        <v>7</v>
      </c>
      <c r="Q681" s="1">
        <f>AVERAGE(G679:G681)</f>
        <v>74.666666666666671</v>
      </c>
    </row>
    <row r="682" spans="1:21" s="12" customFormat="1" hidden="1" outlineLevel="1">
      <c r="A682" s="95">
        <v>45778</v>
      </c>
      <c r="B682" s="25" t="s">
        <v>14</v>
      </c>
      <c r="C682" s="69"/>
      <c r="D682" s="99"/>
      <c r="E682" s="87">
        <f t="shared" si="89"/>
        <v>-10275</v>
      </c>
      <c r="G682" s="79"/>
      <c r="H682" s="63"/>
      <c r="I682" s="27"/>
      <c r="J682" s="28"/>
      <c r="K682" s="43"/>
      <c r="L682" s="29">
        <f t="shared" si="91"/>
        <v>-15</v>
      </c>
      <c r="M682" s="29">
        <f t="shared" si="92"/>
        <v>-15</v>
      </c>
      <c r="N682" s="29"/>
      <c r="O682" s="29"/>
    </row>
    <row r="683" spans="1:21" s="12" customFormat="1" hidden="1" outlineLevel="1">
      <c r="A683" s="95">
        <v>45779</v>
      </c>
      <c r="B683" s="25" t="s">
        <v>15</v>
      </c>
      <c r="C683" s="69"/>
      <c r="D683" s="99"/>
      <c r="E683" s="87">
        <f t="shared" si="89"/>
        <v>-10275</v>
      </c>
      <c r="G683" s="79"/>
      <c r="H683" s="63"/>
      <c r="I683" s="27"/>
      <c r="J683" s="28"/>
      <c r="K683" s="43"/>
      <c r="L683" s="29">
        <f t="shared" si="91"/>
        <v>-15</v>
      </c>
      <c r="M683" s="29">
        <f t="shared" si="92"/>
        <v>-15</v>
      </c>
      <c r="N683" s="29"/>
      <c r="O683" s="29"/>
    </row>
    <row r="684" spans="1:21" s="12" customFormat="1" hidden="1" outlineLevel="1">
      <c r="A684" s="95">
        <v>45780</v>
      </c>
      <c r="B684" s="25" t="s">
        <v>16</v>
      </c>
      <c r="C684" s="69"/>
      <c r="D684" s="99"/>
      <c r="E684" s="87">
        <f t="shared" ref="E684:E715" si="93">E683-C684+D684</f>
        <v>-10275</v>
      </c>
      <c r="G684" s="79"/>
      <c r="H684" s="63"/>
      <c r="I684" s="27"/>
      <c r="J684" s="28"/>
      <c r="K684" s="43"/>
      <c r="L684" s="29">
        <f t="shared" ref="L684:L715" si="94">L683-G684+K684</f>
        <v>-15</v>
      </c>
      <c r="M684" s="29">
        <f t="shared" ref="M684:M715" si="95">M683-G684+H684</f>
        <v>-15</v>
      </c>
      <c r="N684" s="29"/>
      <c r="O684" s="29"/>
    </row>
    <row r="685" spans="1:21" s="12" customFormat="1" hidden="1" outlineLevel="1">
      <c r="A685" s="95">
        <v>45781</v>
      </c>
      <c r="B685" s="25" t="s">
        <v>17</v>
      </c>
      <c r="C685" s="69"/>
      <c r="D685" s="99"/>
      <c r="E685" s="87">
        <f t="shared" si="93"/>
        <v>-10275</v>
      </c>
      <c r="G685" s="79"/>
      <c r="H685" s="63"/>
      <c r="I685" s="27"/>
      <c r="J685" s="28"/>
      <c r="K685" s="43"/>
      <c r="L685" s="29">
        <f t="shared" si="94"/>
        <v>-15</v>
      </c>
      <c r="M685" s="29">
        <f t="shared" si="95"/>
        <v>-15</v>
      </c>
      <c r="N685" s="29"/>
      <c r="O685" s="29"/>
    </row>
    <row r="686" spans="1:21" s="12" customFormat="1" hidden="1" outlineLevel="1" collapsed="1">
      <c r="A686" s="95">
        <v>45782</v>
      </c>
      <c r="B686" s="25" t="s">
        <v>18</v>
      </c>
      <c r="C686" s="69"/>
      <c r="D686" s="99"/>
      <c r="E686" s="87">
        <f t="shared" si="93"/>
        <v>-10275</v>
      </c>
      <c r="G686" s="79"/>
      <c r="H686" s="63"/>
      <c r="I686" s="27"/>
      <c r="J686" s="28"/>
      <c r="K686" s="43"/>
      <c r="L686" s="29">
        <f t="shared" si="94"/>
        <v>-15</v>
      </c>
      <c r="M686" s="29">
        <f t="shared" si="95"/>
        <v>-15</v>
      </c>
      <c r="N686" s="29"/>
      <c r="O686" s="29"/>
    </row>
    <row r="687" spans="1:21" s="12" customFormat="1" hidden="1" outlineLevel="1">
      <c r="A687" s="95">
        <v>45783</v>
      </c>
      <c r="B687" s="25" t="s">
        <v>19</v>
      </c>
      <c r="C687" s="68">
        <v>64</v>
      </c>
      <c r="D687" s="99"/>
      <c r="E687" s="87">
        <f t="shared" si="93"/>
        <v>-10339</v>
      </c>
      <c r="G687" s="79"/>
      <c r="H687" s="63"/>
      <c r="I687" s="27"/>
      <c r="J687" s="28"/>
      <c r="K687" s="43"/>
      <c r="L687" s="29">
        <f t="shared" si="94"/>
        <v>-15</v>
      </c>
      <c r="M687" s="29">
        <f t="shared" si="95"/>
        <v>-15</v>
      </c>
      <c r="N687" s="29"/>
      <c r="O687" s="29">
        <v>0</v>
      </c>
    </row>
    <row r="688" spans="1:21" hidden="1" outlineLevel="1">
      <c r="A688" s="96">
        <v>45784</v>
      </c>
      <c r="B688" s="17" t="s">
        <v>20</v>
      </c>
      <c r="C688" s="68">
        <v>64</v>
      </c>
      <c r="D688" s="100"/>
      <c r="E688" s="22">
        <f t="shared" si="93"/>
        <v>-10403</v>
      </c>
      <c r="G688" s="78">
        <v>56</v>
      </c>
      <c r="H688" s="62">
        <f t="shared" ref="H688:H715" si="96">IF(C686&lt;&gt;"",C686+I688,IF(C684&lt;&gt;"",C684+I688,IF(C683&lt;&gt;"",C683+I688,IF(C682&lt;&gt;"",C682+I688,IF(C681&lt;&gt;"",C681+I688,IF(C680&lt;&gt;"",C680+I688))))))</f>
        <v>0</v>
      </c>
      <c r="I688" s="20"/>
      <c r="J688" s="21"/>
      <c r="K688" s="57">
        <v>0</v>
      </c>
      <c r="L688" s="285">
        <v>-72</v>
      </c>
      <c r="M688" s="285">
        <v>-72</v>
      </c>
      <c r="N688" s="23"/>
      <c r="O688" s="23">
        <v>10</v>
      </c>
      <c r="S688" s="1">
        <v>16</v>
      </c>
      <c r="T688" s="1">
        <v>48</v>
      </c>
      <c r="U688" s="1">
        <v>8</v>
      </c>
    </row>
    <row r="689" spans="1:23" hidden="1" outlineLevel="1">
      <c r="A689" s="96">
        <v>45785</v>
      </c>
      <c r="B689" s="17" t="s">
        <v>14</v>
      </c>
      <c r="C689" s="68">
        <v>64</v>
      </c>
      <c r="D689" s="100"/>
      <c r="E689" s="22">
        <f t="shared" si="93"/>
        <v>-10467</v>
      </c>
      <c r="G689" s="78">
        <v>64</v>
      </c>
      <c r="H689" s="62">
        <f t="shared" si="96"/>
        <v>88</v>
      </c>
      <c r="I689" s="20">
        <v>24</v>
      </c>
      <c r="J689" s="21"/>
      <c r="K689" s="57">
        <v>88</v>
      </c>
      <c r="L689" s="23">
        <f t="shared" si="94"/>
        <v>-48</v>
      </c>
      <c r="M689" s="23">
        <f t="shared" si="95"/>
        <v>-48</v>
      </c>
      <c r="N689" s="23"/>
      <c r="O689" s="23">
        <v>0</v>
      </c>
      <c r="S689" s="1" t="s">
        <v>66</v>
      </c>
      <c r="T689" s="1">
        <v>24</v>
      </c>
      <c r="U689" s="1" t="s">
        <v>65</v>
      </c>
      <c r="V689" s="1">
        <f>T689/8</f>
        <v>3</v>
      </c>
      <c r="W689" s="88" t="s">
        <v>67</v>
      </c>
    </row>
    <row r="690" spans="1:23" hidden="1" outlineLevel="1">
      <c r="A690" s="96">
        <v>45786</v>
      </c>
      <c r="B690" s="17" t="s">
        <v>15</v>
      </c>
      <c r="C690" s="68">
        <v>72</v>
      </c>
      <c r="D690" s="100"/>
      <c r="E690" s="22">
        <f t="shared" si="93"/>
        <v>-10539</v>
      </c>
      <c r="G690" s="78">
        <v>56</v>
      </c>
      <c r="H690" s="62">
        <f t="shared" si="96"/>
        <v>96</v>
      </c>
      <c r="I690" s="20">
        <v>32</v>
      </c>
      <c r="J690" s="21"/>
      <c r="K690" s="57">
        <v>96</v>
      </c>
      <c r="L690" s="23">
        <f t="shared" si="94"/>
        <v>-8</v>
      </c>
      <c r="M690" s="23">
        <f t="shared" si="95"/>
        <v>-8</v>
      </c>
      <c r="N690" s="23"/>
      <c r="O690" s="23">
        <v>8</v>
      </c>
      <c r="Q690" s="1">
        <f>AVERAGE(G688:G690)</f>
        <v>58.666666666666664</v>
      </c>
      <c r="S690" s="1" t="s">
        <v>66</v>
      </c>
      <c r="T690" s="1">
        <f>8*4</f>
        <v>32</v>
      </c>
      <c r="U690" s="1" t="s">
        <v>65</v>
      </c>
      <c r="V690" s="1">
        <f>T690/8</f>
        <v>4</v>
      </c>
      <c r="W690" s="88" t="s">
        <v>67</v>
      </c>
    </row>
    <row r="691" spans="1:23" s="12" customFormat="1" hidden="1" outlineLevel="1">
      <c r="A691" s="95">
        <v>45787</v>
      </c>
      <c r="B691" s="25" t="s">
        <v>16</v>
      </c>
      <c r="C691" s="69"/>
      <c r="D691" s="99"/>
      <c r="E691" s="87">
        <f t="shared" si="93"/>
        <v>-10539</v>
      </c>
      <c r="G691" s="79"/>
      <c r="H691" s="63"/>
      <c r="I691" s="27"/>
      <c r="J691" s="28"/>
      <c r="K691" s="43"/>
      <c r="L691" s="29">
        <f t="shared" si="94"/>
        <v>-8</v>
      </c>
      <c r="M691" s="29">
        <f t="shared" si="95"/>
        <v>-8</v>
      </c>
      <c r="N691" s="29"/>
      <c r="O691" s="29"/>
    </row>
    <row r="692" spans="1:23" s="12" customFormat="1" hidden="1" outlineLevel="1" collapsed="1">
      <c r="A692" s="95">
        <v>45788</v>
      </c>
      <c r="B692" s="25" t="s">
        <v>17</v>
      </c>
      <c r="C692" s="69"/>
      <c r="D692" s="99"/>
      <c r="E692" s="87">
        <f t="shared" si="93"/>
        <v>-10539</v>
      </c>
      <c r="G692" s="79"/>
      <c r="H692" s="63"/>
      <c r="I692" s="27"/>
      <c r="J692" s="28"/>
      <c r="K692" s="43"/>
      <c r="L692" s="29">
        <f t="shared" si="94"/>
        <v>-8</v>
      </c>
      <c r="M692" s="29">
        <f t="shared" si="95"/>
        <v>-8</v>
      </c>
      <c r="N692" s="29"/>
      <c r="O692" s="29"/>
    </row>
    <row r="693" spans="1:23" hidden="1" outlineLevel="1">
      <c r="A693" s="96">
        <v>45789</v>
      </c>
      <c r="B693" s="17" t="s">
        <v>18</v>
      </c>
      <c r="C693" s="68">
        <v>72</v>
      </c>
      <c r="D693" s="100"/>
      <c r="E693" s="22">
        <f t="shared" si="93"/>
        <v>-10611</v>
      </c>
      <c r="G693" s="78">
        <v>72</v>
      </c>
      <c r="H693" s="62">
        <f t="shared" si="96"/>
        <v>64</v>
      </c>
      <c r="I693" s="20"/>
      <c r="J693" s="21"/>
      <c r="K693" s="57">
        <v>64</v>
      </c>
      <c r="L693" s="23">
        <f t="shared" si="94"/>
        <v>-16</v>
      </c>
      <c r="M693" s="23">
        <f t="shared" si="95"/>
        <v>-16</v>
      </c>
      <c r="N693" s="23"/>
      <c r="O693" s="23">
        <v>8</v>
      </c>
    </row>
    <row r="694" spans="1:23" hidden="1" outlineLevel="1">
      <c r="A694" s="96">
        <v>45790</v>
      </c>
      <c r="B694" s="17" t="s">
        <v>19</v>
      </c>
      <c r="C694" s="68">
        <v>72</v>
      </c>
      <c r="D694" s="100"/>
      <c r="E694" s="22">
        <f t="shared" si="93"/>
        <v>-10683</v>
      </c>
      <c r="G694" s="78">
        <v>72</v>
      </c>
      <c r="H694" s="62">
        <f t="shared" si="96"/>
        <v>72</v>
      </c>
      <c r="I694" s="20"/>
      <c r="J694" s="21"/>
      <c r="K694" s="57">
        <v>72</v>
      </c>
      <c r="L694" s="23">
        <f t="shared" si="94"/>
        <v>-16</v>
      </c>
      <c r="M694" s="23">
        <f t="shared" si="95"/>
        <v>-16</v>
      </c>
      <c r="N694" s="23"/>
      <c r="O694" s="23">
        <v>7</v>
      </c>
    </row>
    <row r="695" spans="1:23" hidden="1" outlineLevel="1">
      <c r="A695" s="96">
        <v>45791</v>
      </c>
      <c r="B695" s="17" t="s">
        <v>20</v>
      </c>
      <c r="C695" s="68">
        <v>72</v>
      </c>
      <c r="D695" s="100"/>
      <c r="E695" s="22">
        <f t="shared" si="93"/>
        <v>-10755</v>
      </c>
      <c r="G695" s="78">
        <v>56</v>
      </c>
      <c r="H695" s="62">
        <f t="shared" si="96"/>
        <v>72</v>
      </c>
      <c r="I695" s="20"/>
      <c r="J695" s="21"/>
      <c r="K695" s="57">
        <v>72</v>
      </c>
      <c r="L695" s="23">
        <f t="shared" si="94"/>
        <v>0</v>
      </c>
      <c r="M695" s="23">
        <f t="shared" si="95"/>
        <v>0</v>
      </c>
      <c r="N695" s="23"/>
      <c r="O695" s="23">
        <v>16</v>
      </c>
    </row>
    <row r="696" spans="1:23" hidden="1" outlineLevel="1">
      <c r="A696" s="96">
        <v>45792</v>
      </c>
      <c r="B696" s="17" t="s">
        <v>14</v>
      </c>
      <c r="C696" s="68">
        <v>72</v>
      </c>
      <c r="D696" s="100"/>
      <c r="E696" s="22">
        <f t="shared" si="93"/>
        <v>-10827</v>
      </c>
      <c r="G696" s="78">
        <v>72</v>
      </c>
      <c r="H696" s="62">
        <f t="shared" si="96"/>
        <v>72</v>
      </c>
      <c r="I696" s="20"/>
      <c r="J696" s="21"/>
      <c r="K696" s="57">
        <v>72</v>
      </c>
      <c r="L696" s="23">
        <f t="shared" si="94"/>
        <v>0</v>
      </c>
      <c r="M696" s="23">
        <f t="shared" si="95"/>
        <v>0</v>
      </c>
      <c r="N696" s="23"/>
      <c r="O696" s="23">
        <f>7+9</f>
        <v>16</v>
      </c>
    </row>
    <row r="697" spans="1:23" hidden="1" outlineLevel="1">
      <c r="A697" s="96">
        <v>45793</v>
      </c>
      <c r="B697" s="17" t="s">
        <v>15</v>
      </c>
      <c r="C697" s="68">
        <v>72</v>
      </c>
      <c r="D697" s="100"/>
      <c r="E697" s="22">
        <f t="shared" si="93"/>
        <v>-10899</v>
      </c>
      <c r="G697" s="78">
        <v>64</v>
      </c>
      <c r="H697" s="62">
        <f t="shared" si="96"/>
        <v>72</v>
      </c>
      <c r="I697" s="20"/>
      <c r="J697" s="21"/>
      <c r="K697" s="57">
        <v>72</v>
      </c>
      <c r="L697" s="23">
        <f t="shared" si="94"/>
        <v>8</v>
      </c>
      <c r="M697" s="23">
        <f t="shared" si="95"/>
        <v>8</v>
      </c>
      <c r="N697" s="23"/>
      <c r="O697" s="23">
        <v>8</v>
      </c>
      <c r="Q697" s="1">
        <f>AVERAGE(G693:G697)</f>
        <v>67.2</v>
      </c>
    </row>
    <row r="698" spans="1:23" s="12" customFormat="1" hidden="1" outlineLevel="1">
      <c r="A698" s="95">
        <v>45794</v>
      </c>
      <c r="B698" s="25" t="s">
        <v>16</v>
      </c>
      <c r="C698" s="69"/>
      <c r="D698" s="99"/>
      <c r="E698" s="87">
        <f t="shared" si="93"/>
        <v>-10899</v>
      </c>
      <c r="G698" s="79"/>
      <c r="H698" s="63"/>
      <c r="I698" s="27"/>
      <c r="J698" s="28"/>
      <c r="K698" s="43"/>
      <c r="L698" s="29">
        <f t="shared" si="94"/>
        <v>8</v>
      </c>
      <c r="M698" s="29">
        <f t="shared" si="95"/>
        <v>8</v>
      </c>
      <c r="N698" s="29"/>
      <c r="O698" s="29"/>
    </row>
    <row r="699" spans="1:23" s="12" customFormat="1" hidden="1" outlineLevel="1" collapsed="1">
      <c r="A699" s="95">
        <v>45795</v>
      </c>
      <c r="B699" s="25" t="s">
        <v>17</v>
      </c>
      <c r="C699" s="69"/>
      <c r="D699" s="99"/>
      <c r="E699" s="87">
        <f t="shared" si="93"/>
        <v>-10899</v>
      </c>
      <c r="G699" s="79"/>
      <c r="H699" s="63"/>
      <c r="I699" s="27"/>
      <c r="J699" s="28"/>
      <c r="K699" s="43"/>
      <c r="L699" s="29">
        <f t="shared" si="94"/>
        <v>8</v>
      </c>
      <c r="M699" s="29">
        <f t="shared" si="95"/>
        <v>8</v>
      </c>
      <c r="N699" s="29"/>
      <c r="O699" s="29"/>
    </row>
    <row r="700" spans="1:23" hidden="1" outlineLevel="1">
      <c r="A700" s="96">
        <v>45796</v>
      </c>
      <c r="B700" s="17" t="s">
        <v>18</v>
      </c>
      <c r="C700" s="68">
        <v>56</v>
      </c>
      <c r="D700" s="100"/>
      <c r="E700" s="22">
        <f t="shared" si="93"/>
        <v>-10955</v>
      </c>
      <c r="G700" s="78">
        <v>80</v>
      </c>
      <c r="H700" s="288">
        <f t="shared" si="96"/>
        <v>72</v>
      </c>
      <c r="I700" s="20"/>
      <c r="J700" s="21"/>
      <c r="K700" s="57">
        <v>72</v>
      </c>
      <c r="L700" s="23">
        <f t="shared" si="94"/>
        <v>0</v>
      </c>
      <c r="M700" s="23">
        <f t="shared" si="95"/>
        <v>0</v>
      </c>
      <c r="N700" s="23"/>
      <c r="O700" s="23">
        <v>9</v>
      </c>
      <c r="R700" s="296" t="s">
        <v>70</v>
      </c>
    </row>
    <row r="701" spans="1:23" hidden="1" outlineLevel="1">
      <c r="A701" s="96">
        <v>45797</v>
      </c>
      <c r="B701" s="17" t="s">
        <v>19</v>
      </c>
      <c r="C701" s="68">
        <v>56</v>
      </c>
      <c r="D701" s="100"/>
      <c r="E701" s="22">
        <f t="shared" si="93"/>
        <v>-11011</v>
      </c>
      <c r="G701" s="78">
        <v>64</v>
      </c>
      <c r="H701" s="62">
        <f t="shared" si="96"/>
        <v>64</v>
      </c>
      <c r="I701" s="20">
        <v>-8</v>
      </c>
      <c r="J701" s="21"/>
      <c r="K701" s="57">
        <v>64</v>
      </c>
      <c r="L701" s="23">
        <f t="shared" si="94"/>
        <v>0</v>
      </c>
      <c r="M701" s="23">
        <f t="shared" si="95"/>
        <v>0</v>
      </c>
      <c r="N701" s="23"/>
      <c r="O701" s="23">
        <v>6</v>
      </c>
    </row>
    <row r="702" spans="1:23" hidden="1" outlineLevel="1">
      <c r="A702" s="96">
        <v>45798</v>
      </c>
      <c r="B702" s="17" t="s">
        <v>20</v>
      </c>
      <c r="C702" s="68">
        <v>48</v>
      </c>
      <c r="D702" s="100"/>
      <c r="E702" s="22">
        <f t="shared" si="93"/>
        <v>-11059</v>
      </c>
      <c r="G702" s="78">
        <v>80</v>
      </c>
      <c r="H702" s="62">
        <f t="shared" si="96"/>
        <v>56</v>
      </c>
      <c r="I702" s="20"/>
      <c r="J702" s="21"/>
      <c r="K702" s="57">
        <v>56</v>
      </c>
      <c r="L702" s="23">
        <f t="shared" si="94"/>
        <v>-24</v>
      </c>
      <c r="M702" s="23">
        <f t="shared" si="95"/>
        <v>-24</v>
      </c>
      <c r="N702" s="23"/>
      <c r="O702" s="23">
        <v>0</v>
      </c>
    </row>
    <row r="703" spans="1:23" hidden="1" outlineLevel="1">
      <c r="A703" s="96">
        <v>45799</v>
      </c>
      <c r="B703" s="17" t="s">
        <v>14</v>
      </c>
      <c r="C703" s="68">
        <v>48</v>
      </c>
      <c r="D703" s="100"/>
      <c r="E703" s="22">
        <f t="shared" si="93"/>
        <v>-11107</v>
      </c>
      <c r="G703" s="78">
        <v>40</v>
      </c>
      <c r="H703" s="62">
        <f t="shared" si="96"/>
        <v>56</v>
      </c>
      <c r="I703" s="20"/>
      <c r="J703" s="21"/>
      <c r="K703" s="57">
        <v>56</v>
      </c>
      <c r="L703" s="23">
        <f t="shared" si="94"/>
        <v>-8</v>
      </c>
      <c r="M703" s="23">
        <f t="shared" si="95"/>
        <v>-8</v>
      </c>
      <c r="N703" s="23"/>
      <c r="O703" s="23">
        <v>16</v>
      </c>
    </row>
    <row r="704" spans="1:23" hidden="1" outlineLevel="1">
      <c r="A704" s="96">
        <v>45800</v>
      </c>
      <c r="B704" s="17" t="s">
        <v>15</v>
      </c>
      <c r="C704" s="68">
        <v>48</v>
      </c>
      <c r="D704" s="100"/>
      <c r="E704" s="22">
        <f t="shared" si="93"/>
        <v>-11155</v>
      </c>
      <c r="G704" s="78">
        <v>80</v>
      </c>
      <c r="H704" s="62">
        <f t="shared" si="96"/>
        <v>48</v>
      </c>
      <c r="I704" s="20"/>
      <c r="J704" s="21"/>
      <c r="K704" s="57">
        <v>48</v>
      </c>
      <c r="L704" s="23">
        <f t="shared" si="94"/>
        <v>-40</v>
      </c>
      <c r="M704" s="23">
        <f t="shared" si="95"/>
        <v>-40</v>
      </c>
      <c r="N704" s="23"/>
      <c r="O704" s="23">
        <v>8</v>
      </c>
      <c r="Q704" s="1">
        <f>AVERAGE(G700:G704)</f>
        <v>68.8</v>
      </c>
    </row>
    <row r="705" spans="1:18" s="12" customFormat="1" hidden="1" outlineLevel="1">
      <c r="A705" s="95">
        <v>45801</v>
      </c>
      <c r="B705" s="25" t="s">
        <v>16</v>
      </c>
      <c r="C705" s="69"/>
      <c r="D705" s="99"/>
      <c r="E705" s="87">
        <f t="shared" si="93"/>
        <v>-11155</v>
      </c>
      <c r="G705" s="64"/>
      <c r="H705" s="63"/>
      <c r="I705" s="27"/>
      <c r="J705" s="28"/>
      <c r="K705" s="43"/>
      <c r="L705" s="29">
        <f t="shared" si="94"/>
        <v>-40</v>
      </c>
      <c r="M705" s="29">
        <f t="shared" si="95"/>
        <v>-40</v>
      </c>
      <c r="N705" s="29"/>
      <c r="O705" s="29"/>
    </row>
    <row r="706" spans="1:18" s="12" customFormat="1" hidden="1" outlineLevel="1" collapsed="1">
      <c r="A706" s="95">
        <v>45802</v>
      </c>
      <c r="B706" s="25" t="s">
        <v>17</v>
      </c>
      <c r="C706" s="69"/>
      <c r="D706" s="99"/>
      <c r="E706" s="87">
        <f t="shared" si="93"/>
        <v>-11155</v>
      </c>
      <c r="G706" s="64"/>
      <c r="H706" s="63"/>
      <c r="I706" s="27"/>
      <c r="J706" s="28"/>
      <c r="K706" s="43"/>
      <c r="L706" s="29">
        <f t="shared" si="94"/>
        <v>-40</v>
      </c>
      <c r="M706" s="29">
        <f t="shared" si="95"/>
        <v>-40</v>
      </c>
      <c r="N706" s="29"/>
      <c r="O706" s="29"/>
    </row>
    <row r="707" spans="1:18" hidden="1" outlineLevel="1">
      <c r="A707" s="96">
        <v>45803</v>
      </c>
      <c r="B707" s="17" t="s">
        <v>18</v>
      </c>
      <c r="C707" s="68">
        <v>72</v>
      </c>
      <c r="D707" s="100"/>
      <c r="E707" s="22">
        <f t="shared" si="93"/>
        <v>-11227</v>
      </c>
      <c r="G707" s="78">
        <v>56</v>
      </c>
      <c r="H707" s="62">
        <f t="shared" si="96"/>
        <v>48</v>
      </c>
      <c r="I707" s="20"/>
      <c r="J707" s="21"/>
      <c r="K707" s="57">
        <v>48</v>
      </c>
      <c r="L707" s="23">
        <f t="shared" si="94"/>
        <v>-48</v>
      </c>
      <c r="M707" s="23">
        <f t="shared" si="95"/>
        <v>-48</v>
      </c>
      <c r="N707" s="23"/>
      <c r="O707" s="23">
        <v>8</v>
      </c>
    </row>
    <row r="708" spans="1:18" hidden="1" outlineLevel="1">
      <c r="A708" s="96">
        <v>45804</v>
      </c>
      <c r="B708" s="17" t="s">
        <v>19</v>
      </c>
      <c r="C708" s="68">
        <v>64</v>
      </c>
      <c r="D708" s="100"/>
      <c r="E708" s="22">
        <f t="shared" si="93"/>
        <v>-11291</v>
      </c>
      <c r="G708" s="78">
        <v>0</v>
      </c>
      <c r="H708" s="62">
        <f t="shared" si="96"/>
        <v>48</v>
      </c>
      <c r="I708" s="20"/>
      <c r="J708" s="21"/>
      <c r="K708" s="57">
        <v>48</v>
      </c>
      <c r="L708" s="23">
        <f t="shared" si="94"/>
        <v>0</v>
      </c>
      <c r="M708" s="23">
        <f t="shared" si="95"/>
        <v>0</v>
      </c>
      <c r="N708" s="23"/>
      <c r="O708" s="23">
        <v>7</v>
      </c>
    </row>
    <row r="709" spans="1:18" hidden="1" outlineLevel="1">
      <c r="A709" s="96">
        <v>45805</v>
      </c>
      <c r="B709" s="17" t="s">
        <v>20</v>
      </c>
      <c r="C709" s="68">
        <f t="shared" ref="C709" si="97">G711</f>
        <v>0</v>
      </c>
      <c r="D709" s="100"/>
      <c r="E709" s="22">
        <f t="shared" si="93"/>
        <v>-11291</v>
      </c>
      <c r="G709" s="78">
        <v>72</v>
      </c>
      <c r="H709" s="62">
        <f t="shared" si="96"/>
        <v>72</v>
      </c>
      <c r="I709" s="20"/>
      <c r="J709" s="21"/>
      <c r="K709" s="57">
        <v>72</v>
      </c>
      <c r="L709" s="23">
        <f t="shared" si="94"/>
        <v>0</v>
      </c>
      <c r="M709" s="23">
        <f t="shared" si="95"/>
        <v>0</v>
      </c>
      <c r="N709" s="23"/>
      <c r="O709" s="23">
        <v>8</v>
      </c>
    </row>
    <row r="710" spans="1:18" hidden="1" outlineLevel="1">
      <c r="A710" s="96">
        <v>45806</v>
      </c>
      <c r="B710" s="17" t="s">
        <v>14</v>
      </c>
      <c r="C710" s="68">
        <f>G714</f>
        <v>72</v>
      </c>
      <c r="D710" s="100"/>
      <c r="E710" s="22">
        <f t="shared" si="93"/>
        <v>-11363</v>
      </c>
      <c r="G710" s="78">
        <v>64</v>
      </c>
      <c r="H710" s="62">
        <f t="shared" si="96"/>
        <v>64</v>
      </c>
      <c r="I710" s="20"/>
      <c r="J710" s="21"/>
      <c r="K710" s="57">
        <v>64</v>
      </c>
      <c r="L710" s="23">
        <f t="shared" si="94"/>
        <v>0</v>
      </c>
      <c r="M710" s="23">
        <f t="shared" si="95"/>
        <v>0</v>
      </c>
      <c r="N710" s="23"/>
      <c r="O710" s="23">
        <v>9</v>
      </c>
    </row>
    <row r="711" spans="1:18" hidden="1" outlineLevel="1">
      <c r="A711" s="96">
        <v>45807</v>
      </c>
      <c r="B711" s="17" t="s">
        <v>15</v>
      </c>
      <c r="C711" s="68">
        <f>G715</f>
        <v>80</v>
      </c>
      <c r="D711" s="100"/>
      <c r="E711" s="22">
        <f t="shared" si="93"/>
        <v>-11443</v>
      </c>
      <c r="G711" s="297">
        <v>0</v>
      </c>
      <c r="H711" s="77">
        <f t="shared" si="96"/>
        <v>0</v>
      </c>
      <c r="I711" s="289"/>
      <c r="J711" s="290"/>
      <c r="K711" s="291"/>
      <c r="L711" s="23">
        <f t="shared" si="94"/>
        <v>0</v>
      </c>
      <c r="M711" s="23">
        <f t="shared" si="95"/>
        <v>0</v>
      </c>
      <c r="N711" s="23"/>
      <c r="O711" s="23">
        <v>7</v>
      </c>
      <c r="Q711" s="1">
        <f>AVERAGE(G707:G711)</f>
        <v>38.4</v>
      </c>
    </row>
    <row r="712" spans="1:18" s="12" customFormat="1" hidden="1" outlineLevel="1">
      <c r="A712" s="95">
        <v>45808</v>
      </c>
      <c r="B712" s="25" t="s">
        <v>16</v>
      </c>
      <c r="C712" s="69"/>
      <c r="D712" s="99"/>
      <c r="E712" s="87">
        <f t="shared" si="93"/>
        <v>-11443</v>
      </c>
      <c r="G712" s="79"/>
      <c r="H712" s="63"/>
      <c r="I712" s="27"/>
      <c r="J712" s="28"/>
      <c r="K712" s="43"/>
      <c r="L712" s="29">
        <f t="shared" si="94"/>
        <v>0</v>
      </c>
      <c r="M712" s="29">
        <f t="shared" si="95"/>
        <v>0</v>
      </c>
      <c r="N712" s="29"/>
      <c r="O712" s="29"/>
    </row>
    <row r="713" spans="1:18" s="12" customFormat="1" hidden="1" outlineLevel="1" collapsed="1">
      <c r="A713" s="95">
        <v>45809</v>
      </c>
      <c r="B713" s="25" t="s">
        <v>17</v>
      </c>
      <c r="C713" s="69"/>
      <c r="D713" s="99"/>
      <c r="E713" s="87">
        <f t="shared" si="93"/>
        <v>-11443</v>
      </c>
      <c r="G713" s="79"/>
      <c r="H713" s="63"/>
      <c r="I713" s="27"/>
      <c r="J713" s="28"/>
      <c r="K713" s="43"/>
      <c r="L713" s="29">
        <f t="shared" si="94"/>
        <v>0</v>
      </c>
      <c r="M713" s="29">
        <f t="shared" si="95"/>
        <v>0</v>
      </c>
      <c r="N713" s="29"/>
      <c r="O713" s="29"/>
    </row>
    <row r="714" spans="1:18" hidden="1" outlineLevel="1">
      <c r="A714" s="96">
        <v>45810</v>
      </c>
      <c r="B714" s="17" t="s">
        <v>18</v>
      </c>
      <c r="C714" s="68">
        <f>G716</f>
        <v>56</v>
      </c>
      <c r="D714" s="100"/>
      <c r="E714" s="22">
        <f t="shared" si="93"/>
        <v>-11499</v>
      </c>
      <c r="G714" s="78">
        <v>72</v>
      </c>
      <c r="H714" s="62">
        <f t="shared" si="96"/>
        <v>72</v>
      </c>
      <c r="I714" s="20"/>
      <c r="J714" s="21"/>
      <c r="K714" s="57">
        <v>72</v>
      </c>
      <c r="L714" s="23">
        <f t="shared" si="94"/>
        <v>0</v>
      </c>
      <c r="M714" s="23">
        <f t="shared" si="95"/>
        <v>0</v>
      </c>
      <c r="N714" s="23"/>
      <c r="O714" s="23">
        <v>0</v>
      </c>
      <c r="R714" s="292" t="s">
        <v>70</v>
      </c>
    </row>
    <row r="715" spans="1:18" hidden="1" outlineLevel="1">
      <c r="A715" s="96">
        <v>45811</v>
      </c>
      <c r="B715" s="17" t="s">
        <v>19</v>
      </c>
      <c r="C715" s="68">
        <f t="shared" ref="C715:C716" si="98">G717</f>
        <v>80</v>
      </c>
      <c r="D715" s="100"/>
      <c r="E715" s="22">
        <f t="shared" si="93"/>
        <v>-11579</v>
      </c>
      <c r="G715" s="78">
        <v>80</v>
      </c>
      <c r="H715" s="62">
        <f t="shared" si="96"/>
        <v>80</v>
      </c>
      <c r="I715" s="20"/>
      <c r="J715" s="21"/>
      <c r="K715" s="57">
        <v>80</v>
      </c>
      <c r="L715" s="23">
        <f t="shared" si="94"/>
        <v>0</v>
      </c>
      <c r="M715" s="23">
        <f t="shared" si="95"/>
        <v>0</v>
      </c>
      <c r="N715" s="23"/>
      <c r="O715" s="23">
        <v>0</v>
      </c>
    </row>
    <row r="716" spans="1:18" hidden="1" outlineLevel="1">
      <c r="A716" s="96">
        <v>45812</v>
      </c>
      <c r="B716" s="17" t="s">
        <v>20</v>
      </c>
      <c r="C716" s="68">
        <f t="shared" si="98"/>
        <v>56</v>
      </c>
      <c r="D716" s="100"/>
      <c r="E716" s="22">
        <f t="shared" ref="E716:E747" si="99">E715-C716+D716</f>
        <v>-11635</v>
      </c>
      <c r="G716" s="78">
        <v>56</v>
      </c>
      <c r="H716" s="62">
        <f t="shared" ref="H716:H746" si="100">IF(C714&lt;&gt;"",C714+I716,IF(C712&lt;&gt;"",C712+I716,IF(C711&lt;&gt;"",C711+I716,IF(C710&lt;&gt;"",C710+I716,IF(C709&lt;&gt;"",C709+I716,IF(C708&lt;&gt;"",C708+I716))))))</f>
        <v>56</v>
      </c>
      <c r="I716" s="20"/>
      <c r="J716" s="21"/>
      <c r="K716" s="57">
        <v>56</v>
      </c>
      <c r="L716" s="23">
        <f t="shared" ref="L716:L747" si="101">L715-G716+K716</f>
        <v>0</v>
      </c>
      <c r="M716" s="23">
        <f t="shared" ref="M716:M747" si="102">M715-G716+H716</f>
        <v>0</v>
      </c>
      <c r="N716" s="23"/>
      <c r="O716" s="23">
        <v>8</v>
      </c>
    </row>
    <row r="717" spans="1:18" hidden="1" outlineLevel="1">
      <c r="A717" s="96">
        <v>45813</v>
      </c>
      <c r="B717" s="17" t="s">
        <v>14</v>
      </c>
      <c r="C717" s="68">
        <f>G721</f>
        <v>64</v>
      </c>
      <c r="D717" s="100"/>
      <c r="E717" s="22">
        <f t="shared" si="99"/>
        <v>-11699</v>
      </c>
      <c r="G717" s="78">
        <v>80</v>
      </c>
      <c r="H717" s="62">
        <f t="shared" si="100"/>
        <v>80</v>
      </c>
      <c r="I717" s="20"/>
      <c r="J717" s="21"/>
      <c r="K717" s="57">
        <v>80</v>
      </c>
      <c r="L717" s="23">
        <f t="shared" si="101"/>
        <v>0</v>
      </c>
      <c r="M717" s="23">
        <f t="shared" si="102"/>
        <v>0</v>
      </c>
      <c r="N717" s="23"/>
      <c r="O717" s="23">
        <v>8</v>
      </c>
    </row>
    <row r="718" spans="1:18" hidden="1" outlineLevel="1">
      <c r="A718" s="96">
        <v>45814</v>
      </c>
      <c r="B718" s="17" t="s">
        <v>15</v>
      </c>
      <c r="C718" s="68">
        <f>G722</f>
        <v>72</v>
      </c>
      <c r="D718" s="100"/>
      <c r="E718" s="22">
        <f t="shared" si="99"/>
        <v>-11771</v>
      </c>
      <c r="G718" s="78">
        <v>56</v>
      </c>
      <c r="H718" s="62">
        <f t="shared" si="100"/>
        <v>56</v>
      </c>
      <c r="I718" s="20"/>
      <c r="J718" s="21"/>
      <c r="K718" s="57">
        <v>56</v>
      </c>
      <c r="L718" s="23">
        <f t="shared" si="101"/>
        <v>0</v>
      </c>
      <c r="M718" s="23">
        <f t="shared" si="102"/>
        <v>0</v>
      </c>
      <c r="N718" s="23"/>
      <c r="O718" s="23">
        <v>8</v>
      </c>
      <c r="Q718" s="1">
        <f>AVERAGE(G714:G718)</f>
        <v>68.8</v>
      </c>
    </row>
    <row r="719" spans="1:18" s="12" customFormat="1" hidden="1" outlineLevel="1">
      <c r="A719" s="95">
        <v>45815</v>
      </c>
      <c r="B719" s="25" t="s">
        <v>16</v>
      </c>
      <c r="C719" s="69"/>
      <c r="D719" s="99"/>
      <c r="E719" s="87">
        <f t="shared" si="99"/>
        <v>-11771</v>
      </c>
      <c r="G719" s="79"/>
      <c r="H719" s="63"/>
      <c r="I719" s="27"/>
      <c r="J719" s="28"/>
      <c r="K719" s="43"/>
      <c r="L719" s="29">
        <f t="shared" si="101"/>
        <v>0</v>
      </c>
      <c r="M719" s="29">
        <f t="shared" si="102"/>
        <v>0</v>
      </c>
      <c r="N719" s="29"/>
      <c r="O719" s="29"/>
    </row>
    <row r="720" spans="1:18" s="12" customFormat="1" hidden="1" outlineLevel="1" collapsed="1">
      <c r="A720" s="95">
        <v>45816</v>
      </c>
      <c r="B720" s="25" t="s">
        <v>17</v>
      </c>
      <c r="C720" s="69"/>
      <c r="D720" s="99"/>
      <c r="E720" s="87">
        <f t="shared" si="99"/>
        <v>-11771</v>
      </c>
      <c r="G720" s="79"/>
      <c r="H720" s="63"/>
      <c r="I720" s="27"/>
      <c r="J720" s="28"/>
      <c r="K720" s="43"/>
      <c r="L720" s="29">
        <f t="shared" si="101"/>
        <v>0</v>
      </c>
      <c r="M720" s="29">
        <f t="shared" si="102"/>
        <v>0</v>
      </c>
      <c r="N720" s="29"/>
      <c r="O720" s="29"/>
    </row>
    <row r="721" spans="1:17" hidden="1" outlineLevel="1">
      <c r="A721" s="96">
        <v>45817</v>
      </c>
      <c r="B721" s="17" t="s">
        <v>18</v>
      </c>
      <c r="C721" s="68">
        <f>G723</f>
        <v>56</v>
      </c>
      <c r="D721" s="100"/>
      <c r="E721" s="22">
        <f t="shared" si="99"/>
        <v>-11827</v>
      </c>
      <c r="G721" s="78">
        <v>64</v>
      </c>
      <c r="H721" s="62">
        <f t="shared" si="100"/>
        <v>64</v>
      </c>
      <c r="I721" s="20"/>
      <c r="J721" s="21"/>
      <c r="K721" s="57">
        <v>64</v>
      </c>
      <c r="L721" s="23">
        <f t="shared" si="101"/>
        <v>0</v>
      </c>
      <c r="M721" s="23">
        <f t="shared" si="102"/>
        <v>0</v>
      </c>
      <c r="N721" s="23"/>
      <c r="O721" s="23">
        <v>8</v>
      </c>
    </row>
    <row r="722" spans="1:17" hidden="1" outlineLevel="1">
      <c r="A722" s="96">
        <v>45818</v>
      </c>
      <c r="B722" s="17" t="s">
        <v>19</v>
      </c>
      <c r="C722" s="68">
        <f t="shared" ref="C722:C723" si="103">G724</f>
        <v>80</v>
      </c>
      <c r="D722" s="100"/>
      <c r="E722" s="22">
        <f t="shared" si="99"/>
        <v>-11907</v>
      </c>
      <c r="G722" s="78">
        <v>72</v>
      </c>
      <c r="H722" s="62">
        <f t="shared" si="100"/>
        <v>72</v>
      </c>
      <c r="I722" s="20"/>
      <c r="J722" s="21"/>
      <c r="K722" s="57">
        <v>72</v>
      </c>
      <c r="L722" s="23">
        <f t="shared" si="101"/>
        <v>0</v>
      </c>
      <c r="M722" s="23">
        <f t="shared" si="102"/>
        <v>0</v>
      </c>
      <c r="N722" s="23"/>
      <c r="O722" s="23">
        <v>16</v>
      </c>
    </row>
    <row r="723" spans="1:17" hidden="1" outlineLevel="1">
      <c r="A723" s="96">
        <v>45819</v>
      </c>
      <c r="B723" s="17" t="s">
        <v>20</v>
      </c>
      <c r="C723" s="68">
        <f t="shared" si="103"/>
        <v>56</v>
      </c>
      <c r="D723" s="100"/>
      <c r="E723" s="22">
        <f t="shared" si="99"/>
        <v>-11963</v>
      </c>
      <c r="G723" s="78">
        <v>56</v>
      </c>
      <c r="H723" s="62">
        <f t="shared" si="100"/>
        <v>56</v>
      </c>
      <c r="I723" s="20"/>
      <c r="J723" s="21"/>
      <c r="K723" s="57">
        <v>56</v>
      </c>
      <c r="L723" s="23">
        <f t="shared" si="101"/>
        <v>0</v>
      </c>
      <c r="M723" s="23">
        <f t="shared" si="102"/>
        <v>0</v>
      </c>
      <c r="N723" s="23"/>
      <c r="O723" s="23">
        <v>7</v>
      </c>
    </row>
    <row r="724" spans="1:17" hidden="1" outlineLevel="1">
      <c r="A724" s="96">
        <v>45820</v>
      </c>
      <c r="B724" s="17" t="s">
        <v>14</v>
      </c>
      <c r="C724" s="68">
        <f>G728</f>
        <v>56</v>
      </c>
      <c r="D724" s="100"/>
      <c r="E724" s="22">
        <f t="shared" si="99"/>
        <v>-12019</v>
      </c>
      <c r="G724" s="78">
        <v>80</v>
      </c>
      <c r="H724" s="62">
        <f t="shared" si="100"/>
        <v>80</v>
      </c>
      <c r="I724" s="20"/>
      <c r="J724" s="21"/>
      <c r="K724" s="57">
        <v>80</v>
      </c>
      <c r="L724" s="23">
        <f t="shared" si="101"/>
        <v>0</v>
      </c>
      <c r="M724" s="23">
        <f t="shared" si="102"/>
        <v>0</v>
      </c>
      <c r="N724" s="23"/>
      <c r="O724" s="23">
        <v>10</v>
      </c>
    </row>
    <row r="725" spans="1:17" hidden="1" outlineLevel="1">
      <c r="A725" s="96">
        <v>45821</v>
      </c>
      <c r="B725" s="17" t="s">
        <v>15</v>
      </c>
      <c r="C725" s="68">
        <f>G729</f>
        <v>80</v>
      </c>
      <c r="D725" s="100"/>
      <c r="E725" s="22">
        <f t="shared" si="99"/>
        <v>-12099</v>
      </c>
      <c r="G725" s="78">
        <v>56</v>
      </c>
      <c r="H725" s="62">
        <f t="shared" si="100"/>
        <v>56</v>
      </c>
      <c r="I725" s="20"/>
      <c r="J725" s="21"/>
      <c r="K725" s="57">
        <v>56</v>
      </c>
      <c r="L725" s="23">
        <f t="shared" si="101"/>
        <v>0</v>
      </c>
      <c r="M725" s="23">
        <f t="shared" si="102"/>
        <v>0</v>
      </c>
      <c r="N725" s="23"/>
      <c r="O725" s="23">
        <v>8</v>
      </c>
      <c r="Q725" s="1">
        <f>AVERAGE(G721:G725)</f>
        <v>65.599999999999994</v>
      </c>
    </row>
    <row r="726" spans="1:17" s="12" customFormat="1" hidden="1" outlineLevel="1">
      <c r="A726" s="95">
        <v>45822</v>
      </c>
      <c r="B726" s="25" t="s">
        <v>16</v>
      </c>
      <c r="C726" s="69"/>
      <c r="D726" s="99"/>
      <c r="E726" s="87">
        <f t="shared" si="99"/>
        <v>-12099</v>
      </c>
      <c r="G726" s="79"/>
      <c r="H726" s="63"/>
      <c r="I726" s="27"/>
      <c r="J726" s="28"/>
      <c r="K726" s="43"/>
      <c r="L726" s="29">
        <f t="shared" si="101"/>
        <v>0</v>
      </c>
      <c r="M726" s="29">
        <f t="shared" si="102"/>
        <v>0</v>
      </c>
      <c r="N726" s="29"/>
      <c r="O726" s="29"/>
    </row>
    <row r="727" spans="1:17" s="12" customFormat="1" hidden="1" outlineLevel="1" collapsed="1">
      <c r="A727" s="95">
        <v>45823</v>
      </c>
      <c r="B727" s="25" t="s">
        <v>17</v>
      </c>
      <c r="C727" s="69"/>
      <c r="D727" s="99"/>
      <c r="E727" s="87">
        <f t="shared" si="99"/>
        <v>-12099</v>
      </c>
      <c r="G727" s="79"/>
      <c r="H727" s="63"/>
      <c r="I727" s="27"/>
      <c r="J727" s="28"/>
      <c r="K727" s="43"/>
      <c r="L727" s="29">
        <f t="shared" si="101"/>
        <v>0</v>
      </c>
      <c r="M727" s="29">
        <f t="shared" si="102"/>
        <v>0</v>
      </c>
      <c r="N727" s="29"/>
      <c r="O727" s="29"/>
    </row>
    <row r="728" spans="1:17" hidden="1" outlineLevel="1">
      <c r="A728" s="96">
        <v>45824</v>
      </c>
      <c r="B728" s="17" t="s">
        <v>18</v>
      </c>
      <c r="C728" s="68">
        <f>G730</f>
        <v>48</v>
      </c>
      <c r="D728" s="100"/>
      <c r="E728" s="22">
        <f t="shared" si="99"/>
        <v>-12147</v>
      </c>
      <c r="G728" s="78">
        <v>56</v>
      </c>
      <c r="H728" s="62">
        <f t="shared" si="100"/>
        <v>56</v>
      </c>
      <c r="I728" s="20"/>
      <c r="J728" s="21"/>
      <c r="K728" s="57">
        <v>56</v>
      </c>
      <c r="L728" s="23">
        <f t="shared" si="101"/>
        <v>0</v>
      </c>
      <c r="M728" s="23">
        <f t="shared" si="102"/>
        <v>0</v>
      </c>
      <c r="N728" s="23"/>
      <c r="O728" s="23">
        <v>9</v>
      </c>
    </row>
    <row r="729" spans="1:17" hidden="1" outlineLevel="1">
      <c r="A729" s="96">
        <v>45825</v>
      </c>
      <c r="B729" s="17" t="s">
        <v>19</v>
      </c>
      <c r="C729" s="68">
        <f t="shared" ref="C729:C730" si="104">G731</f>
        <v>80</v>
      </c>
      <c r="D729" s="100"/>
      <c r="E729" s="22">
        <f t="shared" si="99"/>
        <v>-12227</v>
      </c>
      <c r="G729" s="78">
        <v>80</v>
      </c>
      <c r="H729" s="62">
        <f t="shared" si="100"/>
        <v>80</v>
      </c>
      <c r="I729" s="20"/>
      <c r="J729" s="21"/>
      <c r="K729" s="57">
        <v>80</v>
      </c>
      <c r="L729" s="23">
        <f t="shared" si="101"/>
        <v>0</v>
      </c>
      <c r="M729" s="23">
        <f t="shared" si="102"/>
        <v>0</v>
      </c>
      <c r="N729" s="23"/>
      <c r="O729" s="23">
        <v>9</v>
      </c>
    </row>
    <row r="730" spans="1:17" hidden="1" outlineLevel="1">
      <c r="A730" s="96">
        <v>45826</v>
      </c>
      <c r="B730" s="17" t="s">
        <v>20</v>
      </c>
      <c r="C730" s="68">
        <f t="shared" si="104"/>
        <v>56</v>
      </c>
      <c r="D730" s="100"/>
      <c r="E730" s="22">
        <f t="shared" si="99"/>
        <v>-12283</v>
      </c>
      <c r="G730" s="78">
        <v>48</v>
      </c>
      <c r="H730" s="62">
        <f t="shared" si="100"/>
        <v>48</v>
      </c>
      <c r="I730" s="20"/>
      <c r="J730" s="21"/>
      <c r="K730" s="57">
        <v>48</v>
      </c>
      <c r="L730" s="23">
        <f t="shared" si="101"/>
        <v>0</v>
      </c>
      <c r="M730" s="23">
        <f t="shared" si="102"/>
        <v>0</v>
      </c>
      <c r="N730" s="23"/>
      <c r="O730" s="23">
        <v>9</v>
      </c>
    </row>
    <row r="731" spans="1:17" hidden="1" outlineLevel="1">
      <c r="A731" s="96">
        <v>45827</v>
      </c>
      <c r="B731" s="17" t="s">
        <v>14</v>
      </c>
      <c r="C731" s="68">
        <f>G735</f>
        <v>56</v>
      </c>
      <c r="D731" s="100"/>
      <c r="E731" s="22">
        <f t="shared" si="99"/>
        <v>-12339</v>
      </c>
      <c r="G731" s="78">
        <v>80</v>
      </c>
      <c r="H731" s="62">
        <f t="shared" si="100"/>
        <v>80</v>
      </c>
      <c r="I731" s="20"/>
      <c r="J731" s="21"/>
      <c r="K731" s="57">
        <v>80</v>
      </c>
      <c r="L731" s="23">
        <f t="shared" si="101"/>
        <v>0</v>
      </c>
      <c r="M731" s="23">
        <f t="shared" si="102"/>
        <v>0</v>
      </c>
      <c r="N731" s="23"/>
      <c r="O731" s="23">
        <v>8</v>
      </c>
    </row>
    <row r="732" spans="1:17" hidden="1" outlineLevel="1">
      <c r="A732" s="96">
        <v>45828</v>
      </c>
      <c r="B732" s="17" t="s">
        <v>15</v>
      </c>
      <c r="C732" s="68">
        <f>G736</f>
        <v>80</v>
      </c>
      <c r="D732" s="100"/>
      <c r="E732" s="22">
        <f t="shared" si="99"/>
        <v>-12419</v>
      </c>
      <c r="G732" s="78">
        <v>56</v>
      </c>
      <c r="H732" s="62">
        <f t="shared" si="100"/>
        <v>56</v>
      </c>
      <c r="I732" s="20"/>
      <c r="J732" s="21"/>
      <c r="K732" s="57">
        <v>56</v>
      </c>
      <c r="L732" s="23">
        <f t="shared" si="101"/>
        <v>0</v>
      </c>
      <c r="M732" s="23">
        <f t="shared" si="102"/>
        <v>0</v>
      </c>
      <c r="N732" s="23"/>
      <c r="O732" s="23">
        <v>10</v>
      </c>
      <c r="Q732" s="1">
        <f>AVERAGE(G728:G732)</f>
        <v>64</v>
      </c>
    </row>
    <row r="733" spans="1:17" s="12" customFormat="1" hidden="1" outlineLevel="1">
      <c r="A733" s="95">
        <v>45829</v>
      </c>
      <c r="B733" s="25" t="s">
        <v>16</v>
      </c>
      <c r="C733" s="69"/>
      <c r="D733" s="99"/>
      <c r="E733" s="87">
        <f t="shared" si="99"/>
        <v>-12419</v>
      </c>
      <c r="G733" s="79"/>
      <c r="H733" s="63"/>
      <c r="I733" s="27"/>
      <c r="J733" s="28"/>
      <c r="K733" s="43"/>
      <c r="L733" s="29">
        <f t="shared" si="101"/>
        <v>0</v>
      </c>
      <c r="M733" s="29">
        <f t="shared" si="102"/>
        <v>0</v>
      </c>
      <c r="N733" s="29"/>
      <c r="O733" s="29"/>
    </row>
    <row r="734" spans="1:17" s="12" customFormat="1" hidden="1" outlineLevel="1" collapsed="1">
      <c r="A734" s="95">
        <v>45830</v>
      </c>
      <c r="B734" s="25" t="s">
        <v>17</v>
      </c>
      <c r="C734" s="69"/>
      <c r="D734" s="99"/>
      <c r="E734" s="87">
        <f t="shared" si="99"/>
        <v>-12419</v>
      </c>
      <c r="G734" s="79"/>
      <c r="H734" s="63"/>
      <c r="I734" s="27"/>
      <c r="J734" s="28"/>
      <c r="K734" s="43"/>
      <c r="L734" s="29">
        <f t="shared" si="101"/>
        <v>0</v>
      </c>
      <c r="M734" s="29">
        <f t="shared" si="102"/>
        <v>0</v>
      </c>
      <c r="N734" s="29"/>
      <c r="O734" s="29"/>
    </row>
    <row r="735" spans="1:17" hidden="1" outlineLevel="1">
      <c r="A735" s="96">
        <v>45831</v>
      </c>
      <c r="B735" s="17" t="s">
        <v>18</v>
      </c>
      <c r="C735" s="68">
        <f>G737</f>
        <v>88</v>
      </c>
      <c r="D735" s="100"/>
      <c r="E735" s="22">
        <f t="shared" si="99"/>
        <v>-12507</v>
      </c>
      <c r="G735" s="78">
        <v>56</v>
      </c>
      <c r="H735" s="62">
        <f t="shared" si="100"/>
        <v>56</v>
      </c>
      <c r="I735" s="20"/>
      <c r="J735" s="21"/>
      <c r="K735" s="57">
        <v>56</v>
      </c>
      <c r="L735" s="23">
        <f t="shared" si="101"/>
        <v>0</v>
      </c>
      <c r="M735" s="23">
        <f t="shared" si="102"/>
        <v>0</v>
      </c>
      <c r="N735" s="23"/>
      <c r="O735" s="23">
        <v>8</v>
      </c>
    </row>
    <row r="736" spans="1:17" hidden="1" outlineLevel="1">
      <c r="A736" s="96">
        <v>45832</v>
      </c>
      <c r="B736" s="17" t="s">
        <v>19</v>
      </c>
      <c r="C736" s="68">
        <f t="shared" ref="C736:C737" si="105">G738</f>
        <v>72</v>
      </c>
      <c r="D736" s="100"/>
      <c r="E736" s="22">
        <f t="shared" si="99"/>
        <v>-12579</v>
      </c>
      <c r="G736" s="78">
        <v>80</v>
      </c>
      <c r="H736" s="62">
        <f t="shared" si="100"/>
        <v>80</v>
      </c>
      <c r="I736" s="20"/>
      <c r="J736" s="21"/>
      <c r="K736" s="57">
        <v>80</v>
      </c>
      <c r="L736" s="23">
        <f t="shared" si="101"/>
        <v>0</v>
      </c>
      <c r="M736" s="23">
        <f t="shared" si="102"/>
        <v>0</v>
      </c>
      <c r="N736" s="23"/>
      <c r="O736" s="23">
        <v>8</v>
      </c>
    </row>
    <row r="737" spans="1:26" hidden="1" outlineLevel="1">
      <c r="A737" s="96">
        <v>45833</v>
      </c>
      <c r="B737" s="17" t="s">
        <v>20</v>
      </c>
      <c r="C737" s="68">
        <f t="shared" si="105"/>
        <v>24</v>
      </c>
      <c r="D737" s="100"/>
      <c r="E737" s="22">
        <f t="shared" si="99"/>
        <v>-12603</v>
      </c>
      <c r="G737" s="204">
        <f>64+24</f>
        <v>88</v>
      </c>
      <c r="H737" s="65">
        <f t="shared" si="100"/>
        <v>88</v>
      </c>
      <c r="I737" s="20"/>
      <c r="J737" s="21"/>
      <c r="K737" s="57">
        <v>88</v>
      </c>
      <c r="L737" s="23">
        <f t="shared" si="101"/>
        <v>0</v>
      </c>
      <c r="M737" s="23">
        <f t="shared" si="102"/>
        <v>0</v>
      </c>
      <c r="N737" s="23"/>
      <c r="O737" s="23">
        <v>8</v>
      </c>
    </row>
    <row r="738" spans="1:26" hidden="1" outlineLevel="1">
      <c r="A738" s="96">
        <v>45834</v>
      </c>
      <c r="B738" s="17" t="s">
        <v>14</v>
      </c>
      <c r="C738" s="68">
        <f>G742</f>
        <v>64</v>
      </c>
      <c r="D738" s="100"/>
      <c r="E738" s="22">
        <f t="shared" si="99"/>
        <v>-12667</v>
      </c>
      <c r="G738" s="203">
        <v>72</v>
      </c>
      <c r="H738" s="62">
        <f t="shared" si="100"/>
        <v>72</v>
      </c>
      <c r="I738" s="20"/>
      <c r="J738" s="21"/>
      <c r="K738" s="57">
        <v>72</v>
      </c>
      <c r="L738" s="23">
        <f t="shared" si="101"/>
        <v>0</v>
      </c>
      <c r="M738" s="23">
        <f t="shared" si="102"/>
        <v>0</v>
      </c>
      <c r="N738" s="23"/>
      <c r="O738" s="23">
        <v>9</v>
      </c>
    </row>
    <row r="739" spans="1:26" hidden="1" outlineLevel="1">
      <c r="A739" s="96">
        <v>45835</v>
      </c>
      <c r="B739" s="17" t="s">
        <v>15</v>
      </c>
      <c r="C739" s="68">
        <f>G743</f>
        <v>64</v>
      </c>
      <c r="D739" s="100"/>
      <c r="E739" s="22">
        <f t="shared" si="99"/>
        <v>-12731</v>
      </c>
      <c r="G739" s="203">
        <v>24</v>
      </c>
      <c r="H739" s="62">
        <f t="shared" si="100"/>
        <v>24</v>
      </c>
      <c r="I739" s="20"/>
      <c r="J739" s="21"/>
      <c r="K739" s="57">
        <v>24</v>
      </c>
      <c r="L739" s="23">
        <f t="shared" si="101"/>
        <v>0</v>
      </c>
      <c r="M739" s="23">
        <f t="shared" si="102"/>
        <v>0</v>
      </c>
      <c r="N739" s="23"/>
      <c r="O739" s="23">
        <v>10</v>
      </c>
      <c r="Q739" s="1">
        <f>AVERAGE(G735:G739)</f>
        <v>64</v>
      </c>
    </row>
    <row r="740" spans="1:26" s="12" customFormat="1" hidden="1" outlineLevel="1">
      <c r="A740" s="95">
        <v>45836</v>
      </c>
      <c r="B740" s="25" t="s">
        <v>16</v>
      </c>
      <c r="C740" s="69"/>
      <c r="D740" s="99"/>
      <c r="E740" s="87">
        <f t="shared" si="99"/>
        <v>-12731</v>
      </c>
      <c r="G740" s="300"/>
      <c r="H740" s="63"/>
      <c r="I740" s="27"/>
      <c r="J740" s="28"/>
      <c r="K740" s="43"/>
      <c r="L740" s="29">
        <f t="shared" si="101"/>
        <v>0</v>
      </c>
      <c r="M740" s="29">
        <f t="shared" si="102"/>
        <v>0</v>
      </c>
      <c r="N740" s="29"/>
      <c r="O740" s="29"/>
    </row>
    <row r="741" spans="1:26" s="12" customFormat="1" hidden="1" outlineLevel="1" collapsed="1">
      <c r="A741" s="95">
        <v>45837</v>
      </c>
      <c r="B741" s="25" t="s">
        <v>17</v>
      </c>
      <c r="C741" s="69"/>
      <c r="D741" s="99"/>
      <c r="E741" s="87">
        <f t="shared" si="99"/>
        <v>-12731</v>
      </c>
      <c r="G741" s="300"/>
      <c r="H741" s="63"/>
      <c r="I741" s="27"/>
      <c r="J741" s="28"/>
      <c r="K741" s="43"/>
      <c r="L741" s="29">
        <f t="shared" si="101"/>
        <v>0</v>
      </c>
      <c r="M741" s="29">
        <f t="shared" si="102"/>
        <v>0</v>
      </c>
      <c r="N741" s="29"/>
      <c r="O741" s="29"/>
    </row>
    <row r="742" spans="1:26" hidden="1" outlineLevel="1">
      <c r="A742" s="96">
        <v>45838</v>
      </c>
      <c r="B742" s="17" t="s">
        <v>18</v>
      </c>
      <c r="C742" s="68">
        <f>G744</f>
        <v>64</v>
      </c>
      <c r="D742" s="100"/>
      <c r="E742" s="22">
        <f t="shared" si="99"/>
        <v>-12795</v>
      </c>
      <c r="G742" s="203">
        <v>64</v>
      </c>
      <c r="H742" s="62">
        <f t="shared" si="100"/>
        <v>64</v>
      </c>
      <c r="I742" s="20"/>
      <c r="J742" s="21"/>
      <c r="K742" s="57">
        <v>48</v>
      </c>
      <c r="L742" s="23">
        <f t="shared" si="101"/>
        <v>-16</v>
      </c>
      <c r="M742" s="23">
        <f t="shared" si="102"/>
        <v>0</v>
      </c>
      <c r="N742" s="23"/>
      <c r="O742" s="23">
        <v>7</v>
      </c>
    </row>
    <row r="743" spans="1:26" hidden="1" outlineLevel="1">
      <c r="A743" s="96">
        <v>45839</v>
      </c>
      <c r="B743" s="17" t="s">
        <v>19</v>
      </c>
      <c r="C743" s="68">
        <f t="shared" ref="C743:C744" si="106">G745</f>
        <v>56</v>
      </c>
      <c r="D743" s="100"/>
      <c r="E743" s="22">
        <f t="shared" si="99"/>
        <v>-12851</v>
      </c>
      <c r="G743" s="203">
        <v>64</v>
      </c>
      <c r="H743" s="62">
        <f t="shared" si="100"/>
        <v>64</v>
      </c>
      <c r="I743" s="20"/>
      <c r="J743" s="21"/>
      <c r="K743" s="57">
        <v>80</v>
      </c>
      <c r="L743" s="23">
        <f t="shared" si="101"/>
        <v>0</v>
      </c>
      <c r="M743" s="23">
        <f t="shared" si="102"/>
        <v>0</v>
      </c>
      <c r="N743" s="23"/>
      <c r="O743" s="23">
        <v>8</v>
      </c>
    </row>
    <row r="744" spans="1:26" hidden="1" outlineLevel="1">
      <c r="A744" s="96">
        <v>45840</v>
      </c>
      <c r="B744" s="17" t="s">
        <v>20</v>
      </c>
      <c r="C744" s="68">
        <f t="shared" si="106"/>
        <v>0</v>
      </c>
      <c r="D744" s="100"/>
      <c r="E744" s="22">
        <f t="shared" si="99"/>
        <v>-12851</v>
      </c>
      <c r="G744" s="203">
        <v>64</v>
      </c>
      <c r="H744" s="62">
        <f t="shared" si="100"/>
        <v>64</v>
      </c>
      <c r="I744" s="20"/>
      <c r="J744" s="21"/>
      <c r="K744" s="57">
        <v>64</v>
      </c>
      <c r="L744" s="23">
        <f t="shared" si="101"/>
        <v>0</v>
      </c>
      <c r="M744" s="23">
        <f t="shared" si="102"/>
        <v>0</v>
      </c>
      <c r="N744" s="23"/>
      <c r="O744" s="23">
        <v>0</v>
      </c>
    </row>
    <row r="745" spans="1:26" hidden="1" outlineLevel="1">
      <c r="A745" s="96">
        <v>45841</v>
      </c>
      <c r="B745" s="17" t="s">
        <v>14</v>
      </c>
      <c r="C745" s="68">
        <f>G749</f>
        <v>56</v>
      </c>
      <c r="D745" s="100"/>
      <c r="E745" s="22">
        <f t="shared" si="99"/>
        <v>-12907</v>
      </c>
      <c r="G745" s="203">
        <v>56</v>
      </c>
      <c r="H745" s="62">
        <f t="shared" si="100"/>
        <v>56</v>
      </c>
      <c r="I745" s="20"/>
      <c r="J745" s="21"/>
      <c r="K745" s="57">
        <v>56</v>
      </c>
      <c r="L745" s="23">
        <f t="shared" si="101"/>
        <v>0</v>
      </c>
      <c r="M745" s="23">
        <f t="shared" si="102"/>
        <v>0</v>
      </c>
      <c r="N745" s="23"/>
      <c r="O745" s="23">
        <f>8+9</f>
        <v>17</v>
      </c>
    </row>
    <row r="746" spans="1:26" s="12" customFormat="1" hidden="1" outlineLevel="1">
      <c r="A746" s="96">
        <v>45842</v>
      </c>
      <c r="B746" s="17" t="s">
        <v>15</v>
      </c>
      <c r="C746" s="68">
        <f>G750</f>
        <v>56</v>
      </c>
      <c r="D746" s="100"/>
      <c r="E746" s="22">
        <f t="shared" si="99"/>
        <v>-12963</v>
      </c>
      <c r="F746" s="1"/>
      <c r="G746" s="203">
        <v>0</v>
      </c>
      <c r="H746" s="62">
        <f t="shared" si="100"/>
        <v>0</v>
      </c>
      <c r="I746" s="20"/>
      <c r="J746" s="21"/>
      <c r="K746" s="42"/>
      <c r="L746" s="23">
        <f t="shared" si="101"/>
        <v>0</v>
      </c>
      <c r="M746" s="23">
        <f t="shared" si="102"/>
        <v>0</v>
      </c>
      <c r="N746" s="23"/>
      <c r="O746" s="23">
        <v>8</v>
      </c>
      <c r="P746" s="1"/>
      <c r="Q746" s="1">
        <f>AVERAGE(G742:G746)</f>
        <v>49.6</v>
      </c>
      <c r="R746" s="1"/>
      <c r="S746" s="1"/>
      <c r="T746" s="1"/>
      <c r="U746" s="1"/>
      <c r="V746" s="1"/>
      <c r="W746" s="1"/>
      <c r="X746" s="1"/>
      <c r="Y746" s="1"/>
      <c r="Z746" s="1"/>
    </row>
    <row r="747" spans="1:26" s="12" customFormat="1" hidden="1" outlineLevel="1">
      <c r="A747" s="95">
        <v>45843</v>
      </c>
      <c r="B747" s="25" t="s">
        <v>16</v>
      </c>
      <c r="C747" s="69"/>
      <c r="D747" s="99"/>
      <c r="E747" s="87">
        <f t="shared" si="99"/>
        <v>-12963</v>
      </c>
      <c r="G747" s="300"/>
      <c r="H747" s="63"/>
      <c r="I747" s="27"/>
      <c r="J747" s="28"/>
      <c r="K747" s="43"/>
      <c r="L747" s="29">
        <f t="shared" si="101"/>
        <v>0</v>
      </c>
      <c r="M747" s="29">
        <f t="shared" si="102"/>
        <v>0</v>
      </c>
      <c r="N747" s="29"/>
      <c r="O747" s="29"/>
    </row>
    <row r="748" spans="1:26" s="12" customFormat="1" hidden="1" outlineLevel="1" collapsed="1">
      <c r="A748" s="95">
        <v>45844</v>
      </c>
      <c r="B748" s="25" t="s">
        <v>17</v>
      </c>
      <c r="C748" s="69"/>
      <c r="D748" s="99"/>
      <c r="E748" s="87">
        <f t="shared" ref="E748:E779" si="107">E747-C748+D748</f>
        <v>-12963</v>
      </c>
      <c r="G748" s="300"/>
      <c r="H748" s="63"/>
      <c r="I748" s="27"/>
      <c r="J748" s="28"/>
      <c r="K748" s="43"/>
      <c r="L748" s="29">
        <f t="shared" ref="L748:L779" si="108">L747-G748+K748</f>
        <v>0</v>
      </c>
      <c r="M748" s="29">
        <f t="shared" ref="M748:M779" si="109">M747-G748+H748</f>
        <v>0</v>
      </c>
      <c r="N748" s="29"/>
      <c r="O748" s="29"/>
    </row>
    <row r="749" spans="1:26" hidden="1" outlineLevel="1">
      <c r="A749" s="96">
        <v>45845</v>
      </c>
      <c r="B749" s="17" t="s">
        <v>18</v>
      </c>
      <c r="C749" s="68">
        <f>G751</f>
        <v>56</v>
      </c>
      <c r="D749" s="100"/>
      <c r="E749" s="22">
        <f t="shared" si="107"/>
        <v>-13019</v>
      </c>
      <c r="G749" s="203">
        <v>56</v>
      </c>
      <c r="H749" s="62">
        <f t="shared" ref="H749:H779" si="110">IF(C747&lt;&gt;"",C747+I749,IF(C745&lt;&gt;"",C745+I749,IF(C744&lt;&gt;"",C744+I749,IF(C743&lt;&gt;"",C743+I749,IF(C742&lt;&gt;"",C742+I749,IF(C741&lt;&gt;"",C741+I749))))))</f>
        <v>56</v>
      </c>
      <c r="I749" s="20"/>
      <c r="J749" s="21"/>
      <c r="K749" s="57">
        <v>56</v>
      </c>
      <c r="L749" s="23">
        <f t="shared" si="108"/>
        <v>0</v>
      </c>
      <c r="M749" s="23">
        <f t="shared" si="109"/>
        <v>0</v>
      </c>
      <c r="N749" s="23"/>
      <c r="O749" s="23">
        <v>0</v>
      </c>
    </row>
    <row r="750" spans="1:26" hidden="1" outlineLevel="1">
      <c r="A750" s="96">
        <v>45846</v>
      </c>
      <c r="B750" s="17" t="s">
        <v>19</v>
      </c>
      <c r="C750" s="68">
        <f t="shared" ref="C750:C751" si="111">G752</f>
        <v>56</v>
      </c>
      <c r="D750" s="100"/>
      <c r="E750" s="22">
        <f t="shared" si="107"/>
        <v>-13075</v>
      </c>
      <c r="G750" s="78">
        <v>56</v>
      </c>
      <c r="H750" s="62">
        <f t="shared" si="110"/>
        <v>56</v>
      </c>
      <c r="I750" s="20"/>
      <c r="J750" s="21"/>
      <c r="K750" s="57">
        <v>56</v>
      </c>
      <c r="L750" s="23">
        <f t="shared" si="108"/>
        <v>0</v>
      </c>
      <c r="M750" s="23">
        <f t="shared" si="109"/>
        <v>0</v>
      </c>
      <c r="N750" s="23"/>
      <c r="O750" s="23">
        <v>9</v>
      </c>
    </row>
    <row r="751" spans="1:26" hidden="1" outlineLevel="1">
      <c r="A751" s="96">
        <v>45847</v>
      </c>
      <c r="B751" s="17" t="s">
        <v>20</v>
      </c>
      <c r="C751" s="68">
        <f t="shared" si="111"/>
        <v>56</v>
      </c>
      <c r="D751" s="100"/>
      <c r="E751" s="22">
        <f t="shared" si="107"/>
        <v>-13131</v>
      </c>
      <c r="G751" s="78">
        <v>56</v>
      </c>
      <c r="H751" s="62">
        <f t="shared" si="110"/>
        <v>56</v>
      </c>
      <c r="I751" s="20"/>
      <c r="J751" s="21"/>
      <c r="K751" s="57">
        <v>56</v>
      </c>
      <c r="L751" s="23">
        <f t="shared" si="108"/>
        <v>0</v>
      </c>
      <c r="M751" s="23">
        <f t="shared" si="109"/>
        <v>0</v>
      </c>
      <c r="N751" s="23"/>
      <c r="O751" s="23">
        <v>6</v>
      </c>
    </row>
    <row r="752" spans="1:26" hidden="1" outlineLevel="1">
      <c r="A752" s="96">
        <v>45848</v>
      </c>
      <c r="B752" s="17" t="s">
        <v>14</v>
      </c>
      <c r="C752" s="68">
        <f>G756</f>
        <v>72</v>
      </c>
      <c r="D752" s="100"/>
      <c r="E752" s="22">
        <f t="shared" si="107"/>
        <v>-13203</v>
      </c>
      <c r="G752" s="78">
        <v>56</v>
      </c>
      <c r="H752" s="62">
        <f t="shared" si="110"/>
        <v>56</v>
      </c>
      <c r="I752" s="20"/>
      <c r="J752" s="21"/>
      <c r="K752" s="57">
        <v>56</v>
      </c>
      <c r="L752" s="23">
        <f t="shared" si="108"/>
        <v>0</v>
      </c>
      <c r="M752" s="23">
        <f t="shared" si="109"/>
        <v>0</v>
      </c>
      <c r="N752" s="23"/>
      <c r="O752" s="23">
        <v>8</v>
      </c>
    </row>
    <row r="753" spans="1:17" hidden="1" outlineLevel="1">
      <c r="A753" s="96">
        <v>45849</v>
      </c>
      <c r="B753" s="17" t="s">
        <v>15</v>
      </c>
      <c r="C753" s="68">
        <f>G757</f>
        <v>56</v>
      </c>
      <c r="D753" s="100"/>
      <c r="E753" s="22">
        <f t="shared" si="107"/>
        <v>-13259</v>
      </c>
      <c r="G753" s="78">
        <v>56</v>
      </c>
      <c r="H753" s="62">
        <f t="shared" si="110"/>
        <v>56</v>
      </c>
      <c r="I753" s="20"/>
      <c r="J753" s="21"/>
      <c r="K753" s="57">
        <v>56</v>
      </c>
      <c r="L753" s="23">
        <f t="shared" si="108"/>
        <v>0</v>
      </c>
      <c r="M753" s="23">
        <f t="shared" si="109"/>
        <v>0</v>
      </c>
      <c r="N753" s="23"/>
      <c r="O753" s="23">
        <v>8</v>
      </c>
      <c r="Q753" s="1">
        <f>AVERAGE(G749:G753)</f>
        <v>56</v>
      </c>
    </row>
    <row r="754" spans="1:17" s="12" customFormat="1" hidden="1" outlineLevel="1">
      <c r="A754" s="95">
        <v>45850</v>
      </c>
      <c r="B754" s="25" t="s">
        <v>16</v>
      </c>
      <c r="C754" s="69"/>
      <c r="D754" s="99"/>
      <c r="E754" s="87">
        <f t="shared" si="107"/>
        <v>-13259</v>
      </c>
      <c r="G754" s="79"/>
      <c r="H754" s="63"/>
      <c r="I754" s="27"/>
      <c r="J754" s="28"/>
      <c r="K754" s="43"/>
      <c r="L754" s="29">
        <f t="shared" si="108"/>
        <v>0</v>
      </c>
      <c r="M754" s="29">
        <f t="shared" si="109"/>
        <v>0</v>
      </c>
      <c r="N754" s="29"/>
      <c r="O754" s="29"/>
    </row>
    <row r="755" spans="1:17" s="12" customFormat="1" hidden="1" outlineLevel="1" collapsed="1">
      <c r="A755" s="95">
        <v>45851</v>
      </c>
      <c r="B755" s="25" t="s">
        <v>17</v>
      </c>
      <c r="C755" s="69"/>
      <c r="D755" s="99"/>
      <c r="E755" s="87">
        <f t="shared" si="107"/>
        <v>-13259</v>
      </c>
      <c r="G755" s="79"/>
      <c r="H755" s="63"/>
      <c r="I755" s="27"/>
      <c r="J755" s="28"/>
      <c r="K755" s="43"/>
      <c r="L755" s="29">
        <f t="shared" si="108"/>
        <v>0</v>
      </c>
      <c r="M755" s="29">
        <f t="shared" si="109"/>
        <v>0</v>
      </c>
      <c r="N755" s="29"/>
      <c r="O755" s="29"/>
    </row>
    <row r="756" spans="1:17" hidden="1" outlineLevel="1">
      <c r="A756" s="96">
        <v>45852</v>
      </c>
      <c r="B756" s="17" t="s">
        <v>18</v>
      </c>
      <c r="C756" s="68">
        <f>G758</f>
        <v>72</v>
      </c>
      <c r="D756" s="100"/>
      <c r="E756" s="22">
        <f t="shared" si="107"/>
        <v>-13331</v>
      </c>
      <c r="G756" s="78">
        <v>72</v>
      </c>
      <c r="H756" s="62">
        <f t="shared" si="110"/>
        <v>72</v>
      </c>
      <c r="I756" s="20"/>
      <c r="J756" s="21"/>
      <c r="K756" s="57">
        <v>72</v>
      </c>
      <c r="L756" s="23">
        <f t="shared" si="108"/>
        <v>0</v>
      </c>
      <c r="M756" s="23">
        <f t="shared" si="109"/>
        <v>0</v>
      </c>
      <c r="N756" s="23"/>
      <c r="O756" s="23">
        <v>15</v>
      </c>
    </row>
    <row r="757" spans="1:17" hidden="1" outlineLevel="1">
      <c r="A757" s="96">
        <v>45853</v>
      </c>
      <c r="B757" s="17" t="s">
        <v>19</v>
      </c>
      <c r="C757" s="68">
        <f t="shared" ref="C757:C758" si="112">G759</f>
        <v>48</v>
      </c>
      <c r="D757" s="100"/>
      <c r="E757" s="22">
        <f t="shared" si="107"/>
        <v>-13379</v>
      </c>
      <c r="G757" s="78">
        <v>56</v>
      </c>
      <c r="H757" s="62">
        <f t="shared" si="110"/>
        <v>56</v>
      </c>
      <c r="I757" s="20"/>
      <c r="J757" s="21"/>
      <c r="K757" s="57">
        <v>56</v>
      </c>
      <c r="L757" s="23">
        <f t="shared" si="108"/>
        <v>0</v>
      </c>
      <c r="M757" s="23">
        <f t="shared" si="109"/>
        <v>0</v>
      </c>
      <c r="N757" s="23"/>
      <c r="O757" s="23">
        <v>7</v>
      </c>
    </row>
    <row r="758" spans="1:17" hidden="1" outlineLevel="1">
      <c r="A758" s="96">
        <v>45854</v>
      </c>
      <c r="B758" s="17" t="s">
        <v>20</v>
      </c>
      <c r="C758" s="68">
        <f t="shared" si="112"/>
        <v>72</v>
      </c>
      <c r="D758" s="100"/>
      <c r="E758" s="22">
        <f t="shared" si="107"/>
        <v>-13451</v>
      </c>
      <c r="G758" s="78">
        <v>72</v>
      </c>
      <c r="H758" s="62">
        <f t="shared" si="110"/>
        <v>72</v>
      </c>
      <c r="I758" s="20"/>
      <c r="J758" s="21"/>
      <c r="K758" s="57">
        <v>72</v>
      </c>
      <c r="L758" s="23">
        <f t="shared" si="108"/>
        <v>0</v>
      </c>
      <c r="M758" s="23">
        <f t="shared" si="109"/>
        <v>0</v>
      </c>
      <c r="N758" s="23"/>
      <c r="O758" s="23">
        <v>5</v>
      </c>
    </row>
    <row r="759" spans="1:17" hidden="1" outlineLevel="1">
      <c r="A759" s="96">
        <v>45855</v>
      </c>
      <c r="B759" s="17" t="s">
        <v>14</v>
      </c>
      <c r="C759" s="68">
        <f>G764</f>
        <v>72</v>
      </c>
      <c r="D759" s="100"/>
      <c r="E759" s="22">
        <f t="shared" si="107"/>
        <v>-13523</v>
      </c>
      <c r="G759" s="78">
        <v>48</v>
      </c>
      <c r="H759" s="62">
        <f t="shared" si="110"/>
        <v>48</v>
      </c>
      <c r="I759" s="20"/>
      <c r="J759" s="21"/>
      <c r="K759" s="57">
        <v>48</v>
      </c>
      <c r="L759" s="23">
        <f t="shared" si="108"/>
        <v>0</v>
      </c>
      <c r="M759" s="23">
        <f t="shared" si="109"/>
        <v>0</v>
      </c>
      <c r="N759" s="23"/>
      <c r="O759" s="23">
        <v>9</v>
      </c>
    </row>
    <row r="760" spans="1:17" hidden="1" outlineLevel="1">
      <c r="A760" s="96">
        <v>45856</v>
      </c>
      <c r="B760" s="17" t="s">
        <v>15</v>
      </c>
      <c r="C760" s="68">
        <f>G765</f>
        <v>56</v>
      </c>
      <c r="D760" s="100"/>
      <c r="E760" s="22">
        <f t="shared" si="107"/>
        <v>-13579</v>
      </c>
      <c r="G760" s="78">
        <v>72</v>
      </c>
      <c r="H760" s="62">
        <f t="shared" si="110"/>
        <v>72</v>
      </c>
      <c r="I760" s="20"/>
      <c r="J760" s="21"/>
      <c r="K760" s="57">
        <v>72</v>
      </c>
      <c r="L760" s="23">
        <f t="shared" si="108"/>
        <v>0</v>
      </c>
      <c r="M760" s="23">
        <f t="shared" si="109"/>
        <v>0</v>
      </c>
      <c r="N760" s="23"/>
      <c r="O760" s="23">
        <v>7</v>
      </c>
      <c r="Q760" s="1">
        <f>AVERAGE(G756:G760)</f>
        <v>64</v>
      </c>
    </row>
    <row r="761" spans="1:17" s="12" customFormat="1" hidden="1" outlineLevel="1">
      <c r="A761" s="95">
        <v>45857</v>
      </c>
      <c r="B761" s="25" t="s">
        <v>16</v>
      </c>
      <c r="C761" s="69"/>
      <c r="D761" s="99"/>
      <c r="E761" s="87">
        <f t="shared" si="107"/>
        <v>-13579</v>
      </c>
      <c r="G761" s="79"/>
      <c r="H761" s="63"/>
      <c r="I761" s="27"/>
      <c r="J761" s="28"/>
      <c r="K761" s="43"/>
      <c r="L761" s="29">
        <f t="shared" si="108"/>
        <v>0</v>
      </c>
      <c r="M761" s="29">
        <f t="shared" si="109"/>
        <v>0</v>
      </c>
      <c r="N761" s="29"/>
      <c r="O761" s="29"/>
    </row>
    <row r="762" spans="1:17" s="12" customFormat="1" hidden="1" outlineLevel="1" collapsed="1">
      <c r="A762" s="95">
        <v>45858</v>
      </c>
      <c r="B762" s="25" t="s">
        <v>17</v>
      </c>
      <c r="C762" s="69"/>
      <c r="D762" s="99"/>
      <c r="E762" s="87">
        <f t="shared" si="107"/>
        <v>-13579</v>
      </c>
      <c r="G762" s="79"/>
      <c r="H762" s="63"/>
      <c r="I762" s="27"/>
      <c r="J762" s="28"/>
      <c r="K762" s="43"/>
      <c r="L762" s="29">
        <f t="shared" si="108"/>
        <v>0</v>
      </c>
      <c r="M762" s="29">
        <f t="shared" si="109"/>
        <v>0</v>
      </c>
      <c r="N762" s="29"/>
      <c r="O762" s="29"/>
    </row>
    <row r="763" spans="1:17" s="12" customFormat="1" hidden="1" outlineLevel="1">
      <c r="A763" s="95">
        <v>45859</v>
      </c>
      <c r="B763" s="25" t="s">
        <v>18</v>
      </c>
      <c r="C763" s="69"/>
      <c r="D763" s="99"/>
      <c r="E763" s="87">
        <f t="shared" si="107"/>
        <v>-13579</v>
      </c>
      <c r="G763" s="79"/>
      <c r="H763" s="63"/>
      <c r="I763" s="27"/>
      <c r="J763" s="28"/>
      <c r="K763" s="43"/>
      <c r="L763" s="29">
        <f t="shared" si="108"/>
        <v>0</v>
      </c>
      <c r="M763" s="29">
        <f t="shared" si="109"/>
        <v>0</v>
      </c>
      <c r="N763" s="29"/>
      <c r="O763" s="29"/>
    </row>
    <row r="764" spans="1:17" hidden="1" outlineLevel="1">
      <c r="A764" s="96">
        <v>45860</v>
      </c>
      <c r="B764" s="17" t="s">
        <v>19</v>
      </c>
      <c r="C764" s="68">
        <f t="shared" ref="C764:C765" si="113">G766</f>
        <v>80</v>
      </c>
      <c r="D764" s="100"/>
      <c r="E764" s="22">
        <f t="shared" si="107"/>
        <v>-13659</v>
      </c>
      <c r="G764" s="78">
        <v>72</v>
      </c>
      <c r="H764" s="62">
        <f>C759</f>
        <v>72</v>
      </c>
      <c r="I764" s="20"/>
      <c r="J764" s="21"/>
      <c r="K764" s="57">
        <v>72</v>
      </c>
      <c r="L764" s="23">
        <f t="shared" si="108"/>
        <v>0</v>
      </c>
      <c r="M764" s="23">
        <f t="shared" si="109"/>
        <v>0</v>
      </c>
      <c r="N764" s="23"/>
      <c r="O764" s="23">
        <v>8</v>
      </c>
    </row>
    <row r="765" spans="1:17" hidden="1" outlineLevel="1">
      <c r="A765" s="96">
        <v>45861</v>
      </c>
      <c r="B765" s="17" t="s">
        <v>20</v>
      </c>
      <c r="C765" s="68">
        <f t="shared" si="113"/>
        <v>48</v>
      </c>
      <c r="D765" s="100"/>
      <c r="E765" s="22">
        <f t="shared" si="107"/>
        <v>-13707</v>
      </c>
      <c r="G765" s="78">
        <v>56</v>
      </c>
      <c r="H765" s="62">
        <f t="shared" si="110"/>
        <v>56</v>
      </c>
      <c r="I765" s="20"/>
      <c r="J765" s="21"/>
      <c r="K765" s="57">
        <v>56</v>
      </c>
      <c r="L765" s="23">
        <f t="shared" si="108"/>
        <v>0</v>
      </c>
      <c r="M765" s="23">
        <f t="shared" si="109"/>
        <v>0</v>
      </c>
      <c r="N765" s="23"/>
      <c r="O765" s="23"/>
    </row>
    <row r="766" spans="1:17" hidden="1" outlineLevel="1">
      <c r="A766" s="96">
        <v>45862</v>
      </c>
      <c r="B766" s="17" t="s">
        <v>14</v>
      </c>
      <c r="C766" s="68">
        <f>G770</f>
        <v>72</v>
      </c>
      <c r="D766" s="100"/>
      <c r="E766" s="22">
        <f t="shared" si="107"/>
        <v>-13779</v>
      </c>
      <c r="G766" s="78">
        <v>80</v>
      </c>
      <c r="H766" s="62">
        <f t="shared" si="110"/>
        <v>80</v>
      </c>
      <c r="I766" s="20"/>
      <c r="J766" s="21"/>
      <c r="K766" s="57">
        <v>80</v>
      </c>
      <c r="L766" s="23">
        <f t="shared" si="108"/>
        <v>0</v>
      </c>
      <c r="M766" s="23">
        <f t="shared" si="109"/>
        <v>0</v>
      </c>
      <c r="N766" s="23"/>
      <c r="O766" s="23">
        <f>8+8</f>
        <v>16</v>
      </c>
    </row>
    <row r="767" spans="1:17" hidden="1" outlineLevel="1">
      <c r="A767" s="96">
        <v>45863</v>
      </c>
      <c r="B767" s="17" t="s">
        <v>15</v>
      </c>
      <c r="C767" s="68">
        <f>G771</f>
        <v>72</v>
      </c>
      <c r="D767" s="100"/>
      <c r="E767" s="22">
        <f t="shared" si="107"/>
        <v>-13851</v>
      </c>
      <c r="G767" s="78">
        <v>48</v>
      </c>
      <c r="H767" s="62">
        <f t="shared" si="110"/>
        <v>48</v>
      </c>
      <c r="I767" s="20"/>
      <c r="J767" s="21"/>
      <c r="K767" s="57">
        <v>48</v>
      </c>
      <c r="L767" s="23">
        <f t="shared" si="108"/>
        <v>0</v>
      </c>
      <c r="M767" s="23">
        <f t="shared" si="109"/>
        <v>0</v>
      </c>
      <c r="N767" s="23"/>
      <c r="O767" s="23">
        <v>8</v>
      </c>
      <c r="Q767" s="1">
        <f>AVERAGE(G763:G767)</f>
        <v>64</v>
      </c>
    </row>
    <row r="768" spans="1:17" s="12" customFormat="1" hidden="1" outlineLevel="1">
      <c r="A768" s="95">
        <v>45864</v>
      </c>
      <c r="B768" s="25" t="s">
        <v>16</v>
      </c>
      <c r="C768" s="69"/>
      <c r="D768" s="99"/>
      <c r="E768" s="87">
        <f t="shared" si="107"/>
        <v>-13851</v>
      </c>
      <c r="G768" s="79"/>
      <c r="H768" s="63"/>
      <c r="I768" s="27"/>
      <c r="J768" s="28"/>
      <c r="K768" s="43"/>
      <c r="L768" s="29">
        <f t="shared" si="108"/>
        <v>0</v>
      </c>
      <c r="M768" s="29">
        <f t="shared" si="109"/>
        <v>0</v>
      </c>
      <c r="N768" s="29"/>
      <c r="O768" s="29"/>
    </row>
    <row r="769" spans="1:17" s="12" customFormat="1" hidden="1" outlineLevel="1" collapsed="1">
      <c r="A769" s="95">
        <v>45865</v>
      </c>
      <c r="B769" s="25" t="s">
        <v>17</v>
      </c>
      <c r="C769" s="69"/>
      <c r="D769" s="99"/>
      <c r="E769" s="87">
        <f t="shared" si="107"/>
        <v>-13851</v>
      </c>
      <c r="G769" s="79"/>
      <c r="H769" s="63"/>
      <c r="I769" s="27"/>
      <c r="J769" s="28"/>
      <c r="K769" s="43"/>
      <c r="L769" s="29">
        <f t="shared" si="108"/>
        <v>0</v>
      </c>
      <c r="M769" s="29">
        <f t="shared" si="109"/>
        <v>0</v>
      </c>
      <c r="N769" s="29"/>
      <c r="O769" s="29"/>
    </row>
    <row r="770" spans="1:17" hidden="1" outlineLevel="1">
      <c r="A770" s="96">
        <v>45866</v>
      </c>
      <c r="B770" s="17" t="s">
        <v>18</v>
      </c>
      <c r="C770" s="68">
        <f>G772</f>
        <v>48</v>
      </c>
      <c r="D770" s="100"/>
      <c r="E770" s="22">
        <f t="shared" si="107"/>
        <v>-13899</v>
      </c>
      <c r="G770" s="78">
        <v>72</v>
      </c>
      <c r="H770" s="62">
        <f t="shared" si="110"/>
        <v>72</v>
      </c>
      <c r="I770" s="20"/>
      <c r="J770" s="21"/>
      <c r="K770" s="57">
        <v>72</v>
      </c>
      <c r="L770" s="23">
        <f t="shared" si="108"/>
        <v>0</v>
      </c>
      <c r="M770" s="23">
        <f t="shared" si="109"/>
        <v>0</v>
      </c>
      <c r="N770" s="23"/>
      <c r="O770" s="23">
        <v>8</v>
      </c>
    </row>
    <row r="771" spans="1:17" hidden="1" outlineLevel="1">
      <c r="A771" s="96">
        <v>45867</v>
      </c>
      <c r="B771" s="17" t="s">
        <v>19</v>
      </c>
      <c r="C771" s="68">
        <f t="shared" ref="C771:C772" si="114">G773</f>
        <v>72</v>
      </c>
      <c r="D771" s="100"/>
      <c r="E771" s="22">
        <f t="shared" si="107"/>
        <v>-13971</v>
      </c>
      <c r="G771" s="78">
        <v>72</v>
      </c>
      <c r="H771" s="62">
        <f t="shared" si="110"/>
        <v>72</v>
      </c>
      <c r="I771" s="20"/>
      <c r="J771" s="21"/>
      <c r="K771" s="57">
        <v>72</v>
      </c>
      <c r="L771" s="23">
        <f t="shared" si="108"/>
        <v>0</v>
      </c>
      <c r="M771" s="23">
        <f t="shared" si="109"/>
        <v>0</v>
      </c>
      <c r="N771" s="23"/>
      <c r="O771" s="23">
        <v>4</v>
      </c>
    </row>
    <row r="772" spans="1:17" hidden="1" outlineLevel="1">
      <c r="A772" s="96">
        <v>45868</v>
      </c>
      <c r="B772" s="17" t="s">
        <v>20</v>
      </c>
      <c r="C772" s="68">
        <f t="shared" si="114"/>
        <v>56</v>
      </c>
      <c r="D772" s="100"/>
      <c r="E772" s="22">
        <f t="shared" si="107"/>
        <v>-14027</v>
      </c>
      <c r="G772" s="78">
        <v>48</v>
      </c>
      <c r="H772" s="62">
        <f t="shared" si="110"/>
        <v>48</v>
      </c>
      <c r="I772" s="20"/>
      <c r="J772" s="21"/>
      <c r="K772" s="57">
        <v>48</v>
      </c>
      <c r="L772" s="23">
        <f t="shared" si="108"/>
        <v>0</v>
      </c>
      <c r="M772" s="23">
        <f t="shared" si="109"/>
        <v>0</v>
      </c>
      <c r="N772" s="23"/>
      <c r="O772" s="23">
        <v>6</v>
      </c>
    </row>
    <row r="773" spans="1:17" hidden="1" outlineLevel="1">
      <c r="A773" s="96">
        <v>45869</v>
      </c>
      <c r="B773" s="17" t="s">
        <v>14</v>
      </c>
      <c r="C773" s="68">
        <f>G777</f>
        <v>56</v>
      </c>
      <c r="D773" s="100"/>
      <c r="E773" s="22">
        <f t="shared" si="107"/>
        <v>-14083</v>
      </c>
      <c r="G773" s="78">
        <v>72</v>
      </c>
      <c r="H773" s="62">
        <f t="shared" si="110"/>
        <v>72</v>
      </c>
      <c r="I773" s="20"/>
      <c r="J773" s="21"/>
      <c r="K773" s="57">
        <v>72</v>
      </c>
      <c r="L773" s="23">
        <f t="shared" si="108"/>
        <v>0</v>
      </c>
      <c r="M773" s="23">
        <f t="shared" si="109"/>
        <v>0</v>
      </c>
      <c r="N773" s="23"/>
      <c r="O773" s="23">
        <f>6+5</f>
        <v>11</v>
      </c>
    </row>
    <row r="774" spans="1:17" hidden="1" outlineLevel="1">
      <c r="A774" s="96">
        <v>45870</v>
      </c>
      <c r="B774" s="17" t="s">
        <v>15</v>
      </c>
      <c r="C774" s="68">
        <f>G778</f>
        <v>72</v>
      </c>
      <c r="D774" s="100"/>
      <c r="E774" s="22">
        <f t="shared" si="107"/>
        <v>-14155</v>
      </c>
      <c r="G774" s="78">
        <v>56</v>
      </c>
      <c r="H774" s="62">
        <f t="shared" si="110"/>
        <v>56</v>
      </c>
      <c r="I774" s="20"/>
      <c r="J774" s="21"/>
      <c r="K774" s="57">
        <v>56</v>
      </c>
      <c r="L774" s="23">
        <f t="shared" si="108"/>
        <v>0</v>
      </c>
      <c r="M774" s="23">
        <f t="shared" si="109"/>
        <v>0</v>
      </c>
      <c r="N774" s="23"/>
      <c r="O774" s="23">
        <v>17</v>
      </c>
      <c r="Q774" s="1">
        <f>AVERAGE(G770:G774)</f>
        <v>64</v>
      </c>
    </row>
    <row r="775" spans="1:17" s="12" customFormat="1" hidden="1" outlineLevel="1">
      <c r="A775" s="95">
        <v>45871</v>
      </c>
      <c r="B775" s="25" t="s">
        <v>16</v>
      </c>
      <c r="C775" s="69"/>
      <c r="D775" s="99"/>
      <c r="E775" s="87">
        <f t="shared" si="107"/>
        <v>-14155</v>
      </c>
      <c r="G775" s="79"/>
      <c r="H775" s="63"/>
      <c r="I775" s="27"/>
      <c r="J775" s="28"/>
      <c r="K775" s="43"/>
      <c r="L775" s="29">
        <f t="shared" si="108"/>
        <v>0</v>
      </c>
      <c r="M775" s="29">
        <f t="shared" si="109"/>
        <v>0</v>
      </c>
      <c r="N775" s="29"/>
      <c r="O775" s="29"/>
    </row>
    <row r="776" spans="1:17" s="12" customFormat="1" hidden="1" outlineLevel="1">
      <c r="A776" s="95">
        <v>45872</v>
      </c>
      <c r="B776" s="25" t="s">
        <v>17</v>
      </c>
      <c r="C776" s="69"/>
      <c r="D776" s="99"/>
      <c r="E776" s="87">
        <f t="shared" si="107"/>
        <v>-14155</v>
      </c>
      <c r="G776" s="79"/>
      <c r="H776" s="63"/>
      <c r="I776" s="27"/>
      <c r="J776" s="28"/>
      <c r="K776" s="43"/>
      <c r="L776" s="29">
        <f t="shared" si="108"/>
        <v>0</v>
      </c>
      <c r="M776" s="29">
        <f t="shared" si="109"/>
        <v>0</v>
      </c>
      <c r="N776" s="29"/>
      <c r="O776" s="29"/>
    </row>
    <row r="777" spans="1:17" hidden="1" outlineLevel="1">
      <c r="A777" s="96">
        <v>45873</v>
      </c>
      <c r="B777" s="17" t="s">
        <v>18</v>
      </c>
      <c r="C777" s="68">
        <f>G779</f>
        <v>56</v>
      </c>
      <c r="D777" s="100"/>
      <c r="E777" s="22">
        <f t="shared" si="107"/>
        <v>-14211</v>
      </c>
      <c r="G777" s="78">
        <v>56</v>
      </c>
      <c r="H777" s="62">
        <f t="shared" si="110"/>
        <v>56</v>
      </c>
      <c r="I777" s="20"/>
      <c r="J777" s="21"/>
      <c r="K777" s="57">
        <v>56</v>
      </c>
      <c r="L777" s="23">
        <f t="shared" si="108"/>
        <v>0</v>
      </c>
      <c r="M777" s="23">
        <f t="shared" si="109"/>
        <v>0</v>
      </c>
      <c r="N777" s="23"/>
      <c r="O777" s="23">
        <v>8</v>
      </c>
    </row>
    <row r="778" spans="1:17" hidden="1" outlineLevel="1">
      <c r="A778" s="96">
        <v>45874</v>
      </c>
      <c r="B778" s="17" t="s">
        <v>19</v>
      </c>
      <c r="C778" s="68">
        <f t="shared" ref="C778:C779" si="115">G780</f>
        <v>72</v>
      </c>
      <c r="D778" s="100"/>
      <c r="E778" s="22">
        <f t="shared" si="107"/>
        <v>-14283</v>
      </c>
      <c r="G778" s="78">
        <v>72</v>
      </c>
      <c r="H778" s="62">
        <f t="shared" si="110"/>
        <v>72</v>
      </c>
      <c r="I778" s="20"/>
      <c r="J778" s="21"/>
      <c r="K778" s="57">
        <v>72</v>
      </c>
      <c r="L778" s="23">
        <f t="shared" si="108"/>
        <v>0</v>
      </c>
      <c r="M778" s="23">
        <f t="shared" si="109"/>
        <v>0</v>
      </c>
      <c r="N778" s="23"/>
      <c r="O778" s="23">
        <v>8</v>
      </c>
    </row>
    <row r="779" spans="1:17" hidden="1" outlineLevel="1">
      <c r="A779" s="96">
        <v>45875</v>
      </c>
      <c r="B779" s="17" t="s">
        <v>20</v>
      </c>
      <c r="C779" s="68">
        <f t="shared" si="115"/>
        <v>48</v>
      </c>
      <c r="D779" s="100"/>
      <c r="E779" s="22">
        <f t="shared" si="107"/>
        <v>-14331</v>
      </c>
      <c r="G779" s="78">
        <v>56</v>
      </c>
      <c r="H779" s="62">
        <f t="shared" si="110"/>
        <v>56</v>
      </c>
      <c r="I779" s="20"/>
      <c r="J779" s="21"/>
      <c r="K779" s="57">
        <v>56</v>
      </c>
      <c r="L779" s="23">
        <f t="shared" si="108"/>
        <v>0</v>
      </c>
      <c r="M779" s="23">
        <f t="shared" si="109"/>
        <v>0</v>
      </c>
      <c r="N779" s="23"/>
      <c r="O779" s="23">
        <v>7</v>
      </c>
    </row>
    <row r="780" spans="1:17" hidden="1" outlineLevel="1">
      <c r="A780" s="96">
        <v>45876</v>
      </c>
      <c r="B780" s="17" t="s">
        <v>14</v>
      </c>
      <c r="C780" s="68">
        <f>G791</f>
        <v>80</v>
      </c>
      <c r="D780" s="100"/>
      <c r="E780" s="22">
        <f t="shared" ref="E780:E811" si="116">E779-C780+D780</f>
        <v>-14411</v>
      </c>
      <c r="G780" s="78">
        <v>72</v>
      </c>
      <c r="H780" s="62">
        <f t="shared" ref="H780:H809" si="117">IF(C778&lt;&gt;"",C778+I780,IF(C776&lt;&gt;"",C776+I780,IF(C775&lt;&gt;"",C775+I780,IF(C774&lt;&gt;"",C774+I780,IF(C773&lt;&gt;"",C773+I780,IF(C772&lt;&gt;"",C772+I780))))))</f>
        <v>72</v>
      </c>
      <c r="I780" s="20"/>
      <c r="J780" s="21"/>
      <c r="K780" s="57">
        <v>72</v>
      </c>
      <c r="L780" s="23">
        <f t="shared" ref="L780:L811" si="118">L779-G780+K780</f>
        <v>0</v>
      </c>
      <c r="M780" s="23">
        <f t="shared" ref="M780:M811" si="119">M779-G780+H780</f>
        <v>0</v>
      </c>
      <c r="N780" s="23"/>
      <c r="O780" s="23">
        <v>8</v>
      </c>
    </row>
    <row r="781" spans="1:17" hidden="1" outlineLevel="1">
      <c r="A781" s="96">
        <v>45877</v>
      </c>
      <c r="B781" s="17" t="s">
        <v>15</v>
      </c>
      <c r="C781" s="68">
        <f>G792</f>
        <v>56</v>
      </c>
      <c r="D781" s="100"/>
      <c r="E781" s="22">
        <f t="shared" si="116"/>
        <v>-14467</v>
      </c>
      <c r="G781" s="78">
        <v>48</v>
      </c>
      <c r="H781" s="62">
        <f t="shared" si="117"/>
        <v>48</v>
      </c>
      <c r="I781" s="20"/>
      <c r="J781" s="21"/>
      <c r="K781" s="57">
        <v>48</v>
      </c>
      <c r="L781" s="23">
        <f t="shared" si="118"/>
        <v>0</v>
      </c>
      <c r="M781" s="23">
        <f t="shared" si="119"/>
        <v>0</v>
      </c>
      <c r="N781" s="23"/>
      <c r="O781" s="23">
        <v>10</v>
      </c>
      <c r="Q781" s="1">
        <f>AVERAGE(G777:G781)</f>
        <v>60.8</v>
      </c>
    </row>
    <row r="782" spans="1:17" s="12" customFormat="1" hidden="1" outlineLevel="1">
      <c r="A782" s="95">
        <v>45878</v>
      </c>
      <c r="B782" s="25" t="s">
        <v>16</v>
      </c>
      <c r="C782" s="69"/>
      <c r="D782" s="99"/>
      <c r="E782" s="87">
        <f t="shared" si="116"/>
        <v>-14467</v>
      </c>
      <c r="G782" s="79"/>
      <c r="H782" s="63"/>
      <c r="I782" s="27"/>
      <c r="J782" s="28"/>
      <c r="K782" s="43"/>
      <c r="L782" s="29">
        <f t="shared" si="118"/>
        <v>0</v>
      </c>
      <c r="M782" s="29">
        <f t="shared" si="119"/>
        <v>0</v>
      </c>
      <c r="N782" s="29"/>
      <c r="O782" s="29"/>
    </row>
    <row r="783" spans="1:17" s="12" customFormat="1" hidden="1" outlineLevel="1">
      <c r="A783" s="95">
        <v>45879</v>
      </c>
      <c r="B783" s="25" t="s">
        <v>17</v>
      </c>
      <c r="C783" s="69"/>
      <c r="D783" s="99"/>
      <c r="E783" s="87">
        <f t="shared" si="116"/>
        <v>-14467</v>
      </c>
      <c r="G783" s="79"/>
      <c r="H783" s="63"/>
      <c r="I783" s="27"/>
      <c r="J783" s="28"/>
      <c r="K783" s="43"/>
      <c r="L783" s="29">
        <f t="shared" si="118"/>
        <v>0</v>
      </c>
      <c r="M783" s="29">
        <f t="shared" si="119"/>
        <v>0</v>
      </c>
      <c r="N783" s="29"/>
      <c r="O783" s="29"/>
    </row>
    <row r="784" spans="1:17" s="12" customFormat="1" hidden="1" outlineLevel="1">
      <c r="A784" s="95">
        <v>45880</v>
      </c>
      <c r="B784" s="25" t="s">
        <v>18</v>
      </c>
      <c r="C784" s="69"/>
      <c r="D784" s="99"/>
      <c r="E784" s="87">
        <f t="shared" si="116"/>
        <v>-14467</v>
      </c>
      <c r="G784" s="79"/>
      <c r="H784" s="63"/>
      <c r="I784" s="27"/>
      <c r="J784" s="28"/>
      <c r="K784" s="43"/>
      <c r="L784" s="29">
        <f t="shared" si="118"/>
        <v>0</v>
      </c>
      <c r="M784" s="29">
        <f t="shared" si="119"/>
        <v>0</v>
      </c>
      <c r="N784" s="29"/>
      <c r="O784" s="29"/>
    </row>
    <row r="785" spans="1:17" s="12" customFormat="1" hidden="1" outlineLevel="1">
      <c r="A785" s="95">
        <v>45881</v>
      </c>
      <c r="B785" s="25" t="s">
        <v>19</v>
      </c>
      <c r="C785" s="69"/>
      <c r="D785" s="99"/>
      <c r="E785" s="87">
        <f t="shared" si="116"/>
        <v>-14467</v>
      </c>
      <c r="G785" s="79"/>
      <c r="H785" s="63"/>
      <c r="I785" s="27"/>
      <c r="J785" s="28"/>
      <c r="K785" s="43"/>
      <c r="L785" s="29">
        <f t="shared" si="118"/>
        <v>0</v>
      </c>
      <c r="M785" s="29">
        <f t="shared" si="119"/>
        <v>0</v>
      </c>
      <c r="N785" s="29"/>
      <c r="O785" s="29"/>
    </row>
    <row r="786" spans="1:17" s="12" customFormat="1" hidden="1" outlineLevel="1">
      <c r="A786" s="95">
        <v>45882</v>
      </c>
      <c r="B786" s="25" t="s">
        <v>20</v>
      </c>
      <c r="C786" s="69"/>
      <c r="D786" s="99"/>
      <c r="E786" s="87">
        <f t="shared" si="116"/>
        <v>-14467</v>
      </c>
      <c r="G786" s="79"/>
      <c r="H786" s="63"/>
      <c r="I786" s="27"/>
      <c r="J786" s="28"/>
      <c r="K786" s="43"/>
      <c r="L786" s="29">
        <f t="shared" si="118"/>
        <v>0</v>
      </c>
      <c r="M786" s="29">
        <f t="shared" si="119"/>
        <v>0</v>
      </c>
      <c r="N786" s="29"/>
      <c r="O786" s="29"/>
    </row>
    <row r="787" spans="1:17" s="12" customFormat="1" hidden="1" outlineLevel="1" collapsed="1">
      <c r="A787" s="95">
        <v>45883</v>
      </c>
      <c r="B787" s="25" t="s">
        <v>14</v>
      </c>
      <c r="C787" s="69"/>
      <c r="D787" s="99"/>
      <c r="E787" s="87">
        <f t="shared" si="116"/>
        <v>-14467</v>
      </c>
      <c r="G787" s="79"/>
      <c r="H787" s="63"/>
      <c r="I787" s="27"/>
      <c r="J787" s="28"/>
      <c r="K787" s="43"/>
      <c r="L787" s="29">
        <f t="shared" si="118"/>
        <v>0</v>
      </c>
      <c r="M787" s="29">
        <f t="shared" si="119"/>
        <v>0</v>
      </c>
      <c r="N787" s="29"/>
      <c r="O787" s="29"/>
    </row>
    <row r="788" spans="1:17" s="12" customFormat="1" hidden="1" outlineLevel="1">
      <c r="A788" s="95">
        <v>45884</v>
      </c>
      <c r="B788" s="25" t="s">
        <v>15</v>
      </c>
      <c r="C788" s="69"/>
      <c r="D788" s="99"/>
      <c r="E788" s="87">
        <f t="shared" si="116"/>
        <v>-14467</v>
      </c>
      <c r="G788" s="79"/>
      <c r="H788" s="63"/>
      <c r="I788" s="27"/>
      <c r="J788" s="28"/>
      <c r="K788" s="43"/>
      <c r="L788" s="29">
        <f t="shared" si="118"/>
        <v>0</v>
      </c>
      <c r="M788" s="29">
        <f t="shared" si="119"/>
        <v>0</v>
      </c>
      <c r="N788" s="29"/>
      <c r="O788" s="29"/>
    </row>
    <row r="789" spans="1:17" s="12" customFormat="1" hidden="1" outlineLevel="1">
      <c r="A789" s="95">
        <v>45885</v>
      </c>
      <c r="B789" s="25" t="s">
        <v>16</v>
      </c>
      <c r="C789" s="69"/>
      <c r="D789" s="99"/>
      <c r="E789" s="87">
        <f t="shared" si="116"/>
        <v>-14467</v>
      </c>
      <c r="G789" s="79"/>
      <c r="H789" s="63"/>
      <c r="I789" s="27"/>
      <c r="J789" s="28"/>
      <c r="K789" s="43"/>
      <c r="L789" s="29">
        <f t="shared" si="118"/>
        <v>0</v>
      </c>
      <c r="M789" s="29">
        <f t="shared" si="119"/>
        <v>0</v>
      </c>
      <c r="N789" s="29"/>
      <c r="O789" s="29"/>
    </row>
    <row r="790" spans="1:17" s="12" customFormat="1" hidden="1" outlineLevel="1">
      <c r="A790" s="95">
        <v>45886</v>
      </c>
      <c r="B790" s="25" t="s">
        <v>17</v>
      </c>
      <c r="C790" s="69"/>
      <c r="D790" s="99"/>
      <c r="E790" s="87">
        <f t="shared" si="116"/>
        <v>-14467</v>
      </c>
      <c r="G790" s="79"/>
      <c r="H790" s="63"/>
      <c r="I790" s="27"/>
      <c r="J790" s="28"/>
      <c r="K790" s="43"/>
      <c r="L790" s="29">
        <f t="shared" si="118"/>
        <v>0</v>
      </c>
      <c r="M790" s="29">
        <f t="shared" si="119"/>
        <v>0</v>
      </c>
      <c r="N790" s="29"/>
      <c r="O790" s="29"/>
    </row>
    <row r="791" spans="1:17" hidden="1" outlineLevel="1">
      <c r="A791" s="96">
        <v>45887</v>
      </c>
      <c r="B791" s="17" t="s">
        <v>18</v>
      </c>
      <c r="C791" s="68">
        <f>G793</f>
        <v>56</v>
      </c>
      <c r="D791" s="100"/>
      <c r="E791" s="22">
        <f t="shared" si="116"/>
        <v>-14523</v>
      </c>
      <c r="G791" s="78">
        <v>80</v>
      </c>
      <c r="H791" s="62">
        <f>C780</f>
        <v>80</v>
      </c>
      <c r="I791" s="20"/>
      <c r="J791" s="21"/>
      <c r="K791" s="57">
        <v>80</v>
      </c>
      <c r="L791" s="23">
        <f t="shared" si="118"/>
        <v>0</v>
      </c>
      <c r="M791" s="23">
        <f t="shared" si="119"/>
        <v>0</v>
      </c>
      <c r="N791" s="23"/>
      <c r="O791" s="23">
        <v>8</v>
      </c>
    </row>
    <row r="792" spans="1:17" hidden="1" outlineLevel="1">
      <c r="A792" s="96">
        <v>45888</v>
      </c>
      <c r="B792" s="17" t="s">
        <v>19</v>
      </c>
      <c r="C792" s="68">
        <f t="shared" ref="C792:C793" si="120">G794</f>
        <v>56</v>
      </c>
      <c r="D792" s="100"/>
      <c r="E792" s="22">
        <f t="shared" si="116"/>
        <v>-14579</v>
      </c>
      <c r="G792" s="78">
        <v>56</v>
      </c>
      <c r="H792" s="62">
        <f>C781</f>
        <v>56</v>
      </c>
      <c r="I792" s="20"/>
      <c r="J792" s="21"/>
      <c r="K792" s="57">
        <v>56</v>
      </c>
      <c r="L792" s="23">
        <f t="shared" si="118"/>
        <v>0</v>
      </c>
      <c r="M792" s="23">
        <f t="shared" si="119"/>
        <v>0</v>
      </c>
      <c r="N792" s="23"/>
      <c r="O792" s="23">
        <v>0</v>
      </c>
    </row>
    <row r="793" spans="1:17" hidden="1" outlineLevel="1">
      <c r="A793" s="96">
        <v>45889</v>
      </c>
      <c r="B793" s="17" t="s">
        <v>20</v>
      </c>
      <c r="C793" s="68">
        <f t="shared" si="120"/>
        <v>56</v>
      </c>
      <c r="D793" s="100"/>
      <c r="E793" s="22">
        <f t="shared" si="116"/>
        <v>-14635</v>
      </c>
      <c r="G793" s="78">
        <v>56</v>
      </c>
      <c r="H793" s="62">
        <f t="shared" si="117"/>
        <v>56</v>
      </c>
      <c r="I793" s="20"/>
      <c r="J793" s="21"/>
      <c r="K793" s="57">
        <v>56</v>
      </c>
      <c r="L793" s="23">
        <f t="shared" si="118"/>
        <v>0</v>
      </c>
      <c r="M793" s="23">
        <f t="shared" si="119"/>
        <v>0</v>
      </c>
      <c r="N793" s="23"/>
      <c r="O793" s="23">
        <v>7</v>
      </c>
    </row>
    <row r="794" spans="1:17" hidden="1" outlineLevel="1">
      <c r="A794" s="96">
        <v>45890</v>
      </c>
      <c r="B794" s="17" t="s">
        <v>14</v>
      </c>
      <c r="C794" s="68">
        <f>G798</f>
        <v>32</v>
      </c>
      <c r="D794" s="100"/>
      <c r="E794" s="22">
        <f t="shared" si="116"/>
        <v>-14667</v>
      </c>
      <c r="G794" s="78">
        <v>56</v>
      </c>
      <c r="H794" s="62">
        <f t="shared" si="117"/>
        <v>56</v>
      </c>
      <c r="I794" s="20"/>
      <c r="J794" s="21"/>
      <c r="K794" s="57">
        <v>56</v>
      </c>
      <c r="L794" s="23">
        <f t="shared" si="118"/>
        <v>0</v>
      </c>
      <c r="M794" s="23">
        <f t="shared" si="119"/>
        <v>0</v>
      </c>
      <c r="N794" s="23"/>
      <c r="O794" s="23">
        <v>9</v>
      </c>
    </row>
    <row r="795" spans="1:17" hidden="1" outlineLevel="1">
      <c r="A795" s="96">
        <v>45891</v>
      </c>
      <c r="B795" s="17" t="s">
        <v>15</v>
      </c>
      <c r="C795" s="68">
        <f>G799</f>
        <v>64</v>
      </c>
      <c r="D795" s="100"/>
      <c r="E795" s="22">
        <f t="shared" si="116"/>
        <v>-14731</v>
      </c>
      <c r="G795" s="78">
        <v>56</v>
      </c>
      <c r="H795" s="62">
        <f t="shared" si="117"/>
        <v>56</v>
      </c>
      <c r="I795" s="20"/>
      <c r="J795" s="21"/>
      <c r="K795" s="57">
        <v>56</v>
      </c>
      <c r="L795" s="23">
        <f t="shared" si="118"/>
        <v>0</v>
      </c>
      <c r="M795" s="23">
        <f t="shared" si="119"/>
        <v>0</v>
      </c>
      <c r="N795" s="23"/>
      <c r="O795" s="23">
        <v>6</v>
      </c>
      <c r="Q795" s="1">
        <f>AVERAGE(G791:G795)</f>
        <v>60.8</v>
      </c>
    </row>
    <row r="796" spans="1:17" s="12" customFormat="1" hidden="1" outlineLevel="1">
      <c r="A796" s="95">
        <v>45892</v>
      </c>
      <c r="B796" s="25" t="s">
        <v>16</v>
      </c>
      <c r="C796" s="69"/>
      <c r="D796" s="99"/>
      <c r="E796" s="87">
        <f t="shared" si="116"/>
        <v>-14731</v>
      </c>
      <c r="G796" s="79"/>
      <c r="H796" s="63"/>
      <c r="I796" s="27"/>
      <c r="J796" s="28"/>
      <c r="K796" s="43"/>
      <c r="L796" s="29">
        <f t="shared" si="118"/>
        <v>0</v>
      </c>
      <c r="M796" s="29">
        <f t="shared" si="119"/>
        <v>0</v>
      </c>
      <c r="N796" s="29"/>
      <c r="O796" s="29"/>
    </row>
    <row r="797" spans="1:17" s="12" customFormat="1" hidden="1" outlineLevel="1" collapsed="1">
      <c r="A797" s="95">
        <v>45893</v>
      </c>
      <c r="B797" s="25" t="s">
        <v>17</v>
      </c>
      <c r="C797" s="69"/>
      <c r="D797" s="99"/>
      <c r="E797" s="87">
        <f t="shared" si="116"/>
        <v>-14731</v>
      </c>
      <c r="G797" s="79"/>
      <c r="H797" s="63"/>
      <c r="I797" s="27"/>
      <c r="J797" s="28"/>
      <c r="K797" s="43"/>
      <c r="L797" s="29">
        <f t="shared" si="118"/>
        <v>0</v>
      </c>
      <c r="M797" s="29">
        <f t="shared" si="119"/>
        <v>0</v>
      </c>
      <c r="N797" s="29"/>
      <c r="O797" s="29"/>
    </row>
    <row r="798" spans="1:17" hidden="1" outlineLevel="1">
      <c r="A798" s="96">
        <v>45894</v>
      </c>
      <c r="B798" s="17" t="s">
        <v>18</v>
      </c>
      <c r="C798" s="68">
        <f>G800</f>
        <v>64</v>
      </c>
      <c r="D798" s="100"/>
      <c r="E798" s="22">
        <f t="shared" si="116"/>
        <v>-14795</v>
      </c>
      <c r="G798" s="78">
        <f>16+16</f>
        <v>32</v>
      </c>
      <c r="H798" s="62">
        <f t="shared" si="117"/>
        <v>32</v>
      </c>
      <c r="I798" s="20"/>
      <c r="J798" s="21"/>
      <c r="K798" s="57">
        <v>32</v>
      </c>
      <c r="L798" s="23">
        <f t="shared" si="118"/>
        <v>0</v>
      </c>
      <c r="M798" s="23">
        <f t="shared" si="119"/>
        <v>0</v>
      </c>
      <c r="N798" s="23"/>
      <c r="O798" s="23">
        <v>9</v>
      </c>
    </row>
    <row r="799" spans="1:17" hidden="1" outlineLevel="1">
      <c r="A799" s="96">
        <v>45895</v>
      </c>
      <c r="B799" s="17" t="s">
        <v>19</v>
      </c>
      <c r="C799" s="68">
        <f t="shared" ref="C799:C800" si="121">G801</f>
        <v>72</v>
      </c>
      <c r="D799" s="100"/>
      <c r="E799" s="22">
        <f t="shared" si="116"/>
        <v>-14867</v>
      </c>
      <c r="G799" s="78">
        <v>64</v>
      </c>
      <c r="H799" s="62">
        <f t="shared" si="117"/>
        <v>64</v>
      </c>
      <c r="I799" s="20"/>
      <c r="J799" s="21"/>
      <c r="K799" s="57">
        <v>64</v>
      </c>
      <c r="L799" s="23">
        <f t="shared" si="118"/>
        <v>0</v>
      </c>
      <c r="M799" s="23">
        <f t="shared" si="119"/>
        <v>0</v>
      </c>
      <c r="N799" s="23"/>
      <c r="O799" s="23">
        <v>6</v>
      </c>
    </row>
    <row r="800" spans="1:17" hidden="1" outlineLevel="1">
      <c r="A800" s="96">
        <v>45896</v>
      </c>
      <c r="B800" s="17" t="s">
        <v>20</v>
      </c>
      <c r="C800" s="68">
        <f t="shared" si="121"/>
        <v>56</v>
      </c>
      <c r="D800" s="100"/>
      <c r="E800" s="22">
        <f t="shared" si="116"/>
        <v>-14923</v>
      </c>
      <c r="G800" s="78">
        <v>64</v>
      </c>
      <c r="H800" s="62">
        <f t="shared" si="117"/>
        <v>64</v>
      </c>
      <c r="I800" s="20"/>
      <c r="J800" s="21"/>
      <c r="K800" s="57">
        <v>64</v>
      </c>
      <c r="L800" s="23">
        <f t="shared" si="118"/>
        <v>0</v>
      </c>
      <c r="M800" s="23">
        <f t="shared" si="119"/>
        <v>0</v>
      </c>
      <c r="N800" s="23"/>
      <c r="O800" s="23">
        <v>9</v>
      </c>
    </row>
    <row r="801" spans="1:17" hidden="1" outlineLevel="1">
      <c r="A801" s="96">
        <v>45897</v>
      </c>
      <c r="B801" s="17" t="s">
        <v>14</v>
      </c>
      <c r="C801" s="68">
        <f>G805</f>
        <v>72</v>
      </c>
      <c r="D801" s="100"/>
      <c r="E801" s="22">
        <f t="shared" si="116"/>
        <v>-14995</v>
      </c>
      <c r="G801" s="78">
        <v>72</v>
      </c>
      <c r="H801" s="62">
        <f t="shared" si="117"/>
        <v>72</v>
      </c>
      <c r="I801" s="20"/>
      <c r="J801" s="21"/>
      <c r="K801" s="57">
        <v>72</v>
      </c>
      <c r="L801" s="23">
        <f t="shared" si="118"/>
        <v>0</v>
      </c>
      <c r="M801" s="23">
        <f t="shared" si="119"/>
        <v>0</v>
      </c>
      <c r="N801" s="23"/>
      <c r="O801" s="23">
        <v>9</v>
      </c>
    </row>
    <row r="802" spans="1:17" hidden="1" outlineLevel="1">
      <c r="A802" s="96">
        <v>45898</v>
      </c>
      <c r="B802" s="17" t="s">
        <v>15</v>
      </c>
      <c r="C802" s="68">
        <f>G806</f>
        <v>80</v>
      </c>
      <c r="D802" s="100"/>
      <c r="E802" s="22">
        <f t="shared" si="116"/>
        <v>-15075</v>
      </c>
      <c r="G802" s="78">
        <v>56</v>
      </c>
      <c r="H802" s="62">
        <f t="shared" si="117"/>
        <v>56</v>
      </c>
      <c r="I802" s="20"/>
      <c r="J802" s="21"/>
      <c r="K802" s="57">
        <v>56</v>
      </c>
      <c r="L802" s="23">
        <f t="shared" si="118"/>
        <v>0</v>
      </c>
      <c r="M802" s="23">
        <f t="shared" si="119"/>
        <v>0</v>
      </c>
      <c r="N802" s="23"/>
      <c r="O802" s="23">
        <v>5</v>
      </c>
      <c r="Q802" s="1">
        <f>AVERAGE(G798:G802)</f>
        <v>57.6</v>
      </c>
    </row>
    <row r="803" spans="1:17" s="12" customFormat="1" hidden="1" outlineLevel="1">
      <c r="A803" s="95">
        <v>45899</v>
      </c>
      <c r="B803" s="25" t="s">
        <v>16</v>
      </c>
      <c r="C803" s="69"/>
      <c r="D803" s="99"/>
      <c r="E803" s="87">
        <f t="shared" si="116"/>
        <v>-15075</v>
      </c>
      <c r="G803" s="64"/>
      <c r="H803" s="63"/>
      <c r="I803" s="27"/>
      <c r="J803" s="28"/>
      <c r="K803" s="43"/>
      <c r="L803" s="29">
        <f t="shared" si="118"/>
        <v>0</v>
      </c>
      <c r="M803" s="29">
        <f t="shared" si="119"/>
        <v>0</v>
      </c>
      <c r="N803" s="29"/>
      <c r="O803" s="29"/>
    </row>
    <row r="804" spans="1:17" s="12" customFormat="1" hidden="1" outlineLevel="1" collapsed="1">
      <c r="A804" s="95">
        <v>45900</v>
      </c>
      <c r="B804" s="25" t="s">
        <v>17</v>
      </c>
      <c r="C804" s="69"/>
      <c r="D804" s="99"/>
      <c r="E804" s="87">
        <f t="shared" si="116"/>
        <v>-15075</v>
      </c>
      <c r="G804" s="64"/>
      <c r="H804" s="63"/>
      <c r="I804" s="27"/>
      <c r="J804" s="28"/>
      <c r="K804" s="43"/>
      <c r="L804" s="29">
        <f t="shared" si="118"/>
        <v>0</v>
      </c>
      <c r="M804" s="29">
        <f t="shared" si="119"/>
        <v>0</v>
      </c>
      <c r="N804" s="29"/>
      <c r="O804" s="29"/>
    </row>
    <row r="805" spans="1:17" hidden="1" outlineLevel="1">
      <c r="A805" s="96">
        <v>45901</v>
      </c>
      <c r="B805" s="17" t="s">
        <v>18</v>
      </c>
      <c r="C805" s="68">
        <f>G807</f>
        <v>80</v>
      </c>
      <c r="D805" s="100"/>
      <c r="E805" s="22">
        <f t="shared" si="116"/>
        <v>-15155</v>
      </c>
      <c r="G805" s="78">
        <v>72</v>
      </c>
      <c r="H805" s="62">
        <f t="shared" si="117"/>
        <v>72</v>
      </c>
      <c r="I805" s="20"/>
      <c r="J805" s="21"/>
      <c r="K805" s="57">
        <v>72</v>
      </c>
      <c r="L805" s="23">
        <f t="shared" si="118"/>
        <v>0</v>
      </c>
      <c r="M805" s="23">
        <f t="shared" si="119"/>
        <v>0</v>
      </c>
      <c r="N805" s="23"/>
      <c r="O805" s="23">
        <f>3+9</f>
        <v>12</v>
      </c>
    </row>
    <row r="806" spans="1:17" hidden="1" outlineLevel="1">
      <c r="A806" s="96">
        <v>45902</v>
      </c>
      <c r="B806" s="17" t="s">
        <v>19</v>
      </c>
      <c r="C806" s="68">
        <f t="shared" ref="C806:C807" si="122">G808</f>
        <v>56</v>
      </c>
      <c r="D806" s="100"/>
      <c r="E806" s="22">
        <f t="shared" si="116"/>
        <v>-15211</v>
      </c>
      <c r="G806" s="78">
        <v>80</v>
      </c>
      <c r="H806" s="62">
        <f t="shared" si="117"/>
        <v>80</v>
      </c>
      <c r="I806" s="20"/>
      <c r="J806" s="21"/>
      <c r="K806" s="57">
        <v>80</v>
      </c>
      <c r="L806" s="23">
        <f t="shared" si="118"/>
        <v>0</v>
      </c>
      <c r="M806" s="23">
        <f t="shared" si="119"/>
        <v>0</v>
      </c>
      <c r="N806" s="23"/>
      <c r="O806" s="23">
        <v>0</v>
      </c>
    </row>
    <row r="807" spans="1:17" hidden="1" outlineLevel="1">
      <c r="A807" s="96">
        <v>45903</v>
      </c>
      <c r="B807" s="17" t="s">
        <v>20</v>
      </c>
      <c r="C807" s="68">
        <f t="shared" si="122"/>
        <v>96</v>
      </c>
      <c r="D807" s="100"/>
      <c r="E807" s="22">
        <f t="shared" si="116"/>
        <v>-15307</v>
      </c>
      <c r="G807" s="78">
        <v>80</v>
      </c>
      <c r="H807" s="62">
        <f t="shared" si="117"/>
        <v>80</v>
      </c>
      <c r="I807" s="20"/>
      <c r="J807" s="21"/>
      <c r="K807" s="57">
        <v>80</v>
      </c>
      <c r="L807" s="23">
        <f t="shared" si="118"/>
        <v>0</v>
      </c>
      <c r="M807" s="23">
        <f t="shared" si="119"/>
        <v>0</v>
      </c>
      <c r="N807" s="23"/>
      <c r="O807" s="23">
        <v>0</v>
      </c>
    </row>
    <row r="808" spans="1:17" hidden="1" outlineLevel="1">
      <c r="A808" s="96">
        <v>45904</v>
      </c>
      <c r="B808" s="17" t="s">
        <v>14</v>
      </c>
      <c r="C808" s="68">
        <f>G812</f>
        <v>64</v>
      </c>
      <c r="D808" s="100"/>
      <c r="E808" s="22">
        <f t="shared" si="116"/>
        <v>-15371</v>
      </c>
      <c r="G808" s="78">
        <v>56</v>
      </c>
      <c r="H808" s="62">
        <f t="shared" si="117"/>
        <v>56</v>
      </c>
      <c r="I808" s="20"/>
      <c r="J808" s="21"/>
      <c r="K808" s="57">
        <v>56</v>
      </c>
      <c r="L808" s="23">
        <f t="shared" si="118"/>
        <v>0</v>
      </c>
      <c r="M808" s="23">
        <f t="shared" si="119"/>
        <v>0</v>
      </c>
      <c r="N808" s="23"/>
      <c r="O808" s="23">
        <v>5</v>
      </c>
    </row>
    <row r="809" spans="1:17" hidden="1" outlineLevel="1">
      <c r="A809" s="96">
        <v>45905</v>
      </c>
      <c r="B809" s="17" t="s">
        <v>15</v>
      </c>
      <c r="C809" s="68">
        <f>G813</f>
        <v>0</v>
      </c>
      <c r="D809" s="100"/>
      <c r="E809" s="22">
        <f t="shared" si="116"/>
        <v>-15371</v>
      </c>
      <c r="G809" s="78">
        <v>96</v>
      </c>
      <c r="H809" s="62">
        <f t="shared" si="117"/>
        <v>96</v>
      </c>
      <c r="I809" s="20"/>
      <c r="J809" s="21"/>
      <c r="K809" s="57">
        <v>96</v>
      </c>
      <c r="L809" s="23">
        <f t="shared" si="118"/>
        <v>0</v>
      </c>
      <c r="M809" s="23">
        <f t="shared" si="119"/>
        <v>0</v>
      </c>
      <c r="N809" s="23"/>
      <c r="O809" s="23">
        <v>8</v>
      </c>
      <c r="Q809" s="1">
        <f>AVERAGE(G805:G809)</f>
        <v>76.8</v>
      </c>
    </row>
    <row r="810" spans="1:17" s="12" customFormat="1" hidden="1" outlineLevel="1">
      <c r="A810" s="95">
        <v>45906</v>
      </c>
      <c r="B810" s="25" t="s">
        <v>16</v>
      </c>
      <c r="C810" s="69"/>
      <c r="D810" s="99"/>
      <c r="E810" s="87">
        <f t="shared" si="116"/>
        <v>-15371</v>
      </c>
      <c r="G810" s="79"/>
      <c r="H810" s="63"/>
      <c r="I810" s="27"/>
      <c r="J810" s="28"/>
      <c r="K810" s="43"/>
      <c r="L810" s="29">
        <f t="shared" si="118"/>
        <v>0</v>
      </c>
      <c r="M810" s="29">
        <f t="shared" si="119"/>
        <v>0</v>
      </c>
      <c r="N810" s="29"/>
      <c r="O810" s="29"/>
    </row>
    <row r="811" spans="1:17" s="12" customFormat="1" hidden="1" outlineLevel="1" collapsed="1">
      <c r="A811" s="95">
        <v>45907</v>
      </c>
      <c r="B811" s="25" t="s">
        <v>17</v>
      </c>
      <c r="C811" s="69"/>
      <c r="D811" s="99"/>
      <c r="E811" s="87">
        <f t="shared" si="116"/>
        <v>-15371</v>
      </c>
      <c r="G811" s="79"/>
      <c r="H811" s="63"/>
      <c r="I811" s="27"/>
      <c r="J811" s="28"/>
      <c r="K811" s="43"/>
      <c r="L811" s="29">
        <f t="shared" si="118"/>
        <v>0</v>
      </c>
      <c r="M811" s="29">
        <f t="shared" si="119"/>
        <v>0</v>
      </c>
      <c r="N811" s="29"/>
      <c r="O811" s="29"/>
    </row>
    <row r="812" spans="1:17" hidden="1" outlineLevel="1">
      <c r="A812" s="96">
        <v>45908</v>
      </c>
      <c r="B812" s="17" t="s">
        <v>18</v>
      </c>
      <c r="C812" s="68">
        <f>G814</f>
        <v>8</v>
      </c>
      <c r="D812" s="100"/>
      <c r="E812" s="22">
        <f t="shared" ref="E812:E837" si="123">E811-C812+D812</f>
        <v>-15379</v>
      </c>
      <c r="G812" s="78">
        <v>64</v>
      </c>
      <c r="H812" s="62">
        <f t="shared" ref="H812:H837" si="124">IF(C810&lt;&gt;"",C810+I812,IF(C808&lt;&gt;"",C808+I812,IF(C807&lt;&gt;"",C807+I812,IF(C806&lt;&gt;"",C806+I812,IF(C805&lt;&gt;"",C805+I812,IF(C804&lt;&gt;"",C804+I812))))))</f>
        <v>64</v>
      </c>
      <c r="I812" s="20"/>
      <c r="J812" s="21"/>
      <c r="K812" s="57">
        <v>64</v>
      </c>
      <c r="L812" s="23">
        <f t="shared" ref="L812:L837" si="125">L811-G812+K812</f>
        <v>0</v>
      </c>
      <c r="M812" s="23">
        <f t="shared" ref="M812:M837" si="126">M811-G812+H812</f>
        <v>0</v>
      </c>
      <c r="N812" s="23"/>
      <c r="O812" s="23">
        <v>8</v>
      </c>
    </row>
    <row r="813" spans="1:17" hidden="1" outlineLevel="1">
      <c r="A813" s="96">
        <v>45909</v>
      </c>
      <c r="B813" s="17" t="s">
        <v>19</v>
      </c>
      <c r="C813" s="68">
        <f t="shared" ref="C813:C814" si="127">G815</f>
        <v>56</v>
      </c>
      <c r="D813" s="100"/>
      <c r="E813" s="22">
        <f t="shared" si="123"/>
        <v>-15435</v>
      </c>
      <c r="G813" s="78">
        <v>0</v>
      </c>
      <c r="H813" s="62">
        <f t="shared" si="124"/>
        <v>0</v>
      </c>
      <c r="I813" s="20"/>
      <c r="J813" s="21"/>
      <c r="K813" s="57">
        <v>0</v>
      </c>
      <c r="L813" s="23">
        <f t="shared" si="125"/>
        <v>0</v>
      </c>
      <c r="M813" s="23">
        <f t="shared" si="126"/>
        <v>0</v>
      </c>
      <c r="N813" s="23"/>
      <c r="O813" s="23">
        <v>7</v>
      </c>
    </row>
    <row r="814" spans="1:17" hidden="1" outlineLevel="1">
      <c r="A814" s="96">
        <v>45910</v>
      </c>
      <c r="B814" s="17" t="s">
        <v>20</v>
      </c>
      <c r="C814" s="68">
        <f t="shared" si="127"/>
        <v>56</v>
      </c>
      <c r="D814" s="100"/>
      <c r="E814" s="22">
        <f t="shared" si="123"/>
        <v>-15491</v>
      </c>
      <c r="G814" s="203">
        <v>8</v>
      </c>
      <c r="H814" s="62">
        <f t="shared" si="124"/>
        <v>8</v>
      </c>
      <c r="I814" s="20"/>
      <c r="J814" s="21"/>
      <c r="K814" s="57">
        <v>8</v>
      </c>
      <c r="L814" s="23">
        <f t="shared" si="125"/>
        <v>0</v>
      </c>
      <c r="M814" s="23">
        <f t="shared" si="126"/>
        <v>0</v>
      </c>
      <c r="N814" s="23"/>
      <c r="O814" s="23">
        <v>9</v>
      </c>
    </row>
    <row r="815" spans="1:17" hidden="1" outlineLevel="1">
      <c r="A815" s="96">
        <v>45911</v>
      </c>
      <c r="B815" s="17" t="s">
        <v>14</v>
      </c>
      <c r="C815" s="68">
        <f>G820</f>
        <v>72</v>
      </c>
      <c r="D815" s="100"/>
      <c r="E815" s="22">
        <f t="shared" si="123"/>
        <v>-15563</v>
      </c>
      <c r="G815" s="314">
        <f>56</f>
        <v>56</v>
      </c>
      <c r="H815" s="62">
        <f t="shared" si="124"/>
        <v>56</v>
      </c>
      <c r="I815" s="20"/>
      <c r="J815" s="21"/>
      <c r="K815" s="57">
        <v>56</v>
      </c>
      <c r="L815" s="23">
        <f t="shared" si="125"/>
        <v>0</v>
      </c>
      <c r="M815" s="23">
        <f t="shared" si="126"/>
        <v>0</v>
      </c>
      <c r="N815" s="23"/>
      <c r="O815" s="23">
        <v>8</v>
      </c>
    </row>
    <row r="816" spans="1:17" hidden="1" outlineLevel="1">
      <c r="A816" s="96">
        <v>45912</v>
      </c>
      <c r="B816" s="17" t="s">
        <v>15</v>
      </c>
      <c r="C816" s="68">
        <f>G821</f>
        <v>56</v>
      </c>
      <c r="D816" s="100"/>
      <c r="E816" s="22">
        <f t="shared" si="123"/>
        <v>-15619</v>
      </c>
      <c r="G816" s="203">
        <v>56</v>
      </c>
      <c r="H816" s="62">
        <f t="shared" si="124"/>
        <v>56</v>
      </c>
      <c r="I816" s="20"/>
      <c r="J816" s="21"/>
      <c r="K816" s="57">
        <v>56</v>
      </c>
      <c r="L816" s="23">
        <f t="shared" si="125"/>
        <v>0</v>
      </c>
      <c r="M816" s="23">
        <f t="shared" si="126"/>
        <v>0</v>
      </c>
      <c r="N816" s="23"/>
      <c r="O816" s="23">
        <v>8</v>
      </c>
      <c r="Q816" s="1">
        <f>AVERAGE(G812:G816)</f>
        <v>36.799999999999997</v>
      </c>
    </row>
    <row r="817" spans="1:17" s="12" customFormat="1" hidden="1" outlineLevel="1">
      <c r="A817" s="95">
        <v>45913</v>
      </c>
      <c r="B817" s="25" t="s">
        <v>16</v>
      </c>
      <c r="C817" s="69"/>
      <c r="D817" s="99"/>
      <c r="E817" s="87">
        <f t="shared" si="123"/>
        <v>-15619</v>
      </c>
      <c r="G817" s="300"/>
      <c r="H817" s="63"/>
      <c r="I817" s="27"/>
      <c r="J817" s="28"/>
      <c r="K817" s="43"/>
      <c r="L817" s="29">
        <f t="shared" si="125"/>
        <v>0</v>
      </c>
      <c r="M817" s="29">
        <f t="shared" si="126"/>
        <v>0</v>
      </c>
      <c r="N817" s="29"/>
      <c r="O817" s="29"/>
    </row>
    <row r="818" spans="1:17" s="12" customFormat="1" hidden="1" outlineLevel="1">
      <c r="A818" s="95">
        <v>45914</v>
      </c>
      <c r="B818" s="25" t="s">
        <v>17</v>
      </c>
      <c r="C818" s="69"/>
      <c r="D818" s="99"/>
      <c r="E818" s="87">
        <f t="shared" si="123"/>
        <v>-15619</v>
      </c>
      <c r="G818" s="300"/>
      <c r="H818" s="63"/>
      <c r="I818" s="27"/>
      <c r="J818" s="28"/>
      <c r="K818" s="43"/>
      <c r="L818" s="29">
        <f t="shared" si="125"/>
        <v>0</v>
      </c>
      <c r="M818" s="29">
        <f t="shared" si="126"/>
        <v>0</v>
      </c>
      <c r="N818" s="29"/>
      <c r="O818" s="29"/>
    </row>
    <row r="819" spans="1:17" s="12" customFormat="1" collapsed="1">
      <c r="A819" s="95">
        <v>45915</v>
      </c>
      <c r="B819" s="25" t="s">
        <v>18</v>
      </c>
      <c r="C819" s="69"/>
      <c r="D819" s="99"/>
      <c r="E819" s="87">
        <f t="shared" si="123"/>
        <v>-15619</v>
      </c>
      <c r="G819" s="300"/>
      <c r="H819" s="63"/>
      <c r="I819" s="27"/>
      <c r="J819" s="28"/>
      <c r="K819" s="43"/>
      <c r="L819" s="29">
        <f t="shared" si="125"/>
        <v>0</v>
      </c>
      <c r="M819" s="29">
        <f t="shared" si="126"/>
        <v>0</v>
      </c>
      <c r="N819" s="29"/>
      <c r="O819" s="29"/>
    </row>
    <row r="820" spans="1:17">
      <c r="A820" s="96">
        <v>45916</v>
      </c>
      <c r="B820" s="17" t="s">
        <v>19</v>
      </c>
      <c r="C820" s="68">
        <f t="shared" ref="C820:C821" si="128">G822</f>
        <v>72</v>
      </c>
      <c r="D820" s="100"/>
      <c r="E820" s="22">
        <f t="shared" si="123"/>
        <v>-15691</v>
      </c>
      <c r="G820" s="203">
        <v>72</v>
      </c>
      <c r="H820" s="62">
        <f>C815</f>
        <v>72</v>
      </c>
      <c r="I820" s="20"/>
      <c r="J820" s="21"/>
      <c r="K820" s="57">
        <v>72</v>
      </c>
      <c r="L820" s="23">
        <f t="shared" si="125"/>
        <v>0</v>
      </c>
      <c r="M820" s="23">
        <f t="shared" si="126"/>
        <v>0</v>
      </c>
      <c r="N820" s="23"/>
      <c r="O820" s="23">
        <v>5</v>
      </c>
    </row>
    <row r="821" spans="1:17">
      <c r="A821" s="96">
        <v>45917</v>
      </c>
      <c r="B821" s="17" t="s">
        <v>20</v>
      </c>
      <c r="C821" s="68">
        <f t="shared" si="128"/>
        <v>48</v>
      </c>
      <c r="D821" s="100"/>
      <c r="E821" s="22">
        <f t="shared" si="123"/>
        <v>-15739</v>
      </c>
      <c r="G821" s="203">
        <v>56</v>
      </c>
      <c r="H821" s="62">
        <f t="shared" si="124"/>
        <v>56</v>
      </c>
      <c r="I821" s="20"/>
      <c r="J821" s="21"/>
      <c r="K821" s="57">
        <v>56</v>
      </c>
      <c r="L821" s="23">
        <f t="shared" si="125"/>
        <v>0</v>
      </c>
      <c r="M821" s="23">
        <f t="shared" si="126"/>
        <v>0</v>
      </c>
      <c r="N821" s="23"/>
      <c r="O821" s="23">
        <v>8</v>
      </c>
    </row>
    <row r="822" spans="1:17">
      <c r="A822" s="96">
        <v>45918</v>
      </c>
      <c r="B822" s="17" t="s">
        <v>14</v>
      </c>
      <c r="C822" s="68">
        <f>G826</f>
        <v>56</v>
      </c>
      <c r="D822" s="100"/>
      <c r="E822" s="22">
        <f t="shared" si="123"/>
        <v>-15795</v>
      </c>
      <c r="G822" s="78">
        <v>72</v>
      </c>
      <c r="H822" s="62">
        <f t="shared" si="124"/>
        <v>72</v>
      </c>
      <c r="I822" s="20"/>
      <c r="J822" s="21"/>
      <c r="K822" s="57">
        <v>72</v>
      </c>
      <c r="L822" s="23">
        <f t="shared" si="125"/>
        <v>0</v>
      </c>
      <c r="M822" s="23">
        <f t="shared" si="126"/>
        <v>0</v>
      </c>
      <c r="N822" s="23"/>
      <c r="O822" s="23">
        <v>8</v>
      </c>
    </row>
    <row r="823" spans="1:17">
      <c r="A823" s="96">
        <v>45919</v>
      </c>
      <c r="B823" s="17" t="s">
        <v>15</v>
      </c>
      <c r="C823" s="68">
        <f>G827</f>
        <v>56</v>
      </c>
      <c r="D823" s="100"/>
      <c r="E823" s="22">
        <f t="shared" si="123"/>
        <v>-15851</v>
      </c>
      <c r="G823" s="78">
        <v>48</v>
      </c>
      <c r="H823" s="62">
        <f t="shared" si="124"/>
        <v>48</v>
      </c>
      <c r="I823" s="20"/>
      <c r="J823" s="21"/>
      <c r="K823" s="57">
        <v>48</v>
      </c>
      <c r="L823" s="23">
        <f t="shared" si="125"/>
        <v>0</v>
      </c>
      <c r="M823" s="23">
        <f t="shared" si="126"/>
        <v>0</v>
      </c>
      <c r="N823" s="23"/>
      <c r="O823" s="23">
        <v>7</v>
      </c>
      <c r="Q823" s="1">
        <f>AVERAGE(G820:G823)</f>
        <v>62</v>
      </c>
    </row>
    <row r="824" spans="1:17" s="12" customFormat="1">
      <c r="A824" s="95">
        <v>45920</v>
      </c>
      <c r="B824" s="25" t="s">
        <v>16</v>
      </c>
      <c r="C824" s="69"/>
      <c r="D824" s="99"/>
      <c r="E824" s="87">
        <f t="shared" si="123"/>
        <v>-15851</v>
      </c>
      <c r="G824" s="79"/>
      <c r="H824" s="63"/>
      <c r="I824" s="27"/>
      <c r="J824" s="28"/>
      <c r="K824" s="43"/>
      <c r="L824" s="29">
        <f t="shared" si="125"/>
        <v>0</v>
      </c>
      <c r="M824" s="29">
        <f t="shared" si="126"/>
        <v>0</v>
      </c>
      <c r="N824" s="29"/>
      <c r="O824" s="29"/>
    </row>
    <row r="825" spans="1:17" s="12" customFormat="1">
      <c r="A825" s="95">
        <v>45921</v>
      </c>
      <c r="B825" s="25" t="s">
        <v>17</v>
      </c>
      <c r="C825" s="69"/>
      <c r="D825" s="99"/>
      <c r="E825" s="87">
        <f t="shared" si="123"/>
        <v>-15851</v>
      </c>
      <c r="G825" s="79"/>
      <c r="H825" s="63"/>
      <c r="I825" s="27"/>
      <c r="J825" s="28"/>
      <c r="K825" s="43"/>
      <c r="L825" s="29">
        <f t="shared" si="125"/>
        <v>0</v>
      </c>
      <c r="M825" s="29">
        <f t="shared" si="126"/>
        <v>0</v>
      </c>
      <c r="N825" s="29"/>
      <c r="O825" s="29"/>
    </row>
    <row r="826" spans="1:17">
      <c r="A826" s="96">
        <v>45922</v>
      </c>
      <c r="B826" s="17" t="s">
        <v>18</v>
      </c>
      <c r="C826" s="138">
        <f>G828</f>
        <v>56</v>
      </c>
      <c r="D826" s="100"/>
      <c r="E826" s="22">
        <f t="shared" si="123"/>
        <v>-15907</v>
      </c>
      <c r="G826" s="78">
        <v>56</v>
      </c>
      <c r="H826" s="62">
        <f t="shared" si="124"/>
        <v>56</v>
      </c>
      <c r="I826" s="20"/>
      <c r="J826" s="21"/>
      <c r="K826" s="57">
        <v>56</v>
      </c>
      <c r="L826" s="23">
        <f t="shared" si="125"/>
        <v>0</v>
      </c>
      <c r="M826" s="23">
        <f t="shared" si="126"/>
        <v>0</v>
      </c>
      <c r="N826" s="23"/>
      <c r="O826" s="23"/>
    </row>
    <row r="827" spans="1:17">
      <c r="A827" s="96">
        <v>45923</v>
      </c>
      <c r="B827" s="17" t="s">
        <v>19</v>
      </c>
      <c r="C827" s="138">
        <f t="shared" ref="C827:C828" si="129">G829</f>
        <v>72</v>
      </c>
      <c r="D827" s="100"/>
      <c r="E827" s="22">
        <f t="shared" si="123"/>
        <v>-15979</v>
      </c>
      <c r="G827" s="78">
        <v>56</v>
      </c>
      <c r="H827" s="62">
        <f t="shared" si="124"/>
        <v>56</v>
      </c>
      <c r="I827" s="20"/>
      <c r="J827" s="21"/>
      <c r="K827" s="42"/>
      <c r="L827" s="23">
        <f t="shared" si="125"/>
        <v>-56</v>
      </c>
      <c r="M827" s="23">
        <f t="shared" si="126"/>
        <v>0</v>
      </c>
      <c r="N827" s="23"/>
      <c r="O827" s="23"/>
    </row>
    <row r="828" spans="1:17">
      <c r="A828" s="96">
        <v>45924</v>
      </c>
      <c r="B828" s="17" t="s">
        <v>20</v>
      </c>
      <c r="C828" s="138">
        <f t="shared" si="129"/>
        <v>48</v>
      </c>
      <c r="D828" s="100"/>
      <c r="E828" s="22">
        <f t="shared" si="123"/>
        <v>-16027</v>
      </c>
      <c r="G828" s="78">
        <v>56</v>
      </c>
      <c r="H828" s="62">
        <f t="shared" si="124"/>
        <v>56</v>
      </c>
      <c r="I828" s="20"/>
      <c r="J828" s="21"/>
      <c r="K828" s="42"/>
      <c r="L828" s="23">
        <f t="shared" si="125"/>
        <v>-112</v>
      </c>
      <c r="M828" s="23">
        <f t="shared" si="126"/>
        <v>0</v>
      </c>
      <c r="N828" s="23"/>
      <c r="O828" s="23"/>
    </row>
    <row r="829" spans="1:17">
      <c r="A829" s="96">
        <v>45925</v>
      </c>
      <c r="B829" s="17" t="s">
        <v>14</v>
      </c>
      <c r="C829" s="138">
        <f>G833</f>
        <v>72</v>
      </c>
      <c r="D829" s="100"/>
      <c r="E829" s="22">
        <f t="shared" si="123"/>
        <v>-16099</v>
      </c>
      <c r="G829" s="78">
        <v>72</v>
      </c>
      <c r="H829" s="62">
        <f t="shared" si="124"/>
        <v>72</v>
      </c>
      <c r="I829" s="20"/>
      <c r="J829" s="21"/>
      <c r="K829" s="42"/>
      <c r="L829" s="23">
        <f t="shared" si="125"/>
        <v>-184</v>
      </c>
      <c r="M829" s="23">
        <f t="shared" si="126"/>
        <v>0</v>
      </c>
      <c r="N829" s="23"/>
      <c r="O829" s="23"/>
    </row>
    <row r="830" spans="1:17">
      <c r="A830" s="96">
        <v>45926</v>
      </c>
      <c r="B830" s="17" t="s">
        <v>15</v>
      </c>
      <c r="C830" s="138">
        <f>G834</f>
        <v>72</v>
      </c>
      <c r="D830" s="100"/>
      <c r="E830" s="22">
        <f t="shared" si="123"/>
        <v>-16171</v>
      </c>
      <c r="G830" s="78">
        <v>48</v>
      </c>
      <c r="H830" s="62">
        <f t="shared" si="124"/>
        <v>48</v>
      </c>
      <c r="I830" s="20"/>
      <c r="J830" s="21"/>
      <c r="K830" s="42"/>
      <c r="L830" s="23">
        <f t="shared" si="125"/>
        <v>-232</v>
      </c>
      <c r="M830" s="23">
        <f t="shared" si="126"/>
        <v>0</v>
      </c>
      <c r="N830" s="23"/>
      <c r="O830" s="23"/>
      <c r="Q830" s="1">
        <f>AVERAGE(G826:G830)</f>
        <v>57.6</v>
      </c>
    </row>
    <row r="831" spans="1:17" s="12" customFormat="1">
      <c r="A831" s="95">
        <v>45927</v>
      </c>
      <c r="B831" s="25" t="s">
        <v>16</v>
      </c>
      <c r="C831" s="69"/>
      <c r="D831" s="99"/>
      <c r="E831" s="87">
        <f t="shared" si="123"/>
        <v>-16171</v>
      </c>
      <c r="G831" s="79"/>
      <c r="H831" s="63"/>
      <c r="I831" s="27"/>
      <c r="J831" s="28"/>
      <c r="K831" s="43"/>
      <c r="L831" s="29">
        <f t="shared" si="125"/>
        <v>-232</v>
      </c>
      <c r="M831" s="29">
        <f t="shared" si="126"/>
        <v>0</v>
      </c>
      <c r="N831" s="29"/>
      <c r="O831" s="29"/>
    </row>
    <row r="832" spans="1:17" s="12" customFormat="1">
      <c r="A832" s="95">
        <v>45928</v>
      </c>
      <c r="B832" s="25" t="s">
        <v>17</v>
      </c>
      <c r="C832" s="69"/>
      <c r="D832" s="99"/>
      <c r="E832" s="87">
        <f t="shared" si="123"/>
        <v>-16171</v>
      </c>
      <c r="G832" s="79"/>
      <c r="H832" s="63"/>
      <c r="I832" s="27"/>
      <c r="J832" s="28"/>
      <c r="K832" s="43"/>
      <c r="L832" s="29">
        <f t="shared" si="125"/>
        <v>-232</v>
      </c>
      <c r="M832" s="29">
        <f t="shared" si="126"/>
        <v>0</v>
      </c>
      <c r="N832" s="29"/>
      <c r="O832" s="29"/>
    </row>
    <row r="833" spans="1:15">
      <c r="A833" s="96">
        <v>45929</v>
      </c>
      <c r="B833" s="17" t="s">
        <v>18</v>
      </c>
      <c r="C833" s="138">
        <f>G835</f>
        <v>56</v>
      </c>
      <c r="D833" s="100"/>
      <c r="E833" s="22">
        <f t="shared" si="123"/>
        <v>-16227</v>
      </c>
      <c r="G833" s="78">
        <v>72</v>
      </c>
      <c r="H833" s="62">
        <f t="shared" si="124"/>
        <v>72</v>
      </c>
      <c r="I833" s="20"/>
      <c r="J833" s="21"/>
      <c r="K833" s="42"/>
      <c r="L833" s="23">
        <f t="shared" si="125"/>
        <v>-304</v>
      </c>
      <c r="M833" s="23">
        <f t="shared" si="126"/>
        <v>0</v>
      </c>
      <c r="N833" s="23"/>
      <c r="O833" s="23"/>
    </row>
    <row r="834" spans="1:15">
      <c r="A834" s="96">
        <v>45930</v>
      </c>
      <c r="B834" s="17" t="s">
        <v>19</v>
      </c>
      <c r="C834" s="138">
        <f t="shared" ref="C834:C835" si="130">G836</f>
        <v>72</v>
      </c>
      <c r="D834" s="100"/>
      <c r="E834" s="22">
        <f t="shared" si="123"/>
        <v>-16299</v>
      </c>
      <c r="G834" s="78">
        <v>72</v>
      </c>
      <c r="H834" s="62">
        <f t="shared" si="124"/>
        <v>72</v>
      </c>
      <c r="I834" s="20"/>
      <c r="J834" s="21"/>
      <c r="K834" s="42"/>
      <c r="L834" s="23">
        <f t="shared" si="125"/>
        <v>-376</v>
      </c>
      <c r="M834" s="23">
        <f t="shared" si="126"/>
        <v>0</v>
      </c>
      <c r="N834" s="23"/>
      <c r="O834" s="23"/>
    </row>
    <row r="835" spans="1:15">
      <c r="A835" s="96">
        <v>45931</v>
      </c>
      <c r="B835" s="17" t="s">
        <v>20</v>
      </c>
      <c r="C835" s="138">
        <f t="shared" si="130"/>
        <v>56</v>
      </c>
      <c r="D835" s="100"/>
      <c r="E835" s="22">
        <f t="shared" si="123"/>
        <v>-16355</v>
      </c>
      <c r="G835" s="78">
        <v>56</v>
      </c>
      <c r="H835" s="62">
        <f t="shared" si="124"/>
        <v>56</v>
      </c>
      <c r="I835" s="20"/>
      <c r="J835" s="21"/>
      <c r="K835" s="42"/>
      <c r="L835" s="23">
        <f t="shared" si="125"/>
        <v>-432</v>
      </c>
      <c r="M835" s="23">
        <f t="shared" si="126"/>
        <v>0</v>
      </c>
      <c r="N835" s="23"/>
      <c r="O835" s="23"/>
    </row>
    <row r="836" spans="1:15">
      <c r="A836" s="96">
        <v>45932</v>
      </c>
      <c r="B836" s="17" t="s">
        <v>14</v>
      </c>
      <c r="C836" s="138">
        <f>G840</f>
        <v>72</v>
      </c>
      <c r="D836" s="100"/>
      <c r="E836" s="22">
        <f t="shared" si="123"/>
        <v>-16427</v>
      </c>
      <c r="G836" s="78">
        <v>72</v>
      </c>
      <c r="H836" s="62">
        <f t="shared" si="124"/>
        <v>72</v>
      </c>
      <c r="I836" s="20"/>
      <c r="J836" s="21"/>
      <c r="K836" s="42"/>
      <c r="L836" s="23">
        <f t="shared" si="125"/>
        <v>-504</v>
      </c>
      <c r="M836" s="23">
        <f t="shared" si="126"/>
        <v>0</v>
      </c>
      <c r="N836" s="23"/>
      <c r="O836" s="23"/>
    </row>
    <row r="837" spans="1:15">
      <c r="A837" s="96">
        <v>45933</v>
      </c>
      <c r="B837" s="17" t="s">
        <v>15</v>
      </c>
      <c r="C837" s="138">
        <f>G841</f>
        <v>64</v>
      </c>
      <c r="D837" s="100"/>
      <c r="E837" s="22">
        <f t="shared" si="123"/>
        <v>-16491</v>
      </c>
      <c r="G837" s="19">
        <v>56</v>
      </c>
      <c r="H837" s="62">
        <f t="shared" si="124"/>
        <v>56</v>
      </c>
      <c r="I837" s="20"/>
      <c r="J837" s="21"/>
      <c r="K837" s="42"/>
      <c r="L837" s="23">
        <f t="shared" si="125"/>
        <v>-560</v>
      </c>
      <c r="M837" s="23">
        <f t="shared" si="126"/>
        <v>0</v>
      </c>
      <c r="N837" s="23"/>
      <c r="O837" s="23"/>
    </row>
    <row r="838" spans="1:15" s="12" customFormat="1">
      <c r="A838" s="95">
        <v>45934</v>
      </c>
      <c r="B838" s="25" t="s">
        <v>16</v>
      </c>
      <c r="C838" s="69"/>
      <c r="D838" s="99"/>
      <c r="E838" s="87">
        <f t="shared" ref="E838:E869" si="131">E837-C838+D838</f>
        <v>-16491</v>
      </c>
      <c r="G838" s="64"/>
      <c r="H838" s="63"/>
      <c r="I838" s="27"/>
      <c r="J838" s="28"/>
      <c r="K838" s="43"/>
      <c r="L838" s="29">
        <f t="shared" ref="L838:L869" si="132">L837-G838+K838</f>
        <v>-560</v>
      </c>
      <c r="M838" s="29">
        <f t="shared" ref="M838:M869" si="133">M837-G838+H838</f>
        <v>0</v>
      </c>
      <c r="N838" s="29"/>
      <c r="O838" s="29"/>
    </row>
    <row r="839" spans="1:15" s="12" customFormat="1">
      <c r="A839" s="95">
        <v>45935</v>
      </c>
      <c r="B839" s="25" t="s">
        <v>17</v>
      </c>
      <c r="C839" s="69"/>
      <c r="D839" s="99"/>
      <c r="E839" s="87">
        <f t="shared" si="131"/>
        <v>-16491</v>
      </c>
      <c r="G839" s="64"/>
      <c r="H839" s="63"/>
      <c r="I839" s="27"/>
      <c r="J839" s="28"/>
      <c r="K839" s="43"/>
      <c r="L839" s="29">
        <f t="shared" si="132"/>
        <v>-560</v>
      </c>
      <c r="M839" s="29">
        <f t="shared" si="133"/>
        <v>0</v>
      </c>
      <c r="N839" s="29"/>
      <c r="O839" s="29"/>
    </row>
    <row r="840" spans="1:15">
      <c r="A840" s="96">
        <v>45936</v>
      </c>
      <c r="B840" s="17" t="s">
        <v>18</v>
      </c>
      <c r="C840" s="68">
        <f>G842</f>
        <v>56</v>
      </c>
      <c r="D840" s="100"/>
      <c r="E840" s="22">
        <f t="shared" si="131"/>
        <v>-16547</v>
      </c>
      <c r="G840" s="19">
        <v>72</v>
      </c>
      <c r="H840" s="62">
        <f t="shared" ref="H840:H865" si="134">IF(C838&lt;&gt;"",C838+I840,IF(C836&lt;&gt;"",C836+I840,IF(C835&lt;&gt;"",C835+I840,IF(C834&lt;&gt;"",C834+I840,IF(C833&lt;&gt;"",C833+I840,IF(C832&lt;&gt;"",C832+I840))))))</f>
        <v>72</v>
      </c>
      <c r="I840" s="20"/>
      <c r="J840" s="21"/>
      <c r="K840" s="42"/>
      <c r="L840" s="23">
        <f t="shared" si="132"/>
        <v>-632</v>
      </c>
      <c r="M840" s="23">
        <f t="shared" si="133"/>
        <v>0</v>
      </c>
      <c r="N840" s="23"/>
      <c r="O840" s="23"/>
    </row>
    <row r="841" spans="1:15">
      <c r="A841" s="96">
        <v>45937</v>
      </c>
      <c r="B841" s="17" t="s">
        <v>19</v>
      </c>
      <c r="C841" s="68">
        <f t="shared" ref="C841:C842" si="135">G843</f>
        <v>56</v>
      </c>
      <c r="D841" s="100"/>
      <c r="E841" s="22">
        <f t="shared" si="131"/>
        <v>-16603</v>
      </c>
      <c r="G841" s="19">
        <v>64</v>
      </c>
      <c r="H841" s="62">
        <f t="shared" si="134"/>
        <v>64</v>
      </c>
      <c r="I841" s="20"/>
      <c r="J841" s="21"/>
      <c r="K841" s="42"/>
      <c r="L841" s="23">
        <f t="shared" si="132"/>
        <v>-696</v>
      </c>
      <c r="M841" s="23">
        <f t="shared" si="133"/>
        <v>0</v>
      </c>
      <c r="N841" s="23"/>
      <c r="O841" s="23"/>
    </row>
    <row r="842" spans="1:15">
      <c r="A842" s="96">
        <v>45938</v>
      </c>
      <c r="B842" s="17" t="s">
        <v>20</v>
      </c>
      <c r="C842" s="68">
        <f t="shared" si="135"/>
        <v>72</v>
      </c>
      <c r="D842" s="100"/>
      <c r="E842" s="22">
        <f t="shared" si="131"/>
        <v>-16675</v>
      </c>
      <c r="G842" s="19">
        <v>56</v>
      </c>
      <c r="H842" s="62">
        <f t="shared" si="134"/>
        <v>56</v>
      </c>
      <c r="I842" s="20"/>
      <c r="J842" s="21"/>
      <c r="K842" s="42"/>
      <c r="L842" s="23">
        <f t="shared" si="132"/>
        <v>-752</v>
      </c>
      <c r="M842" s="23">
        <f t="shared" si="133"/>
        <v>0</v>
      </c>
      <c r="N842" s="23"/>
      <c r="O842" s="23"/>
    </row>
    <row r="843" spans="1:15">
      <c r="A843" s="96">
        <v>45939</v>
      </c>
      <c r="B843" s="17" t="s">
        <v>14</v>
      </c>
      <c r="C843" s="68">
        <f>G848</f>
        <v>48</v>
      </c>
      <c r="D843" s="100"/>
      <c r="E843" s="22">
        <f t="shared" si="131"/>
        <v>-16723</v>
      </c>
      <c r="G843" s="19">
        <v>56</v>
      </c>
      <c r="H843" s="62">
        <f t="shared" si="134"/>
        <v>56</v>
      </c>
      <c r="I843" s="20"/>
      <c r="J843" s="21"/>
      <c r="K843" s="42"/>
      <c r="L843" s="23">
        <f t="shared" si="132"/>
        <v>-808</v>
      </c>
      <c r="M843" s="23">
        <f t="shared" si="133"/>
        <v>0</v>
      </c>
      <c r="N843" s="23"/>
      <c r="O843" s="23"/>
    </row>
    <row r="844" spans="1:15">
      <c r="A844" s="96">
        <v>45940</v>
      </c>
      <c r="B844" s="17" t="s">
        <v>15</v>
      </c>
      <c r="C844" s="68">
        <f>G849</f>
        <v>56</v>
      </c>
      <c r="D844" s="100"/>
      <c r="E844" s="22">
        <f t="shared" si="131"/>
        <v>-16779</v>
      </c>
      <c r="G844" s="19">
        <v>72</v>
      </c>
      <c r="H844" s="62">
        <f t="shared" si="134"/>
        <v>72</v>
      </c>
      <c r="I844" s="20"/>
      <c r="J844" s="21"/>
      <c r="K844" s="42"/>
      <c r="L844" s="23">
        <f t="shared" si="132"/>
        <v>-880</v>
      </c>
      <c r="M844" s="23">
        <f t="shared" si="133"/>
        <v>0</v>
      </c>
      <c r="N844" s="23"/>
      <c r="O844" s="23"/>
    </row>
    <row r="845" spans="1:15" s="12" customFormat="1">
      <c r="A845" s="95">
        <v>45941</v>
      </c>
      <c r="B845" s="25" t="s">
        <v>16</v>
      </c>
      <c r="C845" s="69"/>
      <c r="D845" s="99"/>
      <c r="E845" s="87">
        <f t="shared" si="131"/>
        <v>-16779</v>
      </c>
      <c r="G845" s="64"/>
      <c r="H845" s="63"/>
      <c r="I845" s="27"/>
      <c r="J845" s="28"/>
      <c r="K845" s="43"/>
      <c r="L845" s="29">
        <f t="shared" si="132"/>
        <v>-880</v>
      </c>
      <c r="M845" s="29">
        <f t="shared" si="133"/>
        <v>0</v>
      </c>
      <c r="N845" s="29"/>
      <c r="O845" s="29"/>
    </row>
    <row r="846" spans="1:15" s="12" customFormat="1">
      <c r="A846" s="95">
        <v>45942</v>
      </c>
      <c r="B846" s="25" t="s">
        <v>17</v>
      </c>
      <c r="C846" s="69"/>
      <c r="D846" s="99"/>
      <c r="E846" s="87">
        <f t="shared" si="131"/>
        <v>-16779</v>
      </c>
      <c r="G846" s="64"/>
      <c r="H846" s="63"/>
      <c r="I846" s="27"/>
      <c r="J846" s="28"/>
      <c r="K846" s="43"/>
      <c r="L846" s="29">
        <f t="shared" si="132"/>
        <v>-880</v>
      </c>
      <c r="M846" s="29">
        <f t="shared" si="133"/>
        <v>0</v>
      </c>
      <c r="N846" s="29"/>
      <c r="O846" s="29"/>
    </row>
    <row r="847" spans="1:15" s="12" customFormat="1">
      <c r="A847" s="95">
        <v>45943</v>
      </c>
      <c r="B847" s="25" t="s">
        <v>18</v>
      </c>
      <c r="C847" s="69"/>
      <c r="D847" s="99"/>
      <c r="E847" s="87">
        <f t="shared" si="131"/>
        <v>-16779</v>
      </c>
      <c r="G847" s="64"/>
      <c r="H847" s="63"/>
      <c r="I847" s="27"/>
      <c r="J847" s="28"/>
      <c r="K847" s="43"/>
      <c r="L847" s="29">
        <f t="shared" si="132"/>
        <v>-880</v>
      </c>
      <c r="M847" s="29">
        <f t="shared" si="133"/>
        <v>0</v>
      </c>
      <c r="N847" s="29"/>
      <c r="O847" s="29"/>
    </row>
    <row r="848" spans="1:15">
      <c r="A848" s="96">
        <v>45944</v>
      </c>
      <c r="B848" s="17" t="s">
        <v>19</v>
      </c>
      <c r="C848" s="68">
        <f t="shared" ref="C848:C849" si="136">G850</f>
        <v>56</v>
      </c>
      <c r="D848" s="100"/>
      <c r="E848" s="22">
        <f t="shared" si="131"/>
        <v>-16835</v>
      </c>
      <c r="G848" s="19">
        <v>48</v>
      </c>
      <c r="H848" s="62">
        <f>C843</f>
        <v>48</v>
      </c>
      <c r="I848" s="20"/>
      <c r="J848" s="21"/>
      <c r="K848" s="42"/>
      <c r="L848" s="23">
        <f t="shared" si="132"/>
        <v>-928</v>
      </c>
      <c r="M848" s="23">
        <f t="shared" si="133"/>
        <v>0</v>
      </c>
      <c r="N848" s="23"/>
      <c r="O848" s="23"/>
    </row>
    <row r="849" spans="1:15">
      <c r="A849" s="96">
        <v>45945</v>
      </c>
      <c r="B849" s="17" t="s">
        <v>20</v>
      </c>
      <c r="C849" s="68">
        <f t="shared" si="136"/>
        <v>48</v>
      </c>
      <c r="D849" s="100"/>
      <c r="E849" s="22">
        <f t="shared" si="131"/>
        <v>-16883</v>
      </c>
      <c r="G849" s="19">
        <v>56</v>
      </c>
      <c r="H849" s="62">
        <f>C844</f>
        <v>56</v>
      </c>
      <c r="I849" s="20"/>
      <c r="J849" s="21"/>
      <c r="K849" s="42"/>
      <c r="L849" s="23">
        <f t="shared" si="132"/>
        <v>-984</v>
      </c>
      <c r="M849" s="23">
        <f t="shared" si="133"/>
        <v>0</v>
      </c>
      <c r="N849" s="23"/>
      <c r="O849" s="23"/>
    </row>
    <row r="850" spans="1:15">
      <c r="A850" s="96">
        <v>45946</v>
      </c>
      <c r="B850" s="17" t="s">
        <v>14</v>
      </c>
      <c r="C850" s="68">
        <f>G854</f>
        <v>72</v>
      </c>
      <c r="D850" s="100"/>
      <c r="E850" s="22">
        <f t="shared" si="131"/>
        <v>-16955</v>
      </c>
      <c r="G850" s="19">
        <v>56</v>
      </c>
      <c r="H850" s="62">
        <f t="shared" si="134"/>
        <v>56</v>
      </c>
      <c r="I850" s="20"/>
      <c r="J850" s="21"/>
      <c r="K850" s="42"/>
      <c r="L850" s="23">
        <f t="shared" si="132"/>
        <v>-1040</v>
      </c>
      <c r="M850" s="23">
        <f t="shared" si="133"/>
        <v>0</v>
      </c>
      <c r="N850" s="23"/>
      <c r="O850" s="23"/>
    </row>
    <row r="851" spans="1:15">
      <c r="A851" s="96">
        <v>45947</v>
      </c>
      <c r="B851" s="17" t="s">
        <v>15</v>
      </c>
      <c r="C851" s="68">
        <f>G855</f>
        <v>72</v>
      </c>
      <c r="D851" s="100"/>
      <c r="E851" s="22">
        <f t="shared" si="131"/>
        <v>-17027</v>
      </c>
      <c r="G851" s="19">
        <v>48</v>
      </c>
      <c r="H851" s="62">
        <f t="shared" si="134"/>
        <v>48</v>
      </c>
      <c r="I851" s="20"/>
      <c r="J851" s="21"/>
      <c r="K851" s="42"/>
      <c r="L851" s="23">
        <f t="shared" si="132"/>
        <v>-1088</v>
      </c>
      <c r="M851" s="23">
        <f t="shared" si="133"/>
        <v>0</v>
      </c>
      <c r="N851" s="23"/>
      <c r="O851" s="23"/>
    </row>
    <row r="852" spans="1:15" s="12" customFormat="1">
      <c r="A852" s="95">
        <v>45948</v>
      </c>
      <c r="B852" s="25" t="s">
        <v>16</v>
      </c>
      <c r="C852" s="69"/>
      <c r="D852" s="99"/>
      <c r="E852" s="87">
        <f t="shared" si="131"/>
        <v>-17027</v>
      </c>
      <c r="G852" s="64"/>
      <c r="H852" s="63"/>
      <c r="I852" s="27"/>
      <c r="J852" s="28"/>
      <c r="K852" s="43"/>
      <c r="L852" s="29">
        <f t="shared" si="132"/>
        <v>-1088</v>
      </c>
      <c r="M852" s="29">
        <f t="shared" si="133"/>
        <v>0</v>
      </c>
      <c r="N852" s="29"/>
      <c r="O852" s="29"/>
    </row>
    <row r="853" spans="1:15" s="12" customFormat="1">
      <c r="A853" s="95">
        <v>45949</v>
      </c>
      <c r="B853" s="25" t="s">
        <v>17</v>
      </c>
      <c r="C853" s="69"/>
      <c r="D853" s="99"/>
      <c r="E853" s="87">
        <f t="shared" si="131"/>
        <v>-17027</v>
      </c>
      <c r="G853" s="64"/>
      <c r="H853" s="63"/>
      <c r="I853" s="27"/>
      <c r="J853" s="28"/>
      <c r="K853" s="43"/>
      <c r="L853" s="29">
        <f t="shared" si="132"/>
        <v>-1088</v>
      </c>
      <c r="M853" s="29">
        <f t="shared" si="133"/>
        <v>0</v>
      </c>
      <c r="N853" s="29"/>
      <c r="O853" s="29"/>
    </row>
    <row r="854" spans="1:15">
      <c r="A854" s="96">
        <v>45950</v>
      </c>
      <c r="B854" s="17" t="s">
        <v>18</v>
      </c>
      <c r="C854" s="68">
        <f t="shared" ref="C854:C856" si="137">G856</f>
        <v>56</v>
      </c>
      <c r="D854" s="100"/>
      <c r="E854" s="22">
        <f t="shared" si="131"/>
        <v>-17083</v>
      </c>
      <c r="G854" s="19">
        <v>72</v>
      </c>
      <c r="H854" s="62">
        <f t="shared" si="134"/>
        <v>72</v>
      </c>
      <c r="I854" s="20"/>
      <c r="J854" s="21"/>
      <c r="K854" s="42"/>
      <c r="L854" s="23">
        <f t="shared" si="132"/>
        <v>-1160</v>
      </c>
      <c r="M854" s="23">
        <f t="shared" si="133"/>
        <v>0</v>
      </c>
      <c r="N854" s="23"/>
      <c r="O854" s="23"/>
    </row>
    <row r="855" spans="1:15">
      <c r="A855" s="96">
        <v>45951</v>
      </c>
      <c r="B855" s="17" t="s">
        <v>19</v>
      </c>
      <c r="C855" s="68">
        <f t="shared" si="137"/>
        <v>72</v>
      </c>
      <c r="D855" s="100"/>
      <c r="E855" s="22">
        <f t="shared" si="131"/>
        <v>-17155</v>
      </c>
      <c r="G855" s="19">
        <v>72</v>
      </c>
      <c r="H855" s="62">
        <f t="shared" si="134"/>
        <v>72</v>
      </c>
      <c r="I855" s="20"/>
      <c r="J855" s="21"/>
      <c r="K855" s="42"/>
      <c r="L855" s="23">
        <f t="shared" si="132"/>
        <v>-1232</v>
      </c>
      <c r="M855" s="23">
        <f t="shared" si="133"/>
        <v>0</v>
      </c>
      <c r="N855" s="23"/>
      <c r="O855" s="23"/>
    </row>
    <row r="856" spans="1:15">
      <c r="A856" s="96">
        <v>45952</v>
      </c>
      <c r="B856" s="17" t="s">
        <v>20</v>
      </c>
      <c r="C856" s="68">
        <f t="shared" si="137"/>
        <v>64</v>
      </c>
      <c r="D856" s="100"/>
      <c r="E856" s="22">
        <f t="shared" si="131"/>
        <v>-17219</v>
      </c>
      <c r="G856" s="19">
        <v>56</v>
      </c>
      <c r="H856" s="62">
        <f t="shared" si="134"/>
        <v>56</v>
      </c>
      <c r="I856" s="20"/>
      <c r="J856" s="21"/>
      <c r="K856" s="42"/>
      <c r="L856" s="23">
        <f t="shared" si="132"/>
        <v>-1288</v>
      </c>
      <c r="M856" s="23">
        <f t="shared" si="133"/>
        <v>0</v>
      </c>
      <c r="N856" s="23"/>
      <c r="O856" s="23"/>
    </row>
    <row r="857" spans="1:15">
      <c r="A857" s="96">
        <v>45953</v>
      </c>
      <c r="B857" s="17" t="s">
        <v>14</v>
      </c>
      <c r="C857" s="68">
        <f>G861</f>
        <v>48</v>
      </c>
      <c r="D857" s="100"/>
      <c r="E857" s="22">
        <f t="shared" si="131"/>
        <v>-17267</v>
      </c>
      <c r="G857" s="19">
        <v>72</v>
      </c>
      <c r="H857" s="62">
        <f t="shared" si="134"/>
        <v>72</v>
      </c>
      <c r="I857" s="20"/>
      <c r="J857" s="21"/>
      <c r="K857" s="42"/>
      <c r="L857" s="23">
        <f t="shared" si="132"/>
        <v>-1360</v>
      </c>
      <c r="M857" s="23">
        <f t="shared" si="133"/>
        <v>0</v>
      </c>
      <c r="N857" s="23"/>
      <c r="O857" s="23"/>
    </row>
    <row r="858" spans="1:15">
      <c r="A858" s="96">
        <v>45954</v>
      </c>
      <c r="B858" s="17" t="s">
        <v>15</v>
      </c>
      <c r="C858" s="68">
        <f>G862</f>
        <v>64</v>
      </c>
      <c r="D858" s="100"/>
      <c r="E858" s="22">
        <f t="shared" si="131"/>
        <v>-17331</v>
      </c>
      <c r="G858" s="19">
        <v>64</v>
      </c>
      <c r="H858" s="62">
        <f t="shared" si="134"/>
        <v>64</v>
      </c>
      <c r="I858" s="20"/>
      <c r="J858" s="21"/>
      <c r="K858" s="42"/>
      <c r="L858" s="23">
        <f t="shared" si="132"/>
        <v>-1424</v>
      </c>
      <c r="M858" s="23">
        <f t="shared" si="133"/>
        <v>0</v>
      </c>
      <c r="N858" s="23"/>
      <c r="O858" s="23"/>
    </row>
    <row r="859" spans="1:15" s="12" customFormat="1">
      <c r="A859" s="95">
        <v>45955</v>
      </c>
      <c r="B859" s="25" t="s">
        <v>16</v>
      </c>
      <c r="C859" s="69"/>
      <c r="D859" s="99"/>
      <c r="E859" s="87">
        <f t="shared" si="131"/>
        <v>-17331</v>
      </c>
      <c r="G859" s="64"/>
      <c r="H859" s="63"/>
      <c r="I859" s="27"/>
      <c r="J859" s="28"/>
      <c r="K859" s="43"/>
      <c r="L859" s="29">
        <f t="shared" si="132"/>
        <v>-1424</v>
      </c>
      <c r="M859" s="29">
        <f t="shared" si="133"/>
        <v>0</v>
      </c>
      <c r="N859" s="29"/>
      <c r="O859" s="29"/>
    </row>
    <row r="860" spans="1:15" s="12" customFormat="1">
      <c r="A860" s="95">
        <v>45956</v>
      </c>
      <c r="B860" s="25" t="s">
        <v>17</v>
      </c>
      <c r="C860" s="69"/>
      <c r="D860" s="99"/>
      <c r="E860" s="87">
        <f t="shared" si="131"/>
        <v>-17331</v>
      </c>
      <c r="G860" s="64"/>
      <c r="H860" s="63"/>
      <c r="I860" s="27"/>
      <c r="J860" s="28"/>
      <c r="K860" s="43"/>
      <c r="L860" s="29">
        <f t="shared" si="132"/>
        <v>-1424</v>
      </c>
      <c r="M860" s="29">
        <f t="shared" si="133"/>
        <v>0</v>
      </c>
      <c r="N860" s="29"/>
      <c r="O860" s="29"/>
    </row>
    <row r="861" spans="1:15">
      <c r="A861" s="96">
        <v>45957</v>
      </c>
      <c r="B861" s="17" t="s">
        <v>18</v>
      </c>
      <c r="C861" s="68">
        <f t="shared" ref="C861:C863" si="138">G863</f>
        <v>56</v>
      </c>
      <c r="D861" s="100"/>
      <c r="E861" s="22">
        <f t="shared" si="131"/>
        <v>-17387</v>
      </c>
      <c r="G861" s="19">
        <v>48</v>
      </c>
      <c r="H861" s="62">
        <f t="shared" si="134"/>
        <v>48</v>
      </c>
      <c r="I861" s="20"/>
      <c r="J861" s="21"/>
      <c r="K861" s="42"/>
      <c r="L861" s="23">
        <f t="shared" si="132"/>
        <v>-1472</v>
      </c>
      <c r="M861" s="23">
        <f t="shared" si="133"/>
        <v>0</v>
      </c>
      <c r="N861" s="23"/>
      <c r="O861" s="23"/>
    </row>
    <row r="862" spans="1:15">
      <c r="A862" s="96">
        <v>45958</v>
      </c>
      <c r="B862" s="17" t="s">
        <v>19</v>
      </c>
      <c r="C862" s="68">
        <f t="shared" si="138"/>
        <v>56</v>
      </c>
      <c r="D862" s="100"/>
      <c r="E862" s="22">
        <f t="shared" si="131"/>
        <v>-17443</v>
      </c>
      <c r="G862" s="19">
        <v>64</v>
      </c>
      <c r="H862" s="62">
        <f t="shared" si="134"/>
        <v>64</v>
      </c>
      <c r="I862" s="20"/>
      <c r="J862" s="21"/>
      <c r="K862" s="42"/>
      <c r="L862" s="23">
        <f t="shared" si="132"/>
        <v>-1536</v>
      </c>
      <c r="M862" s="23">
        <f t="shared" si="133"/>
        <v>0</v>
      </c>
      <c r="N862" s="23"/>
      <c r="O862" s="23"/>
    </row>
    <row r="863" spans="1:15">
      <c r="A863" s="96">
        <v>45959</v>
      </c>
      <c r="B863" s="17" t="s">
        <v>20</v>
      </c>
      <c r="C863" s="68">
        <f t="shared" si="138"/>
        <v>56</v>
      </c>
      <c r="D863" s="100"/>
      <c r="E863" s="22">
        <f t="shared" si="131"/>
        <v>-17499</v>
      </c>
      <c r="G863" s="19">
        <v>56</v>
      </c>
      <c r="H863" s="62">
        <f t="shared" si="134"/>
        <v>56</v>
      </c>
      <c r="I863" s="20"/>
      <c r="J863" s="21"/>
      <c r="K863" s="42"/>
      <c r="L863" s="23">
        <f t="shared" si="132"/>
        <v>-1592</v>
      </c>
      <c r="M863" s="23">
        <f t="shared" si="133"/>
        <v>0</v>
      </c>
      <c r="N863" s="23"/>
      <c r="O863" s="23"/>
    </row>
    <row r="864" spans="1:15">
      <c r="A864" s="96">
        <v>45960</v>
      </c>
      <c r="B864" s="17" t="s">
        <v>14</v>
      </c>
      <c r="C864" s="68">
        <f>G869</f>
        <v>64</v>
      </c>
      <c r="D864" s="100"/>
      <c r="E864" s="22">
        <f t="shared" si="131"/>
        <v>-17563</v>
      </c>
      <c r="G864" s="19">
        <v>56</v>
      </c>
      <c r="H864" s="62">
        <f t="shared" si="134"/>
        <v>56</v>
      </c>
      <c r="I864" s="20"/>
      <c r="J864" s="21"/>
      <c r="K864" s="42"/>
      <c r="L864" s="23">
        <f t="shared" si="132"/>
        <v>-1648</v>
      </c>
      <c r="M864" s="23">
        <f t="shared" si="133"/>
        <v>0</v>
      </c>
      <c r="N864" s="23"/>
      <c r="O864" s="23"/>
    </row>
    <row r="865" spans="1:15">
      <c r="A865" s="96">
        <v>45961</v>
      </c>
      <c r="B865" s="17" t="s">
        <v>15</v>
      </c>
      <c r="C865" s="68">
        <f>G870</f>
        <v>56</v>
      </c>
      <c r="D865" s="100"/>
      <c r="E865" s="22">
        <f t="shared" si="131"/>
        <v>-17619</v>
      </c>
      <c r="G865" s="19">
        <v>56</v>
      </c>
      <c r="H865" s="62">
        <f t="shared" si="134"/>
        <v>56</v>
      </c>
      <c r="I865" s="20"/>
      <c r="J865" s="21"/>
      <c r="K865" s="42"/>
      <c r="L865" s="23">
        <f t="shared" si="132"/>
        <v>-1704</v>
      </c>
      <c r="M865" s="23">
        <f t="shared" si="133"/>
        <v>0</v>
      </c>
      <c r="N865" s="23"/>
      <c r="O865" s="23"/>
    </row>
    <row r="866" spans="1:15" s="12" customFormat="1">
      <c r="A866" s="95">
        <v>45962</v>
      </c>
      <c r="B866" s="25" t="s">
        <v>16</v>
      </c>
      <c r="C866" s="69"/>
      <c r="D866" s="99"/>
      <c r="E866" s="87">
        <f t="shared" si="131"/>
        <v>-17619</v>
      </c>
      <c r="G866" s="64"/>
      <c r="H866" s="63"/>
      <c r="I866" s="27"/>
      <c r="J866" s="28"/>
      <c r="K866" s="43"/>
      <c r="L866" s="29">
        <f t="shared" si="132"/>
        <v>-1704</v>
      </c>
      <c r="M866" s="29">
        <f t="shared" si="133"/>
        <v>0</v>
      </c>
      <c r="N866" s="29"/>
      <c r="O866" s="29"/>
    </row>
    <row r="867" spans="1:15" s="12" customFormat="1">
      <c r="A867" s="95">
        <v>45963</v>
      </c>
      <c r="B867" s="25" t="s">
        <v>17</v>
      </c>
      <c r="C867" s="69"/>
      <c r="D867" s="99"/>
      <c r="E867" s="87">
        <f t="shared" si="131"/>
        <v>-17619</v>
      </c>
      <c r="G867" s="64"/>
      <c r="H867" s="63"/>
      <c r="I867" s="27"/>
      <c r="J867" s="28"/>
      <c r="K867" s="43"/>
      <c r="L867" s="29">
        <f t="shared" si="132"/>
        <v>-1704</v>
      </c>
      <c r="M867" s="29">
        <f t="shared" si="133"/>
        <v>0</v>
      </c>
      <c r="N867" s="29"/>
      <c r="O867" s="29"/>
    </row>
    <row r="868" spans="1:15" s="12" customFormat="1">
      <c r="A868" s="95">
        <v>45964</v>
      </c>
      <c r="B868" s="25" t="s">
        <v>18</v>
      </c>
      <c r="C868" s="69"/>
      <c r="D868" s="99"/>
      <c r="E868" s="87">
        <f t="shared" si="131"/>
        <v>-17619</v>
      </c>
      <c r="G868" s="64"/>
      <c r="H868" s="63"/>
      <c r="I868" s="27"/>
      <c r="J868" s="28"/>
      <c r="K868" s="43"/>
      <c r="L868" s="29">
        <f t="shared" si="132"/>
        <v>-1704</v>
      </c>
      <c r="M868" s="29">
        <f t="shared" si="133"/>
        <v>0</v>
      </c>
      <c r="N868" s="29"/>
      <c r="O868" s="29"/>
    </row>
    <row r="869" spans="1:15">
      <c r="A869" s="96">
        <v>45965</v>
      </c>
      <c r="B869" s="17" t="s">
        <v>19</v>
      </c>
      <c r="C869" s="68">
        <f t="shared" ref="C869:C870" si="139">G871</f>
        <v>56</v>
      </c>
      <c r="D869" s="100"/>
      <c r="E869" s="22">
        <f t="shared" si="131"/>
        <v>-17675</v>
      </c>
      <c r="G869" s="19">
        <v>64</v>
      </c>
      <c r="H869" s="62">
        <f>C864</f>
        <v>64</v>
      </c>
      <c r="I869" s="20"/>
      <c r="J869" s="21"/>
      <c r="K869" s="42"/>
      <c r="L869" s="23">
        <f t="shared" si="132"/>
        <v>-1768</v>
      </c>
      <c r="M869" s="23">
        <f t="shared" si="133"/>
        <v>0</v>
      </c>
      <c r="N869" s="23"/>
      <c r="O869" s="23"/>
    </row>
    <row r="870" spans="1:15">
      <c r="A870" s="96">
        <v>45966</v>
      </c>
      <c r="B870" s="17" t="s">
        <v>20</v>
      </c>
      <c r="C870" s="68">
        <f t="shared" si="139"/>
        <v>56</v>
      </c>
      <c r="D870" s="100"/>
      <c r="E870" s="22">
        <f t="shared" ref="E870:E901" si="140">E869-C870+D870</f>
        <v>-17731</v>
      </c>
      <c r="G870" s="19">
        <v>56</v>
      </c>
      <c r="H870" s="62">
        <f t="shared" ref="H870:H901" si="141">IF(C868&lt;&gt;"",C868+I870,IF(C866&lt;&gt;"",C866+I870,IF(C865&lt;&gt;"",C865+I870,IF(C864&lt;&gt;"",C864+I870,IF(C863&lt;&gt;"",C863+I870,IF(C862&lt;&gt;"",C862+I870))))))</f>
        <v>56</v>
      </c>
      <c r="I870" s="20"/>
      <c r="J870" s="21"/>
      <c r="K870" s="42"/>
      <c r="L870" s="23">
        <f t="shared" ref="L870:L901" si="142">L869-G870+K870</f>
        <v>-1824</v>
      </c>
      <c r="M870" s="23">
        <f t="shared" ref="M870:M901" si="143">M869-G870+H870</f>
        <v>0</v>
      </c>
      <c r="N870" s="23"/>
      <c r="O870" s="23"/>
    </row>
    <row r="871" spans="1:15">
      <c r="A871" s="96">
        <v>45967</v>
      </c>
      <c r="B871" s="17" t="s">
        <v>14</v>
      </c>
      <c r="C871" s="68">
        <f>G875</f>
        <v>56</v>
      </c>
      <c r="D871" s="100"/>
      <c r="E871" s="22">
        <f t="shared" si="140"/>
        <v>-17787</v>
      </c>
      <c r="G871" s="19">
        <v>56</v>
      </c>
      <c r="H871" s="62">
        <f t="shared" si="141"/>
        <v>56</v>
      </c>
      <c r="I871" s="20"/>
      <c r="J871" s="21"/>
      <c r="K871" s="42"/>
      <c r="L871" s="23">
        <f t="shared" si="142"/>
        <v>-1880</v>
      </c>
      <c r="M871" s="23">
        <f t="shared" si="143"/>
        <v>0</v>
      </c>
      <c r="N871" s="23"/>
      <c r="O871" s="23"/>
    </row>
    <row r="872" spans="1:15">
      <c r="A872" s="96">
        <v>45968</v>
      </c>
      <c r="B872" s="17" t="s">
        <v>15</v>
      </c>
      <c r="C872" s="68">
        <f>G876</f>
        <v>56</v>
      </c>
      <c r="D872" s="100"/>
      <c r="E872" s="22">
        <f t="shared" si="140"/>
        <v>-17843</v>
      </c>
      <c r="G872" s="19">
        <v>56</v>
      </c>
      <c r="H872" s="62">
        <f t="shared" si="141"/>
        <v>56</v>
      </c>
      <c r="I872" s="20"/>
      <c r="J872" s="21"/>
      <c r="K872" s="42"/>
      <c r="L872" s="23">
        <f t="shared" si="142"/>
        <v>-1936</v>
      </c>
      <c r="M872" s="23">
        <f t="shared" si="143"/>
        <v>0</v>
      </c>
      <c r="N872" s="23"/>
      <c r="O872" s="23"/>
    </row>
    <row r="873" spans="1:15" s="12" customFormat="1">
      <c r="A873" s="95">
        <v>45969</v>
      </c>
      <c r="B873" s="25" t="s">
        <v>16</v>
      </c>
      <c r="C873" s="69"/>
      <c r="D873" s="99"/>
      <c r="E873" s="87">
        <f t="shared" si="140"/>
        <v>-17843</v>
      </c>
      <c r="G873" s="64"/>
      <c r="H873" s="63"/>
      <c r="I873" s="27"/>
      <c r="J873" s="28"/>
      <c r="K873" s="43"/>
      <c r="L873" s="29">
        <f t="shared" si="142"/>
        <v>-1936</v>
      </c>
      <c r="M873" s="29">
        <f t="shared" si="143"/>
        <v>0</v>
      </c>
      <c r="N873" s="29"/>
      <c r="O873" s="29"/>
    </row>
    <row r="874" spans="1:15" s="12" customFormat="1">
      <c r="A874" s="95">
        <v>45970</v>
      </c>
      <c r="B874" s="25" t="s">
        <v>17</v>
      </c>
      <c r="C874" s="69"/>
      <c r="D874" s="99"/>
      <c r="E874" s="87">
        <f t="shared" si="140"/>
        <v>-17843</v>
      </c>
      <c r="G874" s="64"/>
      <c r="H874" s="63"/>
      <c r="I874" s="27"/>
      <c r="J874" s="28"/>
      <c r="K874" s="43"/>
      <c r="L874" s="29">
        <f t="shared" si="142"/>
        <v>-1936</v>
      </c>
      <c r="M874" s="29">
        <f t="shared" si="143"/>
        <v>0</v>
      </c>
      <c r="N874" s="29"/>
      <c r="O874" s="29"/>
    </row>
    <row r="875" spans="1:15">
      <c r="A875" s="96">
        <v>45971</v>
      </c>
      <c r="B875" s="17" t="s">
        <v>18</v>
      </c>
      <c r="C875" s="68">
        <f t="shared" ref="C875:C877" si="144">G877</f>
        <v>64</v>
      </c>
      <c r="D875" s="100"/>
      <c r="E875" s="22">
        <f t="shared" si="140"/>
        <v>-17907</v>
      </c>
      <c r="G875" s="19">
        <v>56</v>
      </c>
      <c r="H875" s="62">
        <f t="shared" si="141"/>
        <v>56</v>
      </c>
      <c r="I875" s="20"/>
      <c r="J875" s="21"/>
      <c r="K875" s="42"/>
      <c r="L875" s="23">
        <f t="shared" si="142"/>
        <v>-1992</v>
      </c>
      <c r="M875" s="23">
        <f t="shared" si="143"/>
        <v>0</v>
      </c>
      <c r="N875" s="23"/>
      <c r="O875" s="23"/>
    </row>
    <row r="876" spans="1:15">
      <c r="A876" s="96">
        <v>45972</v>
      </c>
      <c r="B876" s="17" t="s">
        <v>19</v>
      </c>
      <c r="C876" s="68">
        <f t="shared" si="144"/>
        <v>64</v>
      </c>
      <c r="D876" s="100"/>
      <c r="E876" s="22">
        <f t="shared" si="140"/>
        <v>-17971</v>
      </c>
      <c r="G876" s="19">
        <v>56</v>
      </c>
      <c r="H876" s="62">
        <f t="shared" si="141"/>
        <v>56</v>
      </c>
      <c r="I876" s="20"/>
      <c r="J876" s="21"/>
      <c r="K876" s="42"/>
      <c r="L876" s="23">
        <f t="shared" si="142"/>
        <v>-2048</v>
      </c>
      <c r="M876" s="23">
        <f t="shared" si="143"/>
        <v>0</v>
      </c>
      <c r="N876" s="23"/>
      <c r="O876" s="23"/>
    </row>
    <row r="877" spans="1:15">
      <c r="A877" s="96">
        <v>45973</v>
      </c>
      <c r="B877" s="17" t="s">
        <v>20</v>
      </c>
      <c r="C877" s="68">
        <f t="shared" si="144"/>
        <v>56</v>
      </c>
      <c r="D877" s="100"/>
      <c r="E877" s="22">
        <f t="shared" si="140"/>
        <v>-18027</v>
      </c>
      <c r="G877" s="19">
        <v>64</v>
      </c>
      <c r="H877" s="62">
        <f t="shared" si="141"/>
        <v>64</v>
      </c>
      <c r="I877" s="20"/>
      <c r="J877" s="21"/>
      <c r="K877" s="42"/>
      <c r="L877" s="23">
        <f t="shared" si="142"/>
        <v>-2112</v>
      </c>
      <c r="M877" s="23">
        <f t="shared" si="143"/>
        <v>0</v>
      </c>
      <c r="N877" s="23"/>
      <c r="O877" s="23"/>
    </row>
    <row r="878" spans="1:15">
      <c r="A878" s="96">
        <v>45974</v>
      </c>
      <c r="B878" s="17" t="s">
        <v>14</v>
      </c>
      <c r="C878" s="68">
        <f>G882</f>
        <v>72</v>
      </c>
      <c r="D878" s="100"/>
      <c r="E878" s="22">
        <f t="shared" si="140"/>
        <v>-18099</v>
      </c>
      <c r="G878" s="19">
        <v>64</v>
      </c>
      <c r="H878" s="62">
        <f t="shared" si="141"/>
        <v>64</v>
      </c>
      <c r="I878" s="20"/>
      <c r="J878" s="21"/>
      <c r="K878" s="42"/>
      <c r="L878" s="23">
        <f t="shared" si="142"/>
        <v>-2176</v>
      </c>
      <c r="M878" s="23">
        <f t="shared" si="143"/>
        <v>0</v>
      </c>
      <c r="N878" s="23"/>
      <c r="O878" s="23"/>
    </row>
    <row r="879" spans="1:15">
      <c r="A879" s="96">
        <v>45975</v>
      </c>
      <c r="B879" s="17" t="s">
        <v>15</v>
      </c>
      <c r="C879" s="68">
        <f>G883</f>
        <v>64</v>
      </c>
      <c r="D879" s="100"/>
      <c r="E879" s="22">
        <f t="shared" si="140"/>
        <v>-18163</v>
      </c>
      <c r="G879" s="19">
        <v>56</v>
      </c>
      <c r="H879" s="62">
        <f t="shared" si="141"/>
        <v>56</v>
      </c>
      <c r="I879" s="20"/>
      <c r="J879" s="21"/>
      <c r="K879" s="42"/>
      <c r="L879" s="23">
        <f t="shared" si="142"/>
        <v>-2232</v>
      </c>
      <c r="M879" s="23">
        <f t="shared" si="143"/>
        <v>0</v>
      </c>
      <c r="N879" s="23"/>
      <c r="O879" s="23"/>
    </row>
    <row r="880" spans="1:15" s="12" customFormat="1">
      <c r="A880" s="95">
        <v>45976</v>
      </c>
      <c r="B880" s="25" t="s">
        <v>16</v>
      </c>
      <c r="C880" s="69"/>
      <c r="D880" s="99"/>
      <c r="E880" s="87">
        <f t="shared" si="140"/>
        <v>-18163</v>
      </c>
      <c r="G880" s="64"/>
      <c r="H880" s="63"/>
      <c r="I880" s="27"/>
      <c r="J880" s="28"/>
      <c r="K880" s="43"/>
      <c r="L880" s="29">
        <f t="shared" si="142"/>
        <v>-2232</v>
      </c>
      <c r="M880" s="29">
        <f t="shared" si="143"/>
        <v>0</v>
      </c>
      <c r="N880" s="29"/>
      <c r="O880" s="29"/>
    </row>
    <row r="881" spans="1:15" s="12" customFormat="1">
      <c r="A881" s="95">
        <v>45977</v>
      </c>
      <c r="B881" s="25" t="s">
        <v>17</v>
      </c>
      <c r="C881" s="69"/>
      <c r="D881" s="99"/>
      <c r="E881" s="87">
        <f t="shared" si="140"/>
        <v>-18163</v>
      </c>
      <c r="G881" s="64"/>
      <c r="H881" s="63"/>
      <c r="I881" s="27"/>
      <c r="J881" s="28"/>
      <c r="K881" s="43"/>
      <c r="L881" s="29">
        <f t="shared" si="142"/>
        <v>-2232</v>
      </c>
      <c r="M881" s="29">
        <f t="shared" si="143"/>
        <v>0</v>
      </c>
      <c r="N881" s="29"/>
      <c r="O881" s="29"/>
    </row>
    <row r="882" spans="1:15">
      <c r="A882" s="96">
        <v>45978</v>
      </c>
      <c r="B882" s="17" t="s">
        <v>18</v>
      </c>
      <c r="C882" s="68">
        <f t="shared" ref="C882:C884" si="145">G884</f>
        <v>80</v>
      </c>
      <c r="D882" s="100"/>
      <c r="E882" s="22">
        <f t="shared" si="140"/>
        <v>-18243</v>
      </c>
      <c r="G882" s="19">
        <v>72</v>
      </c>
      <c r="H882" s="62">
        <f t="shared" si="141"/>
        <v>72</v>
      </c>
      <c r="I882" s="20"/>
      <c r="J882" s="21"/>
      <c r="K882" s="42"/>
      <c r="L882" s="23">
        <f t="shared" si="142"/>
        <v>-2304</v>
      </c>
      <c r="M882" s="23">
        <f t="shared" si="143"/>
        <v>0</v>
      </c>
      <c r="N882" s="23"/>
      <c r="O882" s="23"/>
    </row>
    <row r="883" spans="1:15">
      <c r="A883" s="96">
        <v>45979</v>
      </c>
      <c r="B883" s="17" t="s">
        <v>19</v>
      </c>
      <c r="C883" s="68">
        <f t="shared" si="145"/>
        <v>0</v>
      </c>
      <c r="D883" s="100"/>
      <c r="E883" s="22">
        <f t="shared" si="140"/>
        <v>-18243</v>
      </c>
      <c r="G883" s="19">
        <v>64</v>
      </c>
      <c r="H883" s="62">
        <f t="shared" si="141"/>
        <v>64</v>
      </c>
      <c r="I883" s="20"/>
      <c r="J883" s="21"/>
      <c r="K883" s="42"/>
      <c r="L883" s="23">
        <f t="shared" si="142"/>
        <v>-2368</v>
      </c>
      <c r="M883" s="23">
        <f t="shared" si="143"/>
        <v>0</v>
      </c>
      <c r="N883" s="23"/>
      <c r="O883" s="23"/>
    </row>
    <row r="884" spans="1:15">
      <c r="A884" s="96">
        <v>45980</v>
      </c>
      <c r="B884" s="17" t="s">
        <v>20</v>
      </c>
      <c r="C884" s="68">
        <f t="shared" si="145"/>
        <v>24</v>
      </c>
      <c r="D884" s="100"/>
      <c r="E884" s="22">
        <f t="shared" si="140"/>
        <v>-18267</v>
      </c>
      <c r="G884" s="19">
        <v>80</v>
      </c>
      <c r="H884" s="62">
        <f t="shared" si="141"/>
        <v>80</v>
      </c>
      <c r="I884" s="20"/>
      <c r="J884" s="21"/>
      <c r="K884" s="42"/>
      <c r="L884" s="23">
        <f t="shared" si="142"/>
        <v>-2448</v>
      </c>
      <c r="M884" s="23">
        <f t="shared" si="143"/>
        <v>0</v>
      </c>
      <c r="N884" s="23"/>
      <c r="O884" s="23"/>
    </row>
    <row r="885" spans="1:15">
      <c r="A885" s="96">
        <v>45981</v>
      </c>
      <c r="B885" s="17" t="s">
        <v>14</v>
      </c>
      <c r="C885" s="68">
        <f>G889</f>
        <v>56</v>
      </c>
      <c r="D885" s="100"/>
      <c r="E885" s="22">
        <f t="shared" si="140"/>
        <v>-18323</v>
      </c>
      <c r="G885" s="19">
        <v>0</v>
      </c>
      <c r="H885" s="62">
        <f t="shared" si="141"/>
        <v>0</v>
      </c>
      <c r="I885" s="20"/>
      <c r="J885" s="21"/>
      <c r="K885" s="42"/>
      <c r="L885" s="23">
        <f t="shared" si="142"/>
        <v>-2448</v>
      </c>
      <c r="M885" s="23">
        <f t="shared" si="143"/>
        <v>0</v>
      </c>
      <c r="N885" s="23"/>
      <c r="O885" s="23"/>
    </row>
    <row r="886" spans="1:15">
      <c r="A886" s="96">
        <v>45982</v>
      </c>
      <c r="B886" s="17" t="s">
        <v>15</v>
      </c>
      <c r="C886" s="68">
        <f>G890</f>
        <v>64</v>
      </c>
      <c r="D886" s="100"/>
      <c r="E886" s="22">
        <f t="shared" si="140"/>
        <v>-18387</v>
      </c>
      <c r="G886" s="19">
        <v>24</v>
      </c>
      <c r="H886" s="62">
        <f t="shared" si="141"/>
        <v>24</v>
      </c>
      <c r="I886" s="20"/>
      <c r="J886" s="21"/>
      <c r="K886" s="42"/>
      <c r="L886" s="23">
        <f t="shared" si="142"/>
        <v>-2472</v>
      </c>
      <c r="M886" s="23">
        <f t="shared" si="143"/>
        <v>0</v>
      </c>
      <c r="N886" s="23"/>
      <c r="O886" s="23"/>
    </row>
    <row r="887" spans="1:15" s="12" customFormat="1">
      <c r="A887" s="95">
        <v>45983</v>
      </c>
      <c r="B887" s="25" t="s">
        <v>16</v>
      </c>
      <c r="C887" s="69"/>
      <c r="D887" s="99"/>
      <c r="E887" s="87">
        <f t="shared" si="140"/>
        <v>-18387</v>
      </c>
      <c r="G887" s="64"/>
      <c r="H887" s="63"/>
      <c r="I887" s="27"/>
      <c r="J887" s="28"/>
      <c r="K887" s="43"/>
      <c r="L887" s="29">
        <f t="shared" si="142"/>
        <v>-2472</v>
      </c>
      <c r="M887" s="29">
        <f t="shared" si="143"/>
        <v>0</v>
      </c>
      <c r="N887" s="29"/>
      <c r="O887" s="29"/>
    </row>
    <row r="888" spans="1:15" s="12" customFormat="1">
      <c r="A888" s="95">
        <v>45984</v>
      </c>
      <c r="B888" s="25" t="s">
        <v>17</v>
      </c>
      <c r="C888" s="69"/>
      <c r="D888" s="99"/>
      <c r="E888" s="87">
        <f t="shared" si="140"/>
        <v>-18387</v>
      </c>
      <c r="G888" s="64"/>
      <c r="H888" s="63"/>
      <c r="I888" s="27"/>
      <c r="J888" s="28"/>
      <c r="K888" s="43"/>
      <c r="L888" s="29">
        <f t="shared" si="142"/>
        <v>-2472</v>
      </c>
      <c r="M888" s="29">
        <f t="shared" si="143"/>
        <v>0</v>
      </c>
      <c r="N888" s="29"/>
      <c r="O888" s="29"/>
    </row>
    <row r="889" spans="1:15">
      <c r="A889" s="96">
        <v>45985</v>
      </c>
      <c r="B889" s="17" t="s">
        <v>18</v>
      </c>
      <c r="C889" s="68">
        <f t="shared" ref="C889:C891" si="146">G891</f>
        <v>56</v>
      </c>
      <c r="D889" s="100"/>
      <c r="E889" s="22">
        <f t="shared" si="140"/>
        <v>-18443</v>
      </c>
      <c r="G889" s="19">
        <v>56</v>
      </c>
      <c r="H889" s="62">
        <f t="shared" si="141"/>
        <v>56</v>
      </c>
      <c r="I889" s="20"/>
      <c r="J889" s="21"/>
      <c r="K889" s="42"/>
      <c r="L889" s="23">
        <f t="shared" si="142"/>
        <v>-2528</v>
      </c>
      <c r="M889" s="23">
        <f t="shared" si="143"/>
        <v>0</v>
      </c>
      <c r="N889" s="23"/>
      <c r="O889" s="23"/>
    </row>
    <row r="890" spans="1:15">
      <c r="A890" s="96">
        <v>45986</v>
      </c>
      <c r="B890" s="17" t="s">
        <v>19</v>
      </c>
      <c r="C890" s="68">
        <f t="shared" si="146"/>
        <v>56</v>
      </c>
      <c r="D890" s="100"/>
      <c r="E890" s="22">
        <f t="shared" si="140"/>
        <v>-18499</v>
      </c>
      <c r="G890" s="19">
        <v>64</v>
      </c>
      <c r="H890" s="62">
        <f t="shared" si="141"/>
        <v>64</v>
      </c>
      <c r="I890" s="20"/>
      <c r="J890" s="21"/>
      <c r="K890" s="42"/>
      <c r="L890" s="23">
        <f t="shared" si="142"/>
        <v>-2592</v>
      </c>
      <c r="M890" s="23">
        <f t="shared" si="143"/>
        <v>0</v>
      </c>
      <c r="N890" s="23"/>
      <c r="O890" s="23"/>
    </row>
    <row r="891" spans="1:15">
      <c r="A891" s="96">
        <v>45987</v>
      </c>
      <c r="B891" s="17" t="s">
        <v>20</v>
      </c>
      <c r="C891" s="68">
        <f t="shared" si="146"/>
        <v>0</v>
      </c>
      <c r="D891" s="100"/>
      <c r="E891" s="22">
        <f t="shared" si="140"/>
        <v>-18499</v>
      </c>
      <c r="G891" s="19">
        <v>56</v>
      </c>
      <c r="H891" s="62">
        <f t="shared" si="141"/>
        <v>56</v>
      </c>
      <c r="I891" s="20"/>
      <c r="J891" s="21"/>
      <c r="K891" s="42"/>
      <c r="L891" s="23">
        <f t="shared" si="142"/>
        <v>-2648</v>
      </c>
      <c r="M891" s="23">
        <f t="shared" si="143"/>
        <v>0</v>
      </c>
      <c r="N891" s="23"/>
      <c r="O891" s="23"/>
    </row>
    <row r="892" spans="1:15">
      <c r="A892" s="96">
        <v>45988</v>
      </c>
      <c r="B892" s="17" t="s">
        <v>14</v>
      </c>
      <c r="C892" s="68">
        <f>G896</f>
        <v>0</v>
      </c>
      <c r="D892" s="100"/>
      <c r="E892" s="22">
        <f t="shared" si="140"/>
        <v>-18499</v>
      </c>
      <c r="G892" s="19">
        <v>56</v>
      </c>
      <c r="H892" s="62">
        <f t="shared" si="141"/>
        <v>56</v>
      </c>
      <c r="I892" s="20"/>
      <c r="J892" s="21"/>
      <c r="K892" s="42"/>
      <c r="L892" s="23">
        <f t="shared" si="142"/>
        <v>-2704</v>
      </c>
      <c r="M892" s="23">
        <f t="shared" si="143"/>
        <v>0</v>
      </c>
      <c r="N892" s="23"/>
      <c r="O892" s="23"/>
    </row>
    <row r="893" spans="1:15">
      <c r="A893" s="96">
        <v>45989</v>
      </c>
      <c r="B893" s="17" t="s">
        <v>15</v>
      </c>
      <c r="C893" s="68">
        <f>G897</f>
        <v>0</v>
      </c>
      <c r="D893" s="100"/>
      <c r="E893" s="22">
        <f t="shared" si="140"/>
        <v>-18499</v>
      </c>
      <c r="G893" s="19">
        <v>0</v>
      </c>
      <c r="H893" s="62">
        <f t="shared" si="141"/>
        <v>0</v>
      </c>
      <c r="I893" s="20"/>
      <c r="J893" s="21"/>
      <c r="K893" s="42"/>
      <c r="L893" s="23">
        <f t="shared" si="142"/>
        <v>-2704</v>
      </c>
      <c r="M893" s="23">
        <f t="shared" si="143"/>
        <v>0</v>
      </c>
      <c r="N893" s="23"/>
      <c r="O893" s="23"/>
    </row>
    <row r="894" spans="1:15" s="12" customFormat="1">
      <c r="A894" s="95">
        <v>45990</v>
      </c>
      <c r="B894" s="25" t="s">
        <v>16</v>
      </c>
      <c r="C894" s="69"/>
      <c r="D894" s="99"/>
      <c r="E894" s="87">
        <f t="shared" si="140"/>
        <v>-18499</v>
      </c>
      <c r="G894" s="64"/>
      <c r="H894" s="63"/>
      <c r="I894" s="27"/>
      <c r="J894" s="28"/>
      <c r="K894" s="43"/>
      <c r="L894" s="29">
        <f t="shared" si="142"/>
        <v>-2704</v>
      </c>
      <c r="M894" s="29">
        <f t="shared" si="143"/>
        <v>0</v>
      </c>
      <c r="N894" s="29"/>
      <c r="O894" s="29"/>
    </row>
    <row r="895" spans="1:15" s="12" customFormat="1">
      <c r="A895" s="95">
        <v>45991</v>
      </c>
      <c r="B895" s="25" t="s">
        <v>17</v>
      </c>
      <c r="C895" s="69"/>
      <c r="D895" s="99"/>
      <c r="E895" s="87">
        <f t="shared" si="140"/>
        <v>-18499</v>
      </c>
      <c r="G895" s="64"/>
      <c r="H895" s="63"/>
      <c r="I895" s="27"/>
      <c r="J895" s="28"/>
      <c r="K895" s="43"/>
      <c r="L895" s="29">
        <f t="shared" si="142"/>
        <v>-2704</v>
      </c>
      <c r="M895" s="29">
        <f t="shared" si="143"/>
        <v>0</v>
      </c>
      <c r="N895" s="29"/>
      <c r="O895" s="29"/>
    </row>
    <row r="896" spans="1:15">
      <c r="A896" s="96">
        <v>45992</v>
      </c>
      <c r="B896" s="17" t="s">
        <v>18</v>
      </c>
      <c r="C896" s="68">
        <f t="shared" ref="C896:C898" si="147">G898</f>
        <v>0</v>
      </c>
      <c r="D896" s="100"/>
      <c r="E896" s="22">
        <f t="shared" si="140"/>
        <v>-18499</v>
      </c>
      <c r="G896" s="19"/>
      <c r="H896" s="62">
        <f t="shared" si="141"/>
        <v>0</v>
      </c>
      <c r="I896" s="20"/>
      <c r="J896" s="21"/>
      <c r="K896" s="42"/>
      <c r="L896" s="23">
        <f t="shared" si="142"/>
        <v>-2704</v>
      </c>
      <c r="M896" s="23">
        <f t="shared" si="143"/>
        <v>0</v>
      </c>
      <c r="N896" s="23"/>
      <c r="O896" s="23"/>
    </row>
    <row r="897" spans="1:15">
      <c r="A897" s="96">
        <v>45993</v>
      </c>
      <c r="B897" s="17" t="s">
        <v>19</v>
      </c>
      <c r="C897" s="68">
        <f t="shared" si="147"/>
        <v>0</v>
      </c>
      <c r="D897" s="100"/>
      <c r="E897" s="22">
        <f t="shared" si="140"/>
        <v>-18499</v>
      </c>
      <c r="G897" s="19"/>
      <c r="H897" s="62">
        <f t="shared" si="141"/>
        <v>0</v>
      </c>
      <c r="I897" s="20"/>
      <c r="J897" s="21"/>
      <c r="K897" s="42"/>
      <c r="L897" s="23">
        <f t="shared" si="142"/>
        <v>-2704</v>
      </c>
      <c r="M897" s="23">
        <f t="shared" si="143"/>
        <v>0</v>
      </c>
      <c r="N897" s="23"/>
      <c r="O897" s="23"/>
    </row>
    <row r="898" spans="1:15">
      <c r="A898" s="96">
        <v>45994</v>
      </c>
      <c r="B898" s="17" t="s">
        <v>20</v>
      </c>
      <c r="C898" s="68">
        <f t="shared" si="147"/>
        <v>0</v>
      </c>
      <c r="D898" s="100"/>
      <c r="E898" s="22">
        <f t="shared" si="140"/>
        <v>-18499</v>
      </c>
      <c r="G898" s="19"/>
      <c r="H898" s="62">
        <f t="shared" si="141"/>
        <v>0</v>
      </c>
      <c r="I898" s="20"/>
      <c r="J898" s="21"/>
      <c r="K898" s="42"/>
      <c r="L898" s="23">
        <f t="shared" si="142"/>
        <v>-2704</v>
      </c>
      <c r="M898" s="23">
        <f t="shared" si="143"/>
        <v>0</v>
      </c>
      <c r="N898" s="23"/>
      <c r="O898" s="23"/>
    </row>
    <row r="899" spans="1:15">
      <c r="A899" s="96">
        <v>45995</v>
      </c>
      <c r="B899" s="17" t="s">
        <v>14</v>
      </c>
      <c r="C899" s="68">
        <f>G903</f>
        <v>0</v>
      </c>
      <c r="D899" s="100"/>
      <c r="E899" s="22">
        <f t="shared" si="140"/>
        <v>-18499</v>
      </c>
      <c r="G899" s="19"/>
      <c r="H899" s="62">
        <f t="shared" si="141"/>
        <v>0</v>
      </c>
      <c r="I899" s="20"/>
      <c r="J899" s="21"/>
      <c r="K899" s="42"/>
      <c r="L899" s="23">
        <f t="shared" si="142"/>
        <v>-2704</v>
      </c>
      <c r="M899" s="23">
        <f t="shared" si="143"/>
        <v>0</v>
      </c>
      <c r="N899" s="23"/>
      <c r="O899" s="23"/>
    </row>
    <row r="900" spans="1:15">
      <c r="A900" s="96">
        <v>45996</v>
      </c>
      <c r="B900" s="17" t="s">
        <v>15</v>
      </c>
      <c r="C900" s="68">
        <f>G904</f>
        <v>0</v>
      </c>
      <c r="D900" s="100"/>
      <c r="E900" s="22">
        <f t="shared" si="140"/>
        <v>-18499</v>
      </c>
      <c r="G900" s="19"/>
      <c r="H900" s="62">
        <f t="shared" si="141"/>
        <v>0</v>
      </c>
      <c r="I900" s="20"/>
      <c r="J900" s="21"/>
      <c r="K900" s="42"/>
      <c r="L900" s="23">
        <f t="shared" si="142"/>
        <v>-2704</v>
      </c>
      <c r="M900" s="23">
        <f t="shared" si="143"/>
        <v>0</v>
      </c>
      <c r="N900" s="23"/>
      <c r="O900" s="23"/>
    </row>
    <row r="901" spans="1:15" s="12" customFormat="1">
      <c r="A901" s="95">
        <v>45997</v>
      </c>
      <c r="B901" s="25" t="s">
        <v>16</v>
      </c>
      <c r="C901" s="69"/>
      <c r="D901" s="99"/>
      <c r="E901" s="87">
        <f t="shared" si="140"/>
        <v>-18499</v>
      </c>
      <c r="G901" s="64"/>
      <c r="H901" s="63">
        <f t="shared" si="141"/>
        <v>0</v>
      </c>
      <c r="I901" s="27"/>
      <c r="J901" s="28"/>
      <c r="K901" s="43"/>
      <c r="L901" s="29">
        <f t="shared" si="142"/>
        <v>-2704</v>
      </c>
      <c r="M901" s="29">
        <f t="shared" si="143"/>
        <v>0</v>
      </c>
      <c r="N901" s="29"/>
      <c r="O901" s="29"/>
    </row>
    <row r="902" spans="1:15">
      <c r="A902" s="96"/>
      <c r="B902" s="17"/>
      <c r="C902" s="68"/>
      <c r="D902" s="100"/>
      <c r="E902" s="22"/>
      <c r="G902" s="19"/>
      <c r="H902" s="62"/>
      <c r="I902" s="20"/>
      <c r="J902" s="21"/>
      <c r="K902" s="42"/>
      <c r="L902" s="23"/>
      <c r="M902" s="23"/>
      <c r="N902" s="23"/>
      <c r="O902" s="23"/>
    </row>
    <row r="904" spans="1:15">
      <c r="D904" s="1" t="s">
        <v>48</v>
      </c>
    </row>
    <row r="905" spans="1:15">
      <c r="A905" s="2" t="s">
        <v>44</v>
      </c>
      <c r="B905" s="1">
        <v>22</v>
      </c>
      <c r="C905" s="208">
        <v>1280</v>
      </c>
      <c r="D905" s="210">
        <f t="shared" ref="D905:D909" si="148">C905/B905</f>
        <v>58.18181818181818</v>
      </c>
    </row>
    <row r="906" spans="1:15">
      <c r="A906" s="2" t="s">
        <v>45</v>
      </c>
      <c r="B906" s="1">
        <v>22</v>
      </c>
      <c r="C906" s="208">
        <v>1552</v>
      </c>
      <c r="D906" s="210">
        <f t="shared" si="148"/>
        <v>70.545454545454547</v>
      </c>
    </row>
    <row r="907" spans="1:15">
      <c r="A907" s="2" t="s">
        <v>46</v>
      </c>
      <c r="B907" s="1">
        <v>21</v>
      </c>
      <c r="C907" s="208">
        <v>1232</v>
      </c>
      <c r="D907" s="210">
        <f t="shared" si="148"/>
        <v>58.666666666666664</v>
      </c>
    </row>
    <row r="908" spans="1:15">
      <c r="A908" s="2" t="s">
        <v>47</v>
      </c>
      <c r="B908" s="1">
        <v>20</v>
      </c>
      <c r="C908" s="208">
        <v>1000</v>
      </c>
      <c r="D908" s="210">
        <f t="shared" si="148"/>
        <v>50</v>
      </c>
    </row>
    <row r="909" spans="1:15">
      <c r="A909" s="2" t="s">
        <v>71</v>
      </c>
      <c r="B909" s="1">
        <v>20</v>
      </c>
      <c r="C909" s="208">
        <v>1352</v>
      </c>
      <c r="D909" s="210">
        <f t="shared" si="148"/>
        <v>67.599999999999994</v>
      </c>
    </row>
    <row r="910" spans="1:15">
      <c r="A910" s="2" t="s">
        <v>72</v>
      </c>
      <c r="B910" s="1">
        <v>21</v>
      </c>
      <c r="C910" s="208">
        <v>1320</v>
      </c>
      <c r="D910" s="210">
        <f t="shared" ref="D910:D911" si="149">C910/B910</f>
        <v>62.857142857142854</v>
      </c>
    </row>
    <row r="911" spans="1:15">
      <c r="A911" s="2" t="s">
        <v>73</v>
      </c>
      <c r="B911" s="1">
        <v>22</v>
      </c>
      <c r="C911" s="208">
        <v>1472</v>
      </c>
      <c r="D911" s="210">
        <f t="shared" si="149"/>
        <v>66.909090909090907</v>
      </c>
    </row>
    <row r="912" spans="1:15">
      <c r="A912" s="2" t="s">
        <v>74</v>
      </c>
      <c r="B912" s="1">
        <v>19</v>
      </c>
      <c r="C912" s="208">
        <v>1312</v>
      </c>
      <c r="D912" s="210">
        <f t="shared" ref="D912:D914" si="150">C912/B912</f>
        <v>69.05263157894737</v>
      </c>
    </row>
    <row r="913" spans="1:4">
      <c r="A913" s="2" t="s">
        <v>75</v>
      </c>
      <c r="B913" s="1">
        <v>19</v>
      </c>
      <c r="C913" s="208">
        <v>1064</v>
      </c>
      <c r="D913" s="210">
        <f t="shared" si="150"/>
        <v>56</v>
      </c>
    </row>
    <row r="914" spans="1:4">
      <c r="A914" s="2" t="s">
        <v>76</v>
      </c>
      <c r="B914" s="1">
        <v>21</v>
      </c>
      <c r="C914" s="208">
        <v>1352</v>
      </c>
      <c r="D914" s="210">
        <f t="shared" si="150"/>
        <v>64.38095238095238</v>
      </c>
    </row>
  </sheetData>
  <customSheetViews>
    <customSheetView guid="{0F97D042-C15F-481A-A24D-94F15C0648A1}" scale="115" hiddenRows="1">
      <pane xSplit="1" ySplit="697" topLeftCell="C722" activePane="bottomRight" state="frozenSplit"/>
      <selection pane="bottomRight" activeCell="K731" sqref="K731"/>
      <pageMargins left="0.7" right="0.7" top="0.75" bottom="0.75" header="0.3" footer="0.3"/>
      <pageSetup paperSize="9" orientation="portrait" r:id="rId1"/>
    </customSheetView>
    <customSheetView guid="{67AA7247-9969-44D1-A312-CE29558EF448}" scale="70" hiddenRows="1">
      <pane ySplit="31" topLeftCell="A331" activePane="bottomLeft" state="frozen"/>
      <selection pane="bottomLeft" activeCell="K324" sqref="K324"/>
      <pageMargins left="0.7" right="0.7" top="0.75" bottom="0.75" header="0.3" footer="0.3"/>
      <pageSetup paperSize="9" orientation="portrait" r:id="rId2"/>
    </customSheetView>
    <customSheetView guid="{71D64ACB-0C5A-4845-B610-45B8D3A5CAD0}" scale="85" hiddenRows="1">
      <pane ySplit="31" topLeftCell="A348" activePane="bottomLeft" state="frozen"/>
      <selection pane="bottomLeft" activeCell="O356" sqref="O356"/>
      <pageMargins left="0.7" right="0.7" top="0.75" bottom="0.75" header="0.3" footer="0.3"/>
      <pageSetup paperSize="9" orientation="portrait" r:id="rId3"/>
    </customSheetView>
    <customSheetView guid="{48C6E8DD-1D04-4B0D-86CF-B8ECBCB979B9}" hiddenRows="1">
      <pane ySplit="94" topLeftCell="A177" activePane="bottomLeft" state="frozen"/>
      <selection pane="bottomLeft" activeCell="D186" sqref="D186"/>
      <pageMargins left="0.7" right="0.7" top="0.75" bottom="0.75" header="0.3" footer="0.3"/>
      <pageSetup paperSize="9" orientation="portrait" r:id="rId4"/>
    </customSheetView>
    <customSheetView guid="{7E11D236-C3AC-4177-91D6-AE97935356F8}" scale="85" hiddenRows="1">
      <pane ySplit="31" topLeftCell="A348" activePane="bottomLeft" state="frozen"/>
      <selection pane="bottomLeft" activeCell="O356" sqref="O356"/>
      <pageMargins left="0.7" right="0.7" top="0.75" bottom="0.75" header="0.3" footer="0.3"/>
      <pageSetup paperSize="9" orientation="portrait" r:id="rId5"/>
    </customSheetView>
    <customSheetView guid="{DF7FFCE6-325C-4337-ACE2-63AB5F5E5D7C}" scale="85" hiddenRows="1">
      <pane ySplit="31" topLeftCell="A676" activePane="bottomLeft" state="frozen"/>
      <selection pane="bottomLeft" activeCell="K695" sqref="K695"/>
      <pageMargins left="0.7" right="0.7" top="0.75" bottom="0.75" header="0.3" footer="0.3"/>
      <pageSetup paperSize="9" orientation="portrait" r:id="rId6"/>
    </customSheetView>
    <customSheetView guid="{0F0ED987-057D-4D51-B464-C7C0C85EB14F}" scale="85" hiddenRows="1">
      <pane xSplit="2" ySplit="395" topLeftCell="C748" activePane="bottomRight" state="frozenSplit"/>
      <selection pane="bottomRight" activeCell="O774" sqref="O774"/>
      <pageMargins left="0.7" right="0.7" top="0.75" bottom="0.75" header="0.3" footer="0.3"/>
      <pageSetup paperSize="9" orientation="portrait" r:id="rId7"/>
    </customSheetView>
    <customSheetView guid="{D886DC16-62E0-4EAA-A787-2FA2A24DFCFE}" scale="115" hiddenRows="1">
      <pane xSplit="1" ySplit="785" topLeftCell="B811" activePane="bottomRight" state="frozenSplit"/>
      <selection pane="bottomRight" activeCell="O821" sqref="O821"/>
      <pageMargins left="0.7" right="0.7" top="0.75" bottom="0.75" header="0.3" footer="0.3"/>
      <pageSetup paperSize="9" orientation="portrait" r:id="rId8"/>
    </customSheetView>
    <customSheetView guid="{811078A9-B23B-425F-A62A-22C4D8EF8733}" scale="85" hiddenRows="1">
      <pane ySplit="31" topLeftCell="A743" activePane="bottomLeft" state="frozen"/>
      <selection pane="bottomLeft" activeCell="H689" sqref="H689:H748"/>
      <pageMargins left="0.7" right="0.7" top="0.75" bottom="0.75" header="0.3" footer="0.3"/>
      <pageSetup paperSize="9" orientation="portrait" r:id="rId9"/>
    </customSheetView>
    <customSheetView guid="{7F9E5EBC-BEB4-4E3F-8F40-CA3D4F534F5B}" scale="85" hiddenRows="1">
      <pane xSplit="2" ySplit="817" topLeftCell="C819" activePane="bottomRight" state="frozenSplit"/>
      <selection pane="bottomRight" activeCell="H829" sqref="H829"/>
      <pageMargins left="0.7" right="0.7" top="0.75" bottom="0.75" header="0.3" footer="0.3"/>
      <pageSetup paperSize="9" orientation="portrait" r:id="rId10"/>
    </customSheetView>
  </customSheetViews>
  <mergeCells count="1">
    <mergeCell ref="I2:J2"/>
  </mergeCells>
  <phoneticPr fontId="1"/>
  <pageMargins left="0.7" right="0.7" top="0.75" bottom="0.75" header="0.3" footer="0.3"/>
  <pageSetup paperSize="9" orientation="portrait" r:id="rId11"/>
  <drawing r:id="rId12"/>
  <legacyDrawing r:id="rId1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F8676-B251-4332-B956-3B9D2A200B92}">
  <sheetPr codeName="Sheet1">
    <tabColor theme="8" tint="0.39997558519241921"/>
    <pageSetUpPr fitToPage="1"/>
  </sheetPr>
  <dimension ref="A1:AQ336"/>
  <sheetViews>
    <sheetView zoomScale="85" zoomScaleNormal="83" workbookViewId="0">
      <pane xSplit="2" ySplit="240" topLeftCell="C241" activePane="bottomRight" state="frozenSplit"/>
      <selection pane="topRight" activeCell="C1" sqref="C1"/>
      <selection pane="bottomLeft" activeCell="A241" sqref="A241"/>
      <selection pane="bottomRight" activeCell="Q251" sqref="Q251"/>
    </sheetView>
  </sheetViews>
  <sheetFormatPr defaultColWidth="9" defaultRowHeight="18.75" outlineLevelRow="1"/>
  <cols>
    <col min="1" max="1" width="13.375" style="229" customWidth="1"/>
    <col min="2" max="2" width="3.375" style="1" bestFit="1" customWidth="1"/>
    <col min="5" max="5" width="9" style="1"/>
    <col min="6" max="6" width="2.375" style="1" customWidth="1"/>
    <col min="7" max="7" width="13.5" customWidth="1"/>
    <col min="8" max="8" width="2.125" style="1" customWidth="1"/>
    <col min="9" max="9" width="10.875" style="1" bestFit="1" customWidth="1"/>
    <col min="10" max="11" width="10.875" style="1" customWidth="1"/>
    <col min="12" max="12" width="2.375" style="1" customWidth="1"/>
    <col min="13" max="13" width="10.25" customWidth="1"/>
    <col min="14" max="14" width="13.5" customWidth="1"/>
    <col min="15" max="16" width="4.75" customWidth="1"/>
    <col min="17" max="17" width="10.25" customWidth="1"/>
    <col min="18" max="19" width="10.5" customWidth="1"/>
    <col min="20" max="20" width="2.125" customWidth="1"/>
    <col min="21" max="21" width="10.875" style="1" bestFit="1" customWidth="1"/>
    <col min="22" max="23" width="10.875" style="1" customWidth="1"/>
    <col min="24" max="24" width="2.375" style="1" customWidth="1"/>
    <col min="25" max="25" width="10.25" customWidth="1"/>
    <col min="26" max="26" width="13.375" customWidth="1"/>
    <col min="27" max="28" width="4.875" customWidth="1"/>
    <col min="29" max="29" width="10.25" customWidth="1"/>
    <col min="30" max="31" width="10.5" customWidth="1"/>
    <col min="32" max="32" width="2.125" style="1" customWidth="1"/>
    <col min="33" max="33" width="7.375" style="1" customWidth="1"/>
    <col min="34" max="34" width="2.375" style="1" customWidth="1"/>
    <col min="36" max="16384" width="9" style="1"/>
  </cols>
  <sheetData>
    <row r="1" spans="1:35" ht="26.25" thickBot="1">
      <c r="A1" s="3" t="s">
        <v>43</v>
      </c>
      <c r="I1" s="176" t="s">
        <v>63</v>
      </c>
      <c r="M1" s="217" t="s">
        <v>59</v>
      </c>
      <c r="U1" s="176" t="s">
        <v>62</v>
      </c>
      <c r="Y1" s="217" t="s">
        <v>59</v>
      </c>
      <c r="AI1" t="s">
        <v>57</v>
      </c>
    </row>
    <row r="2" spans="1:35" ht="55.5" customHeight="1">
      <c r="A2" s="13" t="s">
        <v>61</v>
      </c>
      <c r="B2" s="4"/>
      <c r="C2" s="5" t="s">
        <v>0</v>
      </c>
      <c r="D2" s="6" t="s">
        <v>1</v>
      </c>
      <c r="E2" s="7" t="s">
        <v>2</v>
      </c>
      <c r="F2" s="30"/>
      <c r="G2" s="35" t="s">
        <v>13</v>
      </c>
      <c r="I2" s="44" t="s">
        <v>5</v>
      </c>
      <c r="J2" s="45" t="s">
        <v>1</v>
      </c>
      <c r="K2" s="45" t="s">
        <v>2</v>
      </c>
      <c r="L2" s="46"/>
      <c r="M2" s="47" t="s">
        <v>11</v>
      </c>
      <c r="N2" s="48" t="s">
        <v>13</v>
      </c>
      <c r="O2" s="318" t="s">
        <v>10</v>
      </c>
      <c r="P2" s="320"/>
      <c r="Q2" s="59" t="s">
        <v>12</v>
      </c>
      <c r="R2" s="49" t="s">
        <v>9</v>
      </c>
      <c r="S2" s="50" t="s">
        <v>21</v>
      </c>
      <c r="T2" s="8"/>
      <c r="U2" s="44" t="s">
        <v>5</v>
      </c>
      <c r="V2" s="45" t="s">
        <v>1</v>
      </c>
      <c r="W2" s="45" t="s">
        <v>2</v>
      </c>
      <c r="X2" s="46"/>
      <c r="Y2" s="47" t="s">
        <v>11</v>
      </c>
      <c r="Z2" s="48" t="s">
        <v>13</v>
      </c>
      <c r="AA2" s="318" t="s">
        <v>10</v>
      </c>
      <c r="AB2" s="320"/>
      <c r="AC2" s="59" t="s">
        <v>12</v>
      </c>
      <c r="AD2" s="49" t="s">
        <v>9</v>
      </c>
      <c r="AE2" s="49" t="s">
        <v>21</v>
      </c>
      <c r="AF2" s="55"/>
      <c r="AG2" s="56" t="s">
        <v>8</v>
      </c>
    </row>
    <row r="3" spans="1:35" hidden="1" outlineLevel="1">
      <c r="A3" s="96">
        <v>45677</v>
      </c>
      <c r="B3" s="17" t="s">
        <v>18</v>
      </c>
      <c r="C3" s="23">
        <v>0</v>
      </c>
      <c r="D3" s="23"/>
      <c r="E3" s="23">
        <v>0</v>
      </c>
      <c r="G3" s="19"/>
      <c r="H3" s="62"/>
      <c r="I3" s="51">
        <f>M5+O5</f>
        <v>0</v>
      </c>
      <c r="J3" s="18"/>
      <c r="K3" s="18">
        <v>0</v>
      </c>
      <c r="M3" s="78">
        <v>0</v>
      </c>
      <c r="N3" s="65">
        <f t="shared" ref="N3:N6" si="0">M3</f>
        <v>0</v>
      </c>
      <c r="O3" s="20"/>
      <c r="P3" s="21"/>
      <c r="Q3" s="42"/>
      <c r="R3" s="23">
        <v>0</v>
      </c>
      <c r="S3" s="52">
        <v>0</v>
      </c>
      <c r="U3" s="51">
        <f t="shared" ref="U3:U7" si="1">C3-I3</f>
        <v>0</v>
      </c>
      <c r="V3" s="23"/>
      <c r="W3" s="18">
        <v>0</v>
      </c>
      <c r="X3" s="2"/>
      <c r="Y3" s="78">
        <v>0</v>
      </c>
      <c r="Z3" s="62">
        <v>0</v>
      </c>
      <c r="AA3" s="20"/>
      <c r="AB3" s="21"/>
      <c r="AC3" s="42"/>
      <c r="AD3" s="23">
        <v>0</v>
      </c>
      <c r="AE3" s="23">
        <v>0</v>
      </c>
      <c r="AG3" s="52"/>
    </row>
    <row r="4" spans="1:35" hidden="1" outlineLevel="1">
      <c r="A4" s="96">
        <v>45678</v>
      </c>
      <c r="B4" s="17" t="s">
        <v>19</v>
      </c>
      <c r="C4" s="23">
        <v>0</v>
      </c>
      <c r="D4" s="23"/>
      <c r="E4" s="23">
        <f t="shared" ref="E4:E66" si="2">E3-C4+D4</f>
        <v>0</v>
      </c>
      <c r="G4" s="19"/>
      <c r="H4" s="62"/>
      <c r="I4" s="51">
        <f>M6+O6</f>
        <v>0</v>
      </c>
      <c r="J4" s="18"/>
      <c r="K4" s="18">
        <f t="shared" ref="K4:K56" si="3">J4-I4+K3</f>
        <v>0</v>
      </c>
      <c r="M4" s="78">
        <v>0</v>
      </c>
      <c r="N4" s="65">
        <f t="shared" si="0"/>
        <v>0</v>
      </c>
      <c r="O4" s="20"/>
      <c r="P4" s="21"/>
      <c r="Q4" s="42"/>
      <c r="R4" s="23">
        <f t="shared" ref="R4:R66" si="4">R3-M4+Q4</f>
        <v>0</v>
      </c>
      <c r="S4" s="52">
        <f t="shared" ref="S4:S66" si="5">S3-M4+N4</f>
        <v>0</v>
      </c>
      <c r="U4" s="51">
        <f t="shared" si="1"/>
        <v>0</v>
      </c>
      <c r="V4" s="23"/>
      <c r="W4" s="18">
        <f t="shared" ref="W4:W66" si="6">V4-U4+W3</f>
        <v>0</v>
      </c>
      <c r="X4" s="2"/>
      <c r="Y4" s="78">
        <v>0</v>
      </c>
      <c r="Z4" s="62">
        <v>0</v>
      </c>
      <c r="AA4" s="20"/>
      <c r="AB4" s="21"/>
      <c r="AC4" s="42"/>
      <c r="AD4" s="23">
        <f t="shared" ref="AD4:AD66" si="7">AD3-Y4+AC4</f>
        <v>0</v>
      </c>
      <c r="AE4" s="23">
        <f t="shared" ref="AE4:AE66" si="8">AE3-Y4+Z4</f>
        <v>0</v>
      </c>
      <c r="AG4" s="52"/>
    </row>
    <row r="5" spans="1:35" hidden="1" outlineLevel="1">
      <c r="A5" s="96">
        <v>45679</v>
      </c>
      <c r="B5" s="17" t="s">
        <v>20</v>
      </c>
      <c r="C5" s="23">
        <v>0</v>
      </c>
      <c r="D5" s="23"/>
      <c r="E5" s="23">
        <f t="shared" si="2"/>
        <v>0</v>
      </c>
      <c r="G5" s="19"/>
      <c r="H5" s="62"/>
      <c r="I5" s="51">
        <f>M7+O7</f>
        <v>0</v>
      </c>
      <c r="J5" s="18"/>
      <c r="K5" s="18">
        <f t="shared" si="3"/>
        <v>0</v>
      </c>
      <c r="M5" s="78">
        <v>0</v>
      </c>
      <c r="N5" s="65">
        <f t="shared" si="0"/>
        <v>0</v>
      </c>
      <c r="O5" s="20"/>
      <c r="P5" s="21"/>
      <c r="Q5" s="42"/>
      <c r="R5" s="23">
        <f t="shared" si="4"/>
        <v>0</v>
      </c>
      <c r="S5" s="52">
        <f t="shared" si="5"/>
        <v>0</v>
      </c>
      <c r="U5" s="51">
        <f t="shared" si="1"/>
        <v>0</v>
      </c>
      <c r="V5" s="23"/>
      <c r="W5" s="18">
        <f t="shared" si="6"/>
        <v>0</v>
      </c>
      <c r="X5" s="2"/>
      <c r="Y5" s="78">
        <v>0</v>
      </c>
      <c r="Z5" s="62">
        <f>U3+AA5</f>
        <v>0</v>
      </c>
      <c r="AA5" s="20"/>
      <c r="AB5" s="21"/>
      <c r="AC5" s="42"/>
      <c r="AD5" s="23">
        <f t="shared" si="7"/>
        <v>0</v>
      </c>
      <c r="AE5" s="23">
        <f t="shared" si="8"/>
        <v>0</v>
      </c>
      <c r="AG5" s="52"/>
    </row>
    <row r="6" spans="1:35" hidden="1" outlineLevel="1">
      <c r="A6" s="96">
        <v>45680</v>
      </c>
      <c r="B6" s="17" t="s">
        <v>14</v>
      </c>
      <c r="C6" s="23">
        <v>0</v>
      </c>
      <c r="D6" s="23"/>
      <c r="E6" s="23">
        <f t="shared" si="2"/>
        <v>0</v>
      </c>
      <c r="G6" s="19"/>
      <c r="H6" s="62"/>
      <c r="I6" s="51">
        <f>M10+O10</f>
        <v>0</v>
      </c>
      <c r="J6" s="18"/>
      <c r="K6" s="18">
        <f t="shared" si="3"/>
        <v>0</v>
      </c>
      <c r="M6" s="78">
        <v>0</v>
      </c>
      <c r="N6" s="65">
        <f t="shared" si="0"/>
        <v>0</v>
      </c>
      <c r="O6" s="20"/>
      <c r="P6" s="21"/>
      <c r="Q6" s="42"/>
      <c r="R6" s="23">
        <f t="shared" si="4"/>
        <v>0</v>
      </c>
      <c r="S6" s="52">
        <f t="shared" si="5"/>
        <v>0</v>
      </c>
      <c r="U6" s="51">
        <f t="shared" si="1"/>
        <v>0</v>
      </c>
      <c r="V6" s="23"/>
      <c r="W6" s="18">
        <f t="shared" si="6"/>
        <v>0</v>
      </c>
      <c r="X6" s="2"/>
      <c r="Y6" s="78">
        <v>0</v>
      </c>
      <c r="Z6" s="62">
        <f>U4+AA6</f>
        <v>0</v>
      </c>
      <c r="AA6" s="20"/>
      <c r="AB6" s="21"/>
      <c r="AC6" s="42"/>
      <c r="AD6" s="23">
        <f t="shared" si="7"/>
        <v>0</v>
      </c>
      <c r="AE6" s="23">
        <f t="shared" si="8"/>
        <v>0</v>
      </c>
      <c r="AG6" s="52"/>
    </row>
    <row r="7" spans="1:35" hidden="1" outlineLevel="1">
      <c r="A7" s="96">
        <v>45681</v>
      </c>
      <c r="B7" s="17" t="s">
        <v>15</v>
      </c>
      <c r="C7" s="23">
        <v>0</v>
      </c>
      <c r="D7" s="23"/>
      <c r="E7" s="23">
        <f t="shared" si="2"/>
        <v>0</v>
      </c>
      <c r="G7" s="19"/>
      <c r="H7" s="62"/>
      <c r="I7" s="51">
        <f>M11+O11</f>
        <v>0</v>
      </c>
      <c r="J7" s="18"/>
      <c r="K7" s="18">
        <f t="shared" si="3"/>
        <v>0</v>
      </c>
      <c r="M7" s="78">
        <v>0</v>
      </c>
      <c r="N7" s="65">
        <f>M7+O7</f>
        <v>0</v>
      </c>
      <c r="O7" s="20"/>
      <c r="P7" s="21"/>
      <c r="Q7" s="42"/>
      <c r="R7" s="23">
        <f t="shared" si="4"/>
        <v>0</v>
      </c>
      <c r="S7" s="52">
        <f t="shared" si="5"/>
        <v>0</v>
      </c>
      <c r="U7" s="51">
        <f t="shared" si="1"/>
        <v>0</v>
      </c>
      <c r="V7" s="23"/>
      <c r="W7" s="18">
        <f t="shared" si="6"/>
        <v>0</v>
      </c>
      <c r="X7" s="2"/>
      <c r="Y7" s="78">
        <v>0</v>
      </c>
      <c r="Z7" s="62">
        <f>U5+AA7</f>
        <v>0</v>
      </c>
      <c r="AA7" s="20"/>
      <c r="AB7" s="21"/>
      <c r="AC7" s="42"/>
      <c r="AD7" s="23">
        <f t="shared" si="7"/>
        <v>0</v>
      </c>
      <c r="AE7" s="23">
        <f t="shared" si="8"/>
        <v>0</v>
      </c>
      <c r="AG7" s="52"/>
    </row>
    <row r="8" spans="1:35" s="12" customFormat="1" hidden="1" outlineLevel="1">
      <c r="A8" s="95">
        <v>45682</v>
      </c>
      <c r="B8" s="25" t="s">
        <v>16</v>
      </c>
      <c r="C8" s="29"/>
      <c r="D8" s="29"/>
      <c r="E8" s="29">
        <f t="shared" si="2"/>
        <v>0</v>
      </c>
      <c r="G8" s="64"/>
      <c r="H8" s="63"/>
      <c r="I8" s="53"/>
      <c r="J8" s="26"/>
      <c r="K8" s="26">
        <f t="shared" si="3"/>
        <v>0</v>
      </c>
      <c r="M8" s="79"/>
      <c r="N8" s="66"/>
      <c r="O8" s="27"/>
      <c r="P8" s="28"/>
      <c r="Q8" s="43"/>
      <c r="R8" s="29">
        <f t="shared" si="4"/>
        <v>0</v>
      </c>
      <c r="S8" s="54">
        <f t="shared" si="5"/>
        <v>0</v>
      </c>
      <c r="T8" s="11"/>
      <c r="U8" s="53"/>
      <c r="V8" s="29"/>
      <c r="W8" s="26">
        <f t="shared" si="6"/>
        <v>0</v>
      </c>
      <c r="X8" s="10"/>
      <c r="Y8" s="79"/>
      <c r="Z8" s="63"/>
      <c r="AA8" s="27"/>
      <c r="AB8" s="28"/>
      <c r="AC8" s="43"/>
      <c r="AD8" s="29">
        <f t="shared" si="7"/>
        <v>0</v>
      </c>
      <c r="AE8" s="29">
        <f t="shared" si="8"/>
        <v>0</v>
      </c>
      <c r="AG8" s="54"/>
      <c r="AI8" s="11"/>
    </row>
    <row r="9" spans="1:35" s="12" customFormat="1" hidden="1" outlineLevel="1" collapsed="1">
      <c r="A9" s="95">
        <v>45683</v>
      </c>
      <c r="B9" s="25" t="s">
        <v>17</v>
      </c>
      <c r="C9" s="29"/>
      <c r="D9" s="29"/>
      <c r="E9" s="29">
        <f t="shared" si="2"/>
        <v>0</v>
      </c>
      <c r="G9" s="64"/>
      <c r="H9" s="63"/>
      <c r="I9" s="53"/>
      <c r="J9" s="26"/>
      <c r="K9" s="26">
        <f t="shared" si="3"/>
        <v>0</v>
      </c>
      <c r="M9" s="79"/>
      <c r="N9" s="66"/>
      <c r="O9" s="27"/>
      <c r="P9" s="28"/>
      <c r="Q9" s="43"/>
      <c r="R9" s="29">
        <f t="shared" si="4"/>
        <v>0</v>
      </c>
      <c r="S9" s="54">
        <f t="shared" si="5"/>
        <v>0</v>
      </c>
      <c r="T9" s="11"/>
      <c r="U9" s="53"/>
      <c r="V9" s="29"/>
      <c r="W9" s="26">
        <f t="shared" si="6"/>
        <v>0</v>
      </c>
      <c r="X9" s="10"/>
      <c r="Y9" s="79"/>
      <c r="Z9" s="63"/>
      <c r="AA9" s="27"/>
      <c r="AB9" s="28"/>
      <c r="AC9" s="43"/>
      <c r="AD9" s="29">
        <f t="shared" si="7"/>
        <v>0</v>
      </c>
      <c r="AE9" s="29">
        <f t="shared" si="8"/>
        <v>0</v>
      </c>
      <c r="AG9" s="54"/>
      <c r="AI9" s="11"/>
    </row>
    <row r="10" spans="1:35" hidden="1" outlineLevel="1">
      <c r="A10" s="96">
        <v>45684</v>
      </c>
      <c r="B10" s="17" t="s">
        <v>18</v>
      </c>
      <c r="C10" s="23">
        <v>0</v>
      </c>
      <c r="D10" s="23"/>
      <c r="E10" s="23">
        <f t="shared" si="2"/>
        <v>0</v>
      </c>
      <c r="G10" s="19"/>
      <c r="H10" s="62"/>
      <c r="I10" s="51">
        <f>M12+O12</f>
        <v>0</v>
      </c>
      <c r="J10" s="18"/>
      <c r="K10" s="18">
        <f t="shared" si="3"/>
        <v>0</v>
      </c>
      <c r="M10" s="78">
        <v>0</v>
      </c>
      <c r="N10" s="65">
        <f t="shared" ref="N10:N14" si="9">M10+O10</f>
        <v>0</v>
      </c>
      <c r="O10" s="20"/>
      <c r="P10" s="21"/>
      <c r="Q10" s="42"/>
      <c r="R10" s="23">
        <f t="shared" si="4"/>
        <v>0</v>
      </c>
      <c r="S10" s="52">
        <f t="shared" si="5"/>
        <v>0</v>
      </c>
      <c r="U10" s="51">
        <f t="shared" ref="U10:U14" si="10">C10-I10</f>
        <v>0</v>
      </c>
      <c r="V10" s="23"/>
      <c r="W10" s="18">
        <f t="shared" si="6"/>
        <v>0</v>
      </c>
      <c r="X10" s="2"/>
      <c r="Y10" s="78">
        <v>0</v>
      </c>
      <c r="Z10" s="62">
        <f>U6+AA10</f>
        <v>0</v>
      </c>
      <c r="AA10" s="20"/>
      <c r="AB10" s="21"/>
      <c r="AC10" s="42"/>
      <c r="AD10" s="23">
        <f t="shared" si="7"/>
        <v>0</v>
      </c>
      <c r="AE10" s="23">
        <f t="shared" si="8"/>
        <v>0</v>
      </c>
      <c r="AG10" s="52"/>
    </row>
    <row r="11" spans="1:35" hidden="1" outlineLevel="1">
      <c r="A11" s="96">
        <v>45685</v>
      </c>
      <c r="B11" s="17" t="s">
        <v>19</v>
      </c>
      <c r="C11" s="23">
        <v>0</v>
      </c>
      <c r="D11" s="23"/>
      <c r="E11" s="23">
        <f t="shared" si="2"/>
        <v>0</v>
      </c>
      <c r="G11" s="19"/>
      <c r="H11" s="62"/>
      <c r="I11" s="51">
        <f>M13+O13</f>
        <v>0</v>
      </c>
      <c r="J11" s="18"/>
      <c r="K11" s="18">
        <f t="shared" si="3"/>
        <v>0</v>
      </c>
      <c r="M11" s="78">
        <v>0</v>
      </c>
      <c r="N11" s="65">
        <f t="shared" si="9"/>
        <v>0</v>
      </c>
      <c r="O11" s="20"/>
      <c r="P11" s="21"/>
      <c r="Q11" s="42"/>
      <c r="R11" s="23">
        <f t="shared" si="4"/>
        <v>0</v>
      </c>
      <c r="S11" s="52">
        <f t="shared" si="5"/>
        <v>0</v>
      </c>
      <c r="U11" s="51">
        <f t="shared" si="10"/>
        <v>0</v>
      </c>
      <c r="V11" s="23"/>
      <c r="W11" s="18">
        <f t="shared" si="6"/>
        <v>0</v>
      </c>
      <c r="X11" s="2"/>
      <c r="Y11" s="78">
        <v>0</v>
      </c>
      <c r="Z11" s="62">
        <f>U7+AA11</f>
        <v>0</v>
      </c>
      <c r="AA11" s="20"/>
      <c r="AB11" s="21"/>
      <c r="AC11" s="42"/>
      <c r="AD11" s="23">
        <f t="shared" si="7"/>
        <v>0</v>
      </c>
      <c r="AE11" s="23">
        <f t="shared" si="8"/>
        <v>0</v>
      </c>
      <c r="AG11" s="52"/>
    </row>
    <row r="12" spans="1:35" hidden="1" outlineLevel="1">
      <c r="A12" s="96">
        <v>45686</v>
      </c>
      <c r="B12" s="17" t="s">
        <v>20</v>
      </c>
      <c r="C12" s="23">
        <v>0</v>
      </c>
      <c r="D12" s="23"/>
      <c r="E12" s="23">
        <f t="shared" si="2"/>
        <v>0</v>
      </c>
      <c r="G12" s="19"/>
      <c r="H12" s="62"/>
      <c r="I12" s="51">
        <f>M14+O14</f>
        <v>0</v>
      </c>
      <c r="J12" s="18"/>
      <c r="K12" s="18">
        <f t="shared" si="3"/>
        <v>0</v>
      </c>
      <c r="M12" s="78">
        <v>0</v>
      </c>
      <c r="N12" s="65">
        <f t="shared" si="9"/>
        <v>0</v>
      </c>
      <c r="O12" s="20"/>
      <c r="P12" s="21"/>
      <c r="Q12" s="42"/>
      <c r="R12" s="23">
        <f t="shared" si="4"/>
        <v>0</v>
      </c>
      <c r="S12" s="52">
        <f t="shared" si="5"/>
        <v>0</v>
      </c>
      <c r="U12" s="51">
        <f t="shared" si="10"/>
        <v>0</v>
      </c>
      <c r="V12" s="23"/>
      <c r="W12" s="18">
        <f t="shared" si="6"/>
        <v>0</v>
      </c>
      <c r="X12" s="2"/>
      <c r="Y12" s="78">
        <v>0</v>
      </c>
      <c r="Z12" s="62">
        <f>U10+AA12</f>
        <v>0</v>
      </c>
      <c r="AA12" s="20"/>
      <c r="AB12" s="21"/>
      <c r="AC12" s="42"/>
      <c r="AD12" s="23">
        <f t="shared" si="7"/>
        <v>0</v>
      </c>
      <c r="AE12" s="23">
        <f t="shared" si="8"/>
        <v>0</v>
      </c>
      <c r="AG12" s="52"/>
    </row>
    <row r="13" spans="1:35" hidden="1" outlineLevel="1">
      <c r="A13" s="96">
        <v>45687</v>
      </c>
      <c r="B13" s="17" t="s">
        <v>14</v>
      </c>
      <c r="C13" s="23">
        <v>0</v>
      </c>
      <c r="D13" s="23"/>
      <c r="E13" s="23">
        <f t="shared" si="2"/>
        <v>0</v>
      </c>
      <c r="G13" s="19"/>
      <c r="H13" s="62"/>
      <c r="I13" s="51">
        <f>M17+O17</f>
        <v>0</v>
      </c>
      <c r="J13" s="18"/>
      <c r="K13" s="18">
        <f t="shared" si="3"/>
        <v>0</v>
      </c>
      <c r="M13" s="78">
        <v>0</v>
      </c>
      <c r="N13" s="65">
        <f t="shared" si="9"/>
        <v>0</v>
      </c>
      <c r="O13" s="20"/>
      <c r="P13" s="21"/>
      <c r="Q13" s="42"/>
      <c r="R13" s="23">
        <f t="shared" si="4"/>
        <v>0</v>
      </c>
      <c r="S13" s="52">
        <f t="shared" si="5"/>
        <v>0</v>
      </c>
      <c r="U13" s="51">
        <f t="shared" si="10"/>
        <v>0</v>
      </c>
      <c r="V13" s="23"/>
      <c r="W13" s="18">
        <f t="shared" si="6"/>
        <v>0</v>
      </c>
      <c r="X13" s="2"/>
      <c r="Y13" s="78">
        <v>0</v>
      </c>
      <c r="Z13" s="62">
        <f>U11+AA13</f>
        <v>0</v>
      </c>
      <c r="AA13" s="20"/>
      <c r="AB13" s="21"/>
      <c r="AC13" s="42"/>
      <c r="AD13" s="23">
        <f t="shared" si="7"/>
        <v>0</v>
      </c>
      <c r="AE13" s="23">
        <f t="shared" si="8"/>
        <v>0</v>
      </c>
      <c r="AG13" s="52"/>
    </row>
    <row r="14" spans="1:35" hidden="1" outlineLevel="1">
      <c r="A14" s="96">
        <v>45688</v>
      </c>
      <c r="B14" s="17" t="s">
        <v>15</v>
      </c>
      <c r="C14" s="23">
        <v>0</v>
      </c>
      <c r="D14" s="23"/>
      <c r="E14" s="23">
        <f t="shared" si="2"/>
        <v>0</v>
      </c>
      <c r="G14" s="19"/>
      <c r="H14" s="62"/>
      <c r="I14" s="51">
        <f>M18+O18</f>
        <v>0</v>
      </c>
      <c r="J14" s="18"/>
      <c r="K14" s="18">
        <f t="shared" si="3"/>
        <v>0</v>
      </c>
      <c r="M14" s="78">
        <v>0</v>
      </c>
      <c r="N14" s="65">
        <f t="shared" si="9"/>
        <v>0</v>
      </c>
      <c r="O14" s="20"/>
      <c r="P14" s="21"/>
      <c r="Q14" s="42"/>
      <c r="R14" s="23">
        <f t="shared" si="4"/>
        <v>0</v>
      </c>
      <c r="S14" s="52">
        <f t="shared" si="5"/>
        <v>0</v>
      </c>
      <c r="U14" s="51">
        <f t="shared" si="10"/>
        <v>0</v>
      </c>
      <c r="V14" s="23"/>
      <c r="W14" s="18">
        <f t="shared" si="6"/>
        <v>0</v>
      </c>
      <c r="X14" s="2"/>
      <c r="Y14" s="78">
        <v>0</v>
      </c>
      <c r="Z14" s="62">
        <f>U12+AA14</f>
        <v>0</v>
      </c>
      <c r="AA14" s="20"/>
      <c r="AB14" s="21"/>
      <c r="AC14" s="42"/>
      <c r="AD14" s="23">
        <f t="shared" si="7"/>
        <v>0</v>
      </c>
      <c r="AE14" s="23">
        <f t="shared" si="8"/>
        <v>0</v>
      </c>
      <c r="AG14" s="52"/>
    </row>
    <row r="15" spans="1:35" s="12" customFormat="1" hidden="1" outlineLevel="1">
      <c r="A15" s="95">
        <v>45689</v>
      </c>
      <c r="B15" s="25" t="s">
        <v>16</v>
      </c>
      <c r="C15" s="29"/>
      <c r="D15" s="29"/>
      <c r="E15" s="29">
        <f t="shared" si="2"/>
        <v>0</v>
      </c>
      <c r="G15" s="64"/>
      <c r="H15" s="63"/>
      <c r="I15" s="53"/>
      <c r="J15" s="26"/>
      <c r="K15" s="26">
        <f t="shared" si="3"/>
        <v>0</v>
      </c>
      <c r="M15" s="79"/>
      <c r="N15" s="66"/>
      <c r="O15" s="27"/>
      <c r="P15" s="28"/>
      <c r="Q15" s="43"/>
      <c r="R15" s="29">
        <f t="shared" si="4"/>
        <v>0</v>
      </c>
      <c r="S15" s="54">
        <f t="shared" si="5"/>
        <v>0</v>
      </c>
      <c r="T15" s="11"/>
      <c r="U15" s="53"/>
      <c r="V15" s="29"/>
      <c r="W15" s="26">
        <f t="shared" si="6"/>
        <v>0</v>
      </c>
      <c r="X15" s="10"/>
      <c r="Y15" s="79"/>
      <c r="Z15" s="63"/>
      <c r="AA15" s="27"/>
      <c r="AB15" s="28"/>
      <c r="AC15" s="43"/>
      <c r="AD15" s="29">
        <f t="shared" si="7"/>
        <v>0</v>
      </c>
      <c r="AE15" s="29">
        <f t="shared" si="8"/>
        <v>0</v>
      </c>
      <c r="AG15" s="54"/>
      <c r="AI15" s="11"/>
    </row>
    <row r="16" spans="1:35" s="12" customFormat="1" hidden="1" outlineLevel="1" collapsed="1">
      <c r="A16" s="95">
        <v>45690</v>
      </c>
      <c r="B16" s="25" t="s">
        <v>17</v>
      </c>
      <c r="C16" s="29"/>
      <c r="D16" s="29"/>
      <c r="E16" s="29">
        <f t="shared" si="2"/>
        <v>0</v>
      </c>
      <c r="G16" s="64"/>
      <c r="H16" s="63"/>
      <c r="I16" s="53"/>
      <c r="J16" s="26"/>
      <c r="K16" s="26">
        <f t="shared" si="3"/>
        <v>0</v>
      </c>
      <c r="M16" s="79"/>
      <c r="N16" s="66"/>
      <c r="O16" s="27"/>
      <c r="P16" s="28"/>
      <c r="Q16" s="43"/>
      <c r="R16" s="29">
        <f t="shared" si="4"/>
        <v>0</v>
      </c>
      <c r="S16" s="54">
        <f t="shared" si="5"/>
        <v>0</v>
      </c>
      <c r="T16" s="11"/>
      <c r="U16" s="53"/>
      <c r="V16" s="29"/>
      <c r="W16" s="26">
        <f t="shared" si="6"/>
        <v>0</v>
      </c>
      <c r="X16" s="10"/>
      <c r="Y16" s="79"/>
      <c r="Z16" s="63"/>
      <c r="AA16" s="27"/>
      <c r="AB16" s="28"/>
      <c r="AC16" s="43"/>
      <c r="AD16" s="29">
        <f t="shared" si="7"/>
        <v>0</v>
      </c>
      <c r="AE16" s="29">
        <f t="shared" si="8"/>
        <v>0</v>
      </c>
      <c r="AG16" s="54"/>
      <c r="AI16" s="11"/>
    </row>
    <row r="17" spans="1:35" hidden="1" outlineLevel="1">
      <c r="A17" s="96">
        <v>45691</v>
      </c>
      <c r="B17" s="17" t="s">
        <v>18</v>
      </c>
      <c r="C17" s="23">
        <v>0</v>
      </c>
      <c r="D17" s="23"/>
      <c r="E17" s="23">
        <f t="shared" si="2"/>
        <v>0</v>
      </c>
      <c r="G17" s="19"/>
      <c r="H17" s="62"/>
      <c r="I17" s="51">
        <f>M19+O19</f>
        <v>0</v>
      </c>
      <c r="J17" s="18"/>
      <c r="K17" s="18">
        <f t="shared" si="3"/>
        <v>0</v>
      </c>
      <c r="M17" s="78">
        <v>0</v>
      </c>
      <c r="N17" s="65">
        <f t="shared" ref="N17:N21" si="11">M17+O17</f>
        <v>0</v>
      </c>
      <c r="O17" s="20"/>
      <c r="P17" s="21"/>
      <c r="Q17" s="42"/>
      <c r="R17" s="23">
        <f t="shared" si="4"/>
        <v>0</v>
      </c>
      <c r="S17" s="52">
        <f t="shared" si="5"/>
        <v>0</v>
      </c>
      <c r="U17" s="51">
        <f t="shared" ref="U17:U42" si="12">C17-I17</f>
        <v>0</v>
      </c>
      <c r="V17" s="23"/>
      <c r="W17" s="18">
        <f t="shared" si="6"/>
        <v>0</v>
      </c>
      <c r="X17" s="2"/>
      <c r="Y17" s="78">
        <v>0</v>
      </c>
      <c r="Z17" s="62">
        <f>U13+AA17</f>
        <v>0</v>
      </c>
      <c r="AA17" s="20"/>
      <c r="AB17" s="21"/>
      <c r="AC17" s="42"/>
      <c r="AD17" s="23">
        <f t="shared" si="7"/>
        <v>0</v>
      </c>
      <c r="AE17" s="23">
        <f t="shared" si="8"/>
        <v>0</v>
      </c>
      <c r="AG17" s="52"/>
    </row>
    <row r="18" spans="1:35" hidden="1" outlineLevel="1">
      <c r="A18" s="96">
        <v>45692</v>
      </c>
      <c r="B18" s="17" t="s">
        <v>19</v>
      </c>
      <c r="C18" s="23">
        <v>0</v>
      </c>
      <c r="D18" s="23"/>
      <c r="E18" s="23">
        <f t="shared" si="2"/>
        <v>0</v>
      </c>
      <c r="G18" s="19"/>
      <c r="H18" s="62"/>
      <c r="I18" s="51">
        <f>M20+O20</f>
        <v>0</v>
      </c>
      <c r="J18" s="18"/>
      <c r="K18" s="18">
        <f t="shared" si="3"/>
        <v>0</v>
      </c>
      <c r="M18" s="78">
        <v>0</v>
      </c>
      <c r="N18" s="65">
        <f t="shared" si="11"/>
        <v>0</v>
      </c>
      <c r="O18" s="20"/>
      <c r="P18" s="21"/>
      <c r="Q18" s="42"/>
      <c r="R18" s="23">
        <f t="shared" si="4"/>
        <v>0</v>
      </c>
      <c r="S18" s="52">
        <f t="shared" si="5"/>
        <v>0</v>
      </c>
      <c r="U18" s="51">
        <f t="shared" si="12"/>
        <v>0</v>
      </c>
      <c r="V18" s="23"/>
      <c r="W18" s="18">
        <f t="shared" si="6"/>
        <v>0</v>
      </c>
      <c r="X18" s="2"/>
      <c r="Y18" s="78">
        <v>0</v>
      </c>
      <c r="Z18" s="62">
        <f>U14+AA18</f>
        <v>0</v>
      </c>
      <c r="AA18" s="20"/>
      <c r="AB18" s="21"/>
      <c r="AC18" s="42"/>
      <c r="AD18" s="23">
        <f t="shared" si="7"/>
        <v>0</v>
      </c>
      <c r="AE18" s="23">
        <f t="shared" si="8"/>
        <v>0</v>
      </c>
      <c r="AG18" s="52"/>
    </row>
    <row r="19" spans="1:35" hidden="1" outlineLevel="1">
      <c r="A19" s="96">
        <v>45693</v>
      </c>
      <c r="B19" s="17" t="s">
        <v>20</v>
      </c>
      <c r="C19" s="23">
        <v>0</v>
      </c>
      <c r="D19" s="23"/>
      <c r="E19" s="23">
        <f t="shared" si="2"/>
        <v>0</v>
      </c>
      <c r="G19" s="19"/>
      <c r="H19" s="62"/>
      <c r="I19" s="51">
        <f>M21+O21</f>
        <v>0</v>
      </c>
      <c r="J19" s="18"/>
      <c r="K19" s="18">
        <f t="shared" si="3"/>
        <v>0</v>
      </c>
      <c r="M19" s="78">
        <v>0</v>
      </c>
      <c r="N19" s="65">
        <f t="shared" si="11"/>
        <v>0</v>
      </c>
      <c r="O19" s="20"/>
      <c r="P19" s="21"/>
      <c r="Q19" s="42"/>
      <c r="R19" s="23">
        <f t="shared" si="4"/>
        <v>0</v>
      </c>
      <c r="S19" s="52">
        <f t="shared" si="5"/>
        <v>0</v>
      </c>
      <c r="U19" s="51">
        <f t="shared" si="12"/>
        <v>0</v>
      </c>
      <c r="V19" s="23"/>
      <c r="W19" s="18">
        <f t="shared" si="6"/>
        <v>0</v>
      </c>
      <c r="X19" s="2"/>
      <c r="Y19" s="78">
        <v>0</v>
      </c>
      <c r="Z19" s="62">
        <f>U17+AA19</f>
        <v>0</v>
      </c>
      <c r="AA19" s="20"/>
      <c r="AB19" s="21"/>
      <c r="AC19" s="42"/>
      <c r="AD19" s="23">
        <f t="shared" si="7"/>
        <v>0</v>
      </c>
      <c r="AE19" s="23">
        <f t="shared" si="8"/>
        <v>0</v>
      </c>
      <c r="AG19" s="52"/>
    </row>
    <row r="20" spans="1:35" hidden="1" outlineLevel="1">
      <c r="A20" s="96">
        <v>45694</v>
      </c>
      <c r="B20" s="17" t="s">
        <v>14</v>
      </c>
      <c r="C20" s="23">
        <v>0</v>
      </c>
      <c r="D20" s="23"/>
      <c r="E20" s="23">
        <f t="shared" si="2"/>
        <v>0</v>
      </c>
      <c r="G20" s="19"/>
      <c r="H20" s="62"/>
      <c r="I20" s="51">
        <f>M24+O24</f>
        <v>0</v>
      </c>
      <c r="J20" s="18"/>
      <c r="K20" s="18">
        <f t="shared" si="3"/>
        <v>0</v>
      </c>
      <c r="M20" s="78">
        <v>0</v>
      </c>
      <c r="N20" s="65">
        <f t="shared" si="11"/>
        <v>0</v>
      </c>
      <c r="O20" s="20"/>
      <c r="P20" s="21"/>
      <c r="Q20" s="42"/>
      <c r="R20" s="23">
        <f t="shared" si="4"/>
        <v>0</v>
      </c>
      <c r="S20" s="52">
        <f t="shared" si="5"/>
        <v>0</v>
      </c>
      <c r="U20" s="51">
        <f t="shared" si="12"/>
        <v>0</v>
      </c>
      <c r="V20" s="23"/>
      <c r="W20" s="18">
        <f t="shared" si="6"/>
        <v>0</v>
      </c>
      <c r="X20" s="2"/>
      <c r="Y20" s="78">
        <v>0</v>
      </c>
      <c r="Z20" s="62">
        <f>U18+AA20</f>
        <v>0</v>
      </c>
      <c r="AA20" s="20"/>
      <c r="AB20" s="21"/>
      <c r="AC20" s="42"/>
      <c r="AD20" s="23">
        <f t="shared" si="7"/>
        <v>0</v>
      </c>
      <c r="AE20" s="23">
        <f t="shared" si="8"/>
        <v>0</v>
      </c>
      <c r="AG20" s="52"/>
    </row>
    <row r="21" spans="1:35" hidden="1" outlineLevel="1">
      <c r="A21" s="96">
        <v>45695</v>
      </c>
      <c r="B21" s="17" t="s">
        <v>15</v>
      </c>
      <c r="C21" s="23">
        <v>0</v>
      </c>
      <c r="D21" s="23"/>
      <c r="E21" s="23">
        <f t="shared" si="2"/>
        <v>0</v>
      </c>
      <c r="G21" s="19"/>
      <c r="H21" s="62"/>
      <c r="I21" s="51">
        <f>M25+O25</f>
        <v>0</v>
      </c>
      <c r="J21" s="18"/>
      <c r="K21" s="18">
        <f t="shared" si="3"/>
        <v>0</v>
      </c>
      <c r="M21" s="78">
        <v>0</v>
      </c>
      <c r="N21" s="65">
        <f t="shared" si="11"/>
        <v>0</v>
      </c>
      <c r="O21" s="20"/>
      <c r="P21" s="21"/>
      <c r="Q21" s="42"/>
      <c r="R21" s="23">
        <f t="shared" si="4"/>
        <v>0</v>
      </c>
      <c r="S21" s="52">
        <f t="shared" si="5"/>
        <v>0</v>
      </c>
      <c r="U21" s="51">
        <f t="shared" si="12"/>
        <v>0</v>
      </c>
      <c r="V21" s="23"/>
      <c r="W21" s="18">
        <f t="shared" si="6"/>
        <v>0</v>
      </c>
      <c r="X21" s="2"/>
      <c r="Y21" s="78">
        <v>0</v>
      </c>
      <c r="Z21" s="62">
        <f>U19+AA21</f>
        <v>0</v>
      </c>
      <c r="AA21" s="20"/>
      <c r="AB21" s="21"/>
      <c r="AC21" s="42"/>
      <c r="AD21" s="23">
        <f t="shared" si="7"/>
        <v>0</v>
      </c>
      <c r="AE21" s="23">
        <f t="shared" si="8"/>
        <v>0</v>
      </c>
      <c r="AG21" s="52"/>
    </row>
    <row r="22" spans="1:35" s="12" customFormat="1" hidden="1" outlineLevel="1">
      <c r="A22" s="95">
        <v>45696</v>
      </c>
      <c r="B22" s="25" t="s">
        <v>16</v>
      </c>
      <c r="C22" s="29"/>
      <c r="D22" s="29"/>
      <c r="E22" s="29">
        <f t="shared" si="2"/>
        <v>0</v>
      </c>
      <c r="G22" s="64"/>
      <c r="H22" s="63"/>
      <c r="I22" s="53"/>
      <c r="J22" s="26"/>
      <c r="K22" s="26">
        <f t="shared" si="3"/>
        <v>0</v>
      </c>
      <c r="M22" s="79"/>
      <c r="N22" s="66"/>
      <c r="O22" s="27"/>
      <c r="P22" s="28"/>
      <c r="Q22" s="43"/>
      <c r="R22" s="29">
        <f t="shared" si="4"/>
        <v>0</v>
      </c>
      <c r="S22" s="54">
        <f t="shared" si="5"/>
        <v>0</v>
      </c>
      <c r="T22" s="11"/>
      <c r="U22" s="53"/>
      <c r="V22" s="29"/>
      <c r="W22" s="26">
        <f t="shared" si="6"/>
        <v>0</v>
      </c>
      <c r="X22" s="10"/>
      <c r="Y22" s="79"/>
      <c r="Z22" s="63"/>
      <c r="AA22" s="27"/>
      <c r="AB22" s="28"/>
      <c r="AC22" s="43"/>
      <c r="AD22" s="29">
        <f t="shared" si="7"/>
        <v>0</v>
      </c>
      <c r="AE22" s="29">
        <f t="shared" si="8"/>
        <v>0</v>
      </c>
      <c r="AG22" s="54"/>
      <c r="AI22" s="11"/>
    </row>
    <row r="23" spans="1:35" s="12" customFormat="1" hidden="1" outlineLevel="1" collapsed="1">
      <c r="A23" s="95">
        <v>45697</v>
      </c>
      <c r="B23" s="25" t="s">
        <v>17</v>
      </c>
      <c r="C23" s="29"/>
      <c r="D23" s="29"/>
      <c r="E23" s="29">
        <f t="shared" si="2"/>
        <v>0</v>
      </c>
      <c r="G23" s="64"/>
      <c r="H23" s="63"/>
      <c r="I23" s="53"/>
      <c r="J23" s="26"/>
      <c r="K23" s="26">
        <f t="shared" si="3"/>
        <v>0</v>
      </c>
      <c r="M23" s="79"/>
      <c r="N23" s="66"/>
      <c r="O23" s="27"/>
      <c r="P23" s="28"/>
      <c r="Q23" s="43"/>
      <c r="R23" s="29">
        <f t="shared" si="4"/>
        <v>0</v>
      </c>
      <c r="S23" s="54">
        <f t="shared" si="5"/>
        <v>0</v>
      </c>
      <c r="T23" s="11"/>
      <c r="U23" s="53"/>
      <c r="V23" s="29"/>
      <c r="W23" s="26">
        <f t="shared" si="6"/>
        <v>0</v>
      </c>
      <c r="X23" s="10"/>
      <c r="Y23" s="79"/>
      <c r="Z23" s="63"/>
      <c r="AA23" s="27"/>
      <c r="AB23" s="28"/>
      <c r="AC23" s="43"/>
      <c r="AD23" s="29">
        <f t="shared" si="7"/>
        <v>0</v>
      </c>
      <c r="AE23" s="29">
        <f t="shared" si="8"/>
        <v>0</v>
      </c>
      <c r="AG23" s="54"/>
      <c r="AI23" s="11"/>
    </row>
    <row r="24" spans="1:35" hidden="1" outlineLevel="1">
      <c r="A24" s="96">
        <v>45698</v>
      </c>
      <c r="B24" s="17" t="s">
        <v>18</v>
      </c>
      <c r="C24" s="23">
        <v>0</v>
      </c>
      <c r="D24" s="23"/>
      <c r="E24" s="23">
        <f t="shared" si="2"/>
        <v>0</v>
      </c>
      <c r="G24" s="19"/>
      <c r="H24" s="62"/>
      <c r="I24" s="51">
        <f>M26+O26</f>
        <v>0</v>
      </c>
      <c r="J24" s="18"/>
      <c r="K24" s="18">
        <f t="shared" si="3"/>
        <v>0</v>
      </c>
      <c r="M24" s="78">
        <v>0</v>
      </c>
      <c r="N24" s="65">
        <f t="shared" ref="N24:N28" si="13">M24+O24</f>
        <v>0</v>
      </c>
      <c r="O24" s="20"/>
      <c r="P24" s="21"/>
      <c r="Q24" s="42"/>
      <c r="R24" s="23">
        <f t="shared" si="4"/>
        <v>0</v>
      </c>
      <c r="S24" s="52">
        <f t="shared" si="5"/>
        <v>0</v>
      </c>
      <c r="U24" s="51">
        <f t="shared" si="12"/>
        <v>0</v>
      </c>
      <c r="V24" s="23"/>
      <c r="W24" s="18">
        <f t="shared" si="6"/>
        <v>0</v>
      </c>
      <c r="X24" s="2"/>
      <c r="Y24" s="78">
        <v>0</v>
      </c>
      <c r="Z24" s="62">
        <f>U20+AA24</f>
        <v>0</v>
      </c>
      <c r="AA24" s="20"/>
      <c r="AB24" s="21"/>
      <c r="AC24" s="42"/>
      <c r="AD24" s="23">
        <f t="shared" si="7"/>
        <v>0</v>
      </c>
      <c r="AE24" s="23">
        <f t="shared" si="8"/>
        <v>0</v>
      </c>
      <c r="AG24" s="52"/>
    </row>
    <row r="25" spans="1:35" hidden="1" outlineLevel="1">
      <c r="A25" s="96">
        <v>45699</v>
      </c>
      <c r="B25" s="17" t="s">
        <v>19</v>
      </c>
      <c r="C25" s="23">
        <v>0</v>
      </c>
      <c r="D25" s="23"/>
      <c r="E25" s="23">
        <f t="shared" si="2"/>
        <v>0</v>
      </c>
      <c r="G25" s="19"/>
      <c r="H25" s="62"/>
      <c r="I25" s="51">
        <f>M27+O27</f>
        <v>0</v>
      </c>
      <c r="J25" s="18"/>
      <c r="K25" s="18">
        <f t="shared" si="3"/>
        <v>0</v>
      </c>
      <c r="M25" s="78">
        <v>0</v>
      </c>
      <c r="N25" s="65">
        <f t="shared" si="13"/>
        <v>0</v>
      </c>
      <c r="O25" s="20"/>
      <c r="P25" s="21"/>
      <c r="Q25" s="42"/>
      <c r="R25" s="23">
        <f t="shared" si="4"/>
        <v>0</v>
      </c>
      <c r="S25" s="52">
        <f t="shared" si="5"/>
        <v>0</v>
      </c>
      <c r="U25" s="51">
        <f t="shared" si="12"/>
        <v>0</v>
      </c>
      <c r="V25" s="23"/>
      <c r="W25" s="18">
        <f t="shared" si="6"/>
        <v>0</v>
      </c>
      <c r="X25" s="2"/>
      <c r="Y25" s="78">
        <v>0</v>
      </c>
      <c r="Z25" s="62">
        <f>U21+AA25</f>
        <v>0</v>
      </c>
      <c r="AA25" s="20"/>
      <c r="AB25" s="21"/>
      <c r="AC25" s="42"/>
      <c r="AD25" s="23">
        <f t="shared" si="7"/>
        <v>0</v>
      </c>
      <c r="AE25" s="23">
        <f t="shared" si="8"/>
        <v>0</v>
      </c>
      <c r="AG25" s="52"/>
    </row>
    <row r="26" spans="1:35" hidden="1" outlineLevel="1">
      <c r="A26" s="96">
        <v>45700</v>
      </c>
      <c r="B26" s="17" t="s">
        <v>20</v>
      </c>
      <c r="C26" s="23">
        <v>0</v>
      </c>
      <c r="D26" s="23"/>
      <c r="E26" s="23">
        <f t="shared" si="2"/>
        <v>0</v>
      </c>
      <c r="G26" s="19"/>
      <c r="H26" s="62"/>
      <c r="I26" s="51">
        <f>M28+O28</f>
        <v>0</v>
      </c>
      <c r="J26" s="18"/>
      <c r="K26" s="18">
        <f t="shared" si="3"/>
        <v>0</v>
      </c>
      <c r="M26" s="78">
        <v>0</v>
      </c>
      <c r="N26" s="65">
        <f t="shared" si="13"/>
        <v>0</v>
      </c>
      <c r="O26" s="20"/>
      <c r="P26" s="21"/>
      <c r="Q26" s="42"/>
      <c r="R26" s="23">
        <f t="shared" si="4"/>
        <v>0</v>
      </c>
      <c r="S26" s="52">
        <f t="shared" si="5"/>
        <v>0</v>
      </c>
      <c r="U26" s="51">
        <f t="shared" si="12"/>
        <v>0</v>
      </c>
      <c r="V26" s="23"/>
      <c r="W26" s="18">
        <f t="shared" si="6"/>
        <v>0</v>
      </c>
      <c r="X26" s="2"/>
      <c r="Y26" s="78">
        <v>0</v>
      </c>
      <c r="Z26" s="62">
        <f>U24+AA26</f>
        <v>0</v>
      </c>
      <c r="AA26" s="20"/>
      <c r="AB26" s="21"/>
      <c r="AC26" s="42"/>
      <c r="AD26" s="23">
        <f t="shared" si="7"/>
        <v>0</v>
      </c>
      <c r="AE26" s="23">
        <f t="shared" si="8"/>
        <v>0</v>
      </c>
      <c r="AG26" s="52"/>
    </row>
    <row r="27" spans="1:35" hidden="1" outlineLevel="1">
      <c r="A27" s="96">
        <v>45701</v>
      </c>
      <c r="B27" s="17" t="s">
        <v>14</v>
      </c>
      <c r="C27" s="23">
        <v>0</v>
      </c>
      <c r="D27" s="23"/>
      <c r="E27" s="23">
        <f t="shared" si="2"/>
        <v>0</v>
      </c>
      <c r="G27" s="19"/>
      <c r="H27" s="62"/>
      <c r="I27" s="51">
        <f>M31+O31</f>
        <v>0</v>
      </c>
      <c r="J27" s="18"/>
      <c r="K27" s="18">
        <f t="shared" si="3"/>
        <v>0</v>
      </c>
      <c r="M27" s="78">
        <v>0</v>
      </c>
      <c r="N27" s="65">
        <f t="shared" si="13"/>
        <v>0</v>
      </c>
      <c r="O27" s="20"/>
      <c r="P27" s="21"/>
      <c r="Q27" s="42"/>
      <c r="R27" s="23">
        <f t="shared" si="4"/>
        <v>0</v>
      </c>
      <c r="S27" s="52">
        <f t="shared" si="5"/>
        <v>0</v>
      </c>
      <c r="U27" s="51">
        <f t="shared" si="12"/>
        <v>0</v>
      </c>
      <c r="V27" s="23"/>
      <c r="W27" s="18">
        <f t="shared" si="6"/>
        <v>0</v>
      </c>
      <c r="X27" s="2"/>
      <c r="Y27" s="78">
        <v>0</v>
      </c>
      <c r="Z27" s="62">
        <f>U25+AA27</f>
        <v>0</v>
      </c>
      <c r="AA27" s="20"/>
      <c r="AB27" s="21"/>
      <c r="AC27" s="42"/>
      <c r="AD27" s="23">
        <f t="shared" si="7"/>
        <v>0</v>
      </c>
      <c r="AE27" s="23">
        <f t="shared" si="8"/>
        <v>0</v>
      </c>
      <c r="AG27" s="52"/>
    </row>
    <row r="28" spans="1:35" hidden="1" outlineLevel="1">
      <c r="A28" s="96">
        <v>45702</v>
      </c>
      <c r="B28" s="17" t="s">
        <v>15</v>
      </c>
      <c r="C28" s="23">
        <v>0</v>
      </c>
      <c r="D28" s="23"/>
      <c r="E28" s="23">
        <f t="shared" si="2"/>
        <v>0</v>
      </c>
      <c r="G28" s="19"/>
      <c r="H28" s="62"/>
      <c r="I28" s="51">
        <f>M32+O32</f>
        <v>0</v>
      </c>
      <c r="J28" s="18"/>
      <c r="K28" s="18">
        <f t="shared" si="3"/>
        <v>0</v>
      </c>
      <c r="M28" s="78">
        <v>0</v>
      </c>
      <c r="N28" s="65">
        <f t="shared" si="13"/>
        <v>0</v>
      </c>
      <c r="O28" s="20"/>
      <c r="P28" s="21"/>
      <c r="Q28" s="42"/>
      <c r="R28" s="23">
        <f t="shared" si="4"/>
        <v>0</v>
      </c>
      <c r="S28" s="52">
        <f t="shared" si="5"/>
        <v>0</v>
      </c>
      <c r="U28" s="51">
        <f t="shared" si="12"/>
        <v>0</v>
      </c>
      <c r="V28" s="23"/>
      <c r="W28" s="18">
        <f t="shared" si="6"/>
        <v>0</v>
      </c>
      <c r="X28" s="2"/>
      <c r="Y28" s="78">
        <v>0</v>
      </c>
      <c r="Z28" s="62">
        <f>U26+AA28</f>
        <v>0</v>
      </c>
      <c r="AA28" s="20"/>
      <c r="AB28" s="21"/>
      <c r="AC28" s="42"/>
      <c r="AD28" s="23">
        <f t="shared" si="7"/>
        <v>0</v>
      </c>
      <c r="AE28" s="23">
        <f t="shared" si="8"/>
        <v>0</v>
      </c>
      <c r="AG28" s="52"/>
    </row>
    <row r="29" spans="1:35" s="12" customFormat="1" hidden="1" outlineLevel="1">
      <c r="A29" s="95">
        <v>45703</v>
      </c>
      <c r="B29" s="25" t="s">
        <v>16</v>
      </c>
      <c r="C29" s="29"/>
      <c r="D29" s="29"/>
      <c r="E29" s="29">
        <f t="shared" si="2"/>
        <v>0</v>
      </c>
      <c r="G29" s="64"/>
      <c r="H29" s="63"/>
      <c r="I29" s="53"/>
      <c r="J29" s="26"/>
      <c r="K29" s="26">
        <f t="shared" si="3"/>
        <v>0</v>
      </c>
      <c r="M29" s="79"/>
      <c r="N29" s="66"/>
      <c r="O29" s="27"/>
      <c r="P29" s="28"/>
      <c r="Q29" s="43"/>
      <c r="R29" s="29">
        <f t="shared" si="4"/>
        <v>0</v>
      </c>
      <c r="S29" s="54">
        <f t="shared" si="5"/>
        <v>0</v>
      </c>
      <c r="T29" s="11"/>
      <c r="U29" s="53"/>
      <c r="V29" s="29"/>
      <c r="W29" s="26">
        <f t="shared" si="6"/>
        <v>0</v>
      </c>
      <c r="X29" s="10"/>
      <c r="Y29" s="79"/>
      <c r="Z29" s="63"/>
      <c r="AA29" s="27"/>
      <c r="AB29" s="28"/>
      <c r="AC29" s="43"/>
      <c r="AD29" s="29">
        <f t="shared" si="7"/>
        <v>0</v>
      </c>
      <c r="AE29" s="29">
        <f t="shared" si="8"/>
        <v>0</v>
      </c>
      <c r="AG29" s="54"/>
      <c r="AI29" s="11"/>
    </row>
    <row r="30" spans="1:35" s="12" customFormat="1" hidden="1" outlineLevel="1" collapsed="1">
      <c r="A30" s="95">
        <v>45704</v>
      </c>
      <c r="B30" s="25" t="s">
        <v>17</v>
      </c>
      <c r="C30" s="29"/>
      <c r="D30" s="29"/>
      <c r="E30" s="29">
        <f t="shared" si="2"/>
        <v>0</v>
      </c>
      <c r="G30" s="64"/>
      <c r="H30" s="63"/>
      <c r="I30" s="53"/>
      <c r="J30" s="26"/>
      <c r="K30" s="26">
        <f t="shared" si="3"/>
        <v>0</v>
      </c>
      <c r="M30" s="79"/>
      <c r="N30" s="66"/>
      <c r="O30" s="27"/>
      <c r="P30" s="28"/>
      <c r="Q30" s="43"/>
      <c r="R30" s="29">
        <f t="shared" si="4"/>
        <v>0</v>
      </c>
      <c r="S30" s="54">
        <f t="shared" si="5"/>
        <v>0</v>
      </c>
      <c r="T30" s="11"/>
      <c r="U30" s="53"/>
      <c r="V30" s="29"/>
      <c r="W30" s="26">
        <f t="shared" si="6"/>
        <v>0</v>
      </c>
      <c r="X30" s="10"/>
      <c r="Y30" s="79"/>
      <c r="Z30" s="63"/>
      <c r="AA30" s="27"/>
      <c r="AB30" s="28"/>
      <c r="AC30" s="43"/>
      <c r="AD30" s="29">
        <f t="shared" si="7"/>
        <v>0</v>
      </c>
      <c r="AE30" s="29">
        <f t="shared" si="8"/>
        <v>0</v>
      </c>
      <c r="AG30" s="54"/>
      <c r="AI30" s="11"/>
    </row>
    <row r="31" spans="1:35" hidden="1" outlineLevel="1">
      <c r="A31" s="96">
        <v>45705</v>
      </c>
      <c r="B31" s="17" t="s">
        <v>18</v>
      </c>
      <c r="C31" s="23">
        <v>0</v>
      </c>
      <c r="D31" s="23"/>
      <c r="E31" s="23">
        <f t="shared" si="2"/>
        <v>0</v>
      </c>
      <c r="G31" s="19"/>
      <c r="H31" s="62"/>
      <c r="I31" s="51">
        <f>M33+O33</f>
        <v>0</v>
      </c>
      <c r="J31" s="18"/>
      <c r="K31" s="18">
        <f t="shared" si="3"/>
        <v>0</v>
      </c>
      <c r="M31" s="78">
        <v>0</v>
      </c>
      <c r="N31" s="65">
        <f t="shared" ref="N31:N35" si="14">M31+O31</f>
        <v>0</v>
      </c>
      <c r="O31" s="20"/>
      <c r="P31" s="21"/>
      <c r="Q31" s="42"/>
      <c r="R31" s="23">
        <f t="shared" si="4"/>
        <v>0</v>
      </c>
      <c r="S31" s="52">
        <f t="shared" si="5"/>
        <v>0</v>
      </c>
      <c r="U31" s="51">
        <f t="shared" si="12"/>
        <v>0</v>
      </c>
      <c r="V31" s="23">
        <v>6</v>
      </c>
      <c r="W31" s="18">
        <f t="shared" si="6"/>
        <v>6</v>
      </c>
      <c r="X31" s="2"/>
      <c r="Y31" s="78">
        <v>0</v>
      </c>
      <c r="Z31" s="62">
        <f>U27+AA31</f>
        <v>0</v>
      </c>
      <c r="AA31" s="20"/>
      <c r="AB31" s="21"/>
      <c r="AC31" s="42"/>
      <c r="AD31" s="23">
        <f t="shared" si="7"/>
        <v>0</v>
      </c>
      <c r="AE31" s="23">
        <f t="shared" si="8"/>
        <v>0</v>
      </c>
      <c r="AG31" s="52"/>
    </row>
    <row r="32" spans="1:35" hidden="1" outlineLevel="1">
      <c r="A32" s="96">
        <v>45706</v>
      </c>
      <c r="B32" s="17" t="s">
        <v>19</v>
      </c>
      <c r="C32" s="23">
        <v>0</v>
      </c>
      <c r="D32" s="23">
        <v>3</v>
      </c>
      <c r="E32" s="23">
        <f t="shared" si="2"/>
        <v>3</v>
      </c>
      <c r="G32" s="19"/>
      <c r="H32" s="62"/>
      <c r="I32" s="51">
        <f>M34+O34</f>
        <v>0</v>
      </c>
      <c r="J32" s="18">
        <v>3</v>
      </c>
      <c r="K32" s="18">
        <f t="shared" si="3"/>
        <v>3</v>
      </c>
      <c r="M32" s="78">
        <v>0</v>
      </c>
      <c r="N32" s="65">
        <f t="shared" si="14"/>
        <v>0</v>
      </c>
      <c r="O32" s="20"/>
      <c r="P32" s="21"/>
      <c r="Q32" s="42"/>
      <c r="R32" s="23">
        <f t="shared" si="4"/>
        <v>0</v>
      </c>
      <c r="S32" s="52">
        <f t="shared" si="5"/>
        <v>0</v>
      </c>
      <c r="U32" s="51">
        <f t="shared" si="12"/>
        <v>0</v>
      </c>
      <c r="V32" s="23">
        <v>0</v>
      </c>
      <c r="W32" s="18">
        <f t="shared" si="6"/>
        <v>6</v>
      </c>
      <c r="X32" s="2"/>
      <c r="Y32" s="78">
        <v>0</v>
      </c>
      <c r="Z32" s="62">
        <f>U28+AA32</f>
        <v>0</v>
      </c>
      <c r="AA32" s="20"/>
      <c r="AB32" s="21"/>
      <c r="AC32" s="42"/>
      <c r="AD32" s="23">
        <f t="shared" si="7"/>
        <v>0</v>
      </c>
      <c r="AE32" s="23">
        <f t="shared" si="8"/>
        <v>0</v>
      </c>
      <c r="AG32" s="52"/>
    </row>
    <row r="33" spans="1:35" hidden="1" outlineLevel="1">
      <c r="A33" s="96">
        <v>45707</v>
      </c>
      <c r="B33" s="17" t="s">
        <v>20</v>
      </c>
      <c r="C33" s="23">
        <v>3</v>
      </c>
      <c r="D33" s="23"/>
      <c r="E33" s="23">
        <f t="shared" si="2"/>
        <v>0</v>
      </c>
      <c r="G33" s="19"/>
      <c r="H33" s="62"/>
      <c r="I33" s="51">
        <f>M35+O35</f>
        <v>3</v>
      </c>
      <c r="J33" s="18">
        <v>0</v>
      </c>
      <c r="K33" s="18">
        <f t="shared" si="3"/>
        <v>0</v>
      </c>
      <c r="M33" s="78">
        <v>0</v>
      </c>
      <c r="N33" s="65">
        <f t="shared" si="14"/>
        <v>0</v>
      </c>
      <c r="O33" s="20"/>
      <c r="P33" s="21"/>
      <c r="Q33" s="42"/>
      <c r="R33" s="23">
        <f t="shared" si="4"/>
        <v>0</v>
      </c>
      <c r="S33" s="52">
        <f t="shared" si="5"/>
        <v>0</v>
      </c>
      <c r="U33" s="51">
        <f t="shared" si="12"/>
        <v>0</v>
      </c>
      <c r="V33" s="23">
        <v>0</v>
      </c>
      <c r="W33" s="18">
        <f t="shared" si="6"/>
        <v>6</v>
      </c>
      <c r="X33" s="2"/>
      <c r="Y33" s="78">
        <v>0</v>
      </c>
      <c r="Z33" s="62">
        <f>U31+AA33</f>
        <v>0</v>
      </c>
      <c r="AA33" s="20"/>
      <c r="AB33" s="21"/>
      <c r="AC33" s="42"/>
      <c r="AD33" s="23">
        <f t="shared" si="7"/>
        <v>0</v>
      </c>
      <c r="AE33" s="23">
        <f t="shared" si="8"/>
        <v>0</v>
      </c>
      <c r="AG33" s="52"/>
    </row>
    <row r="34" spans="1:35" hidden="1" outlineLevel="1">
      <c r="A34" s="96">
        <v>45708</v>
      </c>
      <c r="B34" s="17" t="s">
        <v>14</v>
      </c>
      <c r="C34" s="23">
        <v>0</v>
      </c>
      <c r="D34" s="23"/>
      <c r="E34" s="23">
        <f t="shared" si="2"/>
        <v>0</v>
      </c>
      <c r="G34" s="19"/>
      <c r="H34" s="62"/>
      <c r="I34" s="51">
        <f>M38+O38</f>
        <v>0</v>
      </c>
      <c r="J34" s="18"/>
      <c r="K34" s="18">
        <f t="shared" si="3"/>
        <v>0</v>
      </c>
      <c r="M34" s="78">
        <v>0</v>
      </c>
      <c r="N34" s="65">
        <f t="shared" si="14"/>
        <v>0</v>
      </c>
      <c r="O34" s="20"/>
      <c r="P34" s="21"/>
      <c r="Q34" s="42"/>
      <c r="R34" s="23">
        <f t="shared" si="4"/>
        <v>0</v>
      </c>
      <c r="S34" s="52">
        <f t="shared" si="5"/>
        <v>0</v>
      </c>
      <c r="U34" s="51">
        <f t="shared" si="12"/>
        <v>0</v>
      </c>
      <c r="V34" s="23"/>
      <c r="W34" s="18">
        <f t="shared" si="6"/>
        <v>6</v>
      </c>
      <c r="X34" s="2"/>
      <c r="Y34" s="78">
        <v>0</v>
      </c>
      <c r="Z34" s="62">
        <f>U32+AA34</f>
        <v>0</v>
      </c>
      <c r="AA34" s="20"/>
      <c r="AB34" s="21"/>
      <c r="AC34" s="42"/>
      <c r="AD34" s="23">
        <f t="shared" si="7"/>
        <v>0</v>
      </c>
      <c r="AE34" s="23">
        <f t="shared" si="8"/>
        <v>0</v>
      </c>
      <c r="AG34" s="52"/>
    </row>
    <row r="35" spans="1:35" hidden="1" outlineLevel="1">
      <c r="A35" s="96">
        <v>45709</v>
      </c>
      <c r="B35" s="17" t="s">
        <v>15</v>
      </c>
      <c r="C35" s="23">
        <v>0</v>
      </c>
      <c r="D35" s="23"/>
      <c r="E35" s="23">
        <f t="shared" si="2"/>
        <v>0</v>
      </c>
      <c r="G35" s="19"/>
      <c r="H35" s="62"/>
      <c r="I35" s="51">
        <f>M39+O39</f>
        <v>0</v>
      </c>
      <c r="J35" s="18"/>
      <c r="K35" s="18">
        <f t="shared" si="3"/>
        <v>0</v>
      </c>
      <c r="M35" s="78">
        <v>3</v>
      </c>
      <c r="N35" s="65">
        <f t="shared" si="14"/>
        <v>3</v>
      </c>
      <c r="O35" s="20"/>
      <c r="P35" s="21"/>
      <c r="Q35" s="57">
        <v>3</v>
      </c>
      <c r="R35" s="23">
        <f t="shared" si="4"/>
        <v>0</v>
      </c>
      <c r="S35" s="52">
        <f t="shared" si="5"/>
        <v>0</v>
      </c>
      <c r="U35" s="51">
        <f t="shared" si="12"/>
        <v>0</v>
      </c>
      <c r="V35" s="23">
        <v>0</v>
      </c>
      <c r="W35" s="18">
        <f t="shared" si="6"/>
        <v>6</v>
      </c>
      <c r="X35" s="2"/>
      <c r="Y35" s="78">
        <v>45</v>
      </c>
      <c r="Z35" s="62">
        <f>5-2</f>
        <v>3</v>
      </c>
      <c r="AA35" s="20"/>
      <c r="AB35" s="21"/>
      <c r="AC35" s="57">
        <v>3</v>
      </c>
      <c r="AD35" s="23">
        <f t="shared" si="7"/>
        <v>-42</v>
      </c>
      <c r="AE35" s="23">
        <f t="shared" si="8"/>
        <v>-42</v>
      </c>
      <c r="AG35" s="52"/>
    </row>
    <row r="36" spans="1:35" s="12" customFormat="1" hidden="1" outlineLevel="1">
      <c r="A36" s="95">
        <v>45710</v>
      </c>
      <c r="B36" s="25" t="s">
        <v>16</v>
      </c>
      <c r="C36" s="29"/>
      <c r="D36" s="29"/>
      <c r="E36" s="29">
        <f t="shared" si="2"/>
        <v>0</v>
      </c>
      <c r="G36" s="64"/>
      <c r="H36" s="63"/>
      <c r="I36" s="53"/>
      <c r="J36" s="26"/>
      <c r="K36" s="26">
        <f t="shared" si="3"/>
        <v>0</v>
      </c>
      <c r="M36" s="79"/>
      <c r="N36" s="66"/>
      <c r="O36" s="27"/>
      <c r="P36" s="28"/>
      <c r="Q36" s="43"/>
      <c r="R36" s="29">
        <f t="shared" si="4"/>
        <v>0</v>
      </c>
      <c r="S36" s="54">
        <f t="shared" si="5"/>
        <v>0</v>
      </c>
      <c r="T36" s="11"/>
      <c r="U36" s="53"/>
      <c r="V36" s="29"/>
      <c r="W36" s="26">
        <f t="shared" si="6"/>
        <v>6</v>
      </c>
      <c r="X36" s="10"/>
      <c r="Y36" s="79"/>
      <c r="Z36" s="63"/>
      <c r="AA36" s="27"/>
      <c r="AB36" s="28"/>
      <c r="AC36" s="43"/>
      <c r="AD36" s="29">
        <f t="shared" si="7"/>
        <v>-42</v>
      </c>
      <c r="AE36" s="29">
        <f t="shared" si="8"/>
        <v>-42</v>
      </c>
      <c r="AG36" s="54"/>
      <c r="AI36" s="11"/>
    </row>
    <row r="37" spans="1:35" s="12" customFormat="1" hidden="1" outlineLevel="1" collapsed="1">
      <c r="A37" s="95">
        <v>45711</v>
      </c>
      <c r="B37" s="25" t="s">
        <v>17</v>
      </c>
      <c r="C37" s="29"/>
      <c r="D37" s="29"/>
      <c r="E37" s="29">
        <f t="shared" si="2"/>
        <v>0</v>
      </c>
      <c r="G37" s="64"/>
      <c r="H37" s="63"/>
      <c r="I37" s="53"/>
      <c r="J37" s="26"/>
      <c r="K37" s="26">
        <f t="shared" si="3"/>
        <v>0</v>
      </c>
      <c r="M37" s="79"/>
      <c r="N37" s="66"/>
      <c r="O37" s="27"/>
      <c r="P37" s="28"/>
      <c r="Q37" s="43"/>
      <c r="R37" s="29">
        <f t="shared" si="4"/>
        <v>0</v>
      </c>
      <c r="S37" s="54">
        <f t="shared" si="5"/>
        <v>0</v>
      </c>
      <c r="T37" s="11"/>
      <c r="U37" s="53"/>
      <c r="V37" s="29"/>
      <c r="W37" s="26">
        <f t="shared" si="6"/>
        <v>6</v>
      </c>
      <c r="X37" s="10"/>
      <c r="Y37" s="79"/>
      <c r="Z37" s="63"/>
      <c r="AA37" s="27"/>
      <c r="AB37" s="28"/>
      <c r="AC37" s="43"/>
      <c r="AD37" s="29">
        <f t="shared" si="7"/>
        <v>-42</v>
      </c>
      <c r="AE37" s="29">
        <f t="shared" si="8"/>
        <v>-42</v>
      </c>
      <c r="AG37" s="54"/>
      <c r="AI37" s="11"/>
    </row>
    <row r="38" spans="1:35" hidden="1" outlineLevel="1">
      <c r="A38" s="96">
        <v>45712</v>
      </c>
      <c r="B38" s="17" t="s">
        <v>18</v>
      </c>
      <c r="C38" s="23">
        <v>0</v>
      </c>
      <c r="D38" s="23"/>
      <c r="E38" s="23">
        <f t="shared" si="2"/>
        <v>0</v>
      </c>
      <c r="G38" s="19"/>
      <c r="H38" s="62"/>
      <c r="I38" s="51">
        <f>M40+O40</f>
        <v>0</v>
      </c>
      <c r="J38" s="18">
        <v>0</v>
      </c>
      <c r="K38" s="18">
        <f t="shared" si="3"/>
        <v>0</v>
      </c>
      <c r="M38" s="78">
        <v>0</v>
      </c>
      <c r="N38" s="65">
        <f t="shared" ref="N38:N42" si="15">M38+O38</f>
        <v>0</v>
      </c>
      <c r="O38" s="20"/>
      <c r="P38" s="21"/>
      <c r="Q38" s="42"/>
      <c r="R38" s="23">
        <f t="shared" si="4"/>
        <v>0</v>
      </c>
      <c r="S38" s="52">
        <f t="shared" si="5"/>
        <v>0</v>
      </c>
      <c r="U38" s="51">
        <f t="shared" si="12"/>
        <v>0</v>
      </c>
      <c r="V38" s="23">
        <v>0</v>
      </c>
      <c r="W38" s="18">
        <f t="shared" si="6"/>
        <v>6</v>
      </c>
      <c r="X38" s="2"/>
      <c r="Y38" s="78">
        <v>0</v>
      </c>
      <c r="Z38" s="62">
        <f>U34+AA38</f>
        <v>0</v>
      </c>
      <c r="AA38" s="20"/>
      <c r="AB38" s="21"/>
      <c r="AC38" s="42"/>
      <c r="AD38" s="23">
        <f t="shared" si="7"/>
        <v>-42</v>
      </c>
      <c r="AE38" s="23">
        <f t="shared" si="8"/>
        <v>-42</v>
      </c>
      <c r="AG38" s="52"/>
    </row>
    <row r="39" spans="1:35" hidden="1" outlineLevel="1">
      <c r="A39" s="96">
        <v>45713</v>
      </c>
      <c r="B39" s="17" t="s">
        <v>19</v>
      </c>
      <c r="C39" s="23">
        <v>30</v>
      </c>
      <c r="D39" s="23">
        <f>J39+V39</f>
        <v>6</v>
      </c>
      <c r="E39" s="23">
        <f t="shared" si="2"/>
        <v>-24</v>
      </c>
      <c r="G39" s="19"/>
      <c r="H39" s="62"/>
      <c r="I39" s="51">
        <f>M41+O41</f>
        <v>0</v>
      </c>
      <c r="J39" s="18">
        <v>6</v>
      </c>
      <c r="K39" s="18">
        <f t="shared" si="3"/>
        <v>6</v>
      </c>
      <c r="M39" s="78">
        <v>0</v>
      </c>
      <c r="N39" s="65">
        <f t="shared" si="15"/>
        <v>0</v>
      </c>
      <c r="O39" s="20"/>
      <c r="P39" s="21"/>
      <c r="Q39" s="42"/>
      <c r="R39" s="23">
        <f t="shared" si="4"/>
        <v>0</v>
      </c>
      <c r="S39" s="52">
        <f t="shared" si="5"/>
        <v>0</v>
      </c>
      <c r="U39" s="51">
        <f t="shared" si="12"/>
        <v>30</v>
      </c>
      <c r="V39" s="23">
        <v>0</v>
      </c>
      <c r="W39" s="18">
        <f t="shared" si="6"/>
        <v>-24</v>
      </c>
      <c r="X39" s="2"/>
      <c r="Y39" s="78">
        <v>0</v>
      </c>
      <c r="Z39" s="62">
        <f>U35+AA39</f>
        <v>0</v>
      </c>
      <c r="AA39" s="20"/>
      <c r="AB39" s="21"/>
      <c r="AC39" s="42"/>
      <c r="AD39" s="23">
        <f t="shared" si="7"/>
        <v>-42</v>
      </c>
      <c r="AE39" s="23">
        <f t="shared" si="8"/>
        <v>-42</v>
      </c>
      <c r="AG39" s="52"/>
    </row>
    <row r="40" spans="1:35" hidden="1" outlineLevel="1">
      <c r="A40" s="96">
        <v>45714</v>
      </c>
      <c r="B40" s="17" t="s">
        <v>20</v>
      </c>
      <c r="C40" s="23">
        <v>60</v>
      </c>
      <c r="D40" s="23">
        <f t="shared" ref="D40:D103" si="16">J40+V40</f>
        <v>41</v>
      </c>
      <c r="E40" s="23">
        <f t="shared" si="2"/>
        <v>-43</v>
      </c>
      <c r="G40" s="19"/>
      <c r="H40" s="62"/>
      <c r="I40" s="51">
        <f>M42+O42</f>
        <v>0</v>
      </c>
      <c r="J40" s="18">
        <v>0</v>
      </c>
      <c r="K40" s="18">
        <f t="shared" si="3"/>
        <v>6</v>
      </c>
      <c r="M40" s="78">
        <v>3</v>
      </c>
      <c r="N40" s="65">
        <f t="shared" si="15"/>
        <v>0</v>
      </c>
      <c r="O40" s="20">
        <v>-3</v>
      </c>
      <c r="P40" s="21"/>
      <c r="Q40" s="57">
        <v>0</v>
      </c>
      <c r="R40" s="23">
        <f t="shared" si="4"/>
        <v>-3</v>
      </c>
      <c r="S40" s="52">
        <f t="shared" si="5"/>
        <v>-3</v>
      </c>
      <c r="U40" s="51">
        <f t="shared" si="12"/>
        <v>60</v>
      </c>
      <c r="V40" s="23">
        <v>41</v>
      </c>
      <c r="W40" s="18">
        <f t="shared" si="6"/>
        <v>-43</v>
      </c>
      <c r="X40" s="2"/>
      <c r="Y40" s="78">
        <v>36</v>
      </c>
      <c r="Z40" s="62">
        <f>U38+AA40</f>
        <v>0</v>
      </c>
      <c r="AA40" s="20"/>
      <c r="AB40" s="21"/>
      <c r="AC40" s="42"/>
      <c r="AD40" s="23">
        <f t="shared" si="7"/>
        <v>-78</v>
      </c>
      <c r="AE40" s="23">
        <f t="shared" si="8"/>
        <v>-78</v>
      </c>
      <c r="AG40" s="52"/>
    </row>
    <row r="41" spans="1:35" hidden="1" outlineLevel="1">
      <c r="A41" s="96">
        <v>45715</v>
      </c>
      <c r="B41" s="17" t="s">
        <v>14</v>
      </c>
      <c r="C41" s="23">
        <v>60</v>
      </c>
      <c r="D41" s="23">
        <f t="shared" si="16"/>
        <v>42</v>
      </c>
      <c r="E41" s="23">
        <f t="shared" si="2"/>
        <v>-61</v>
      </c>
      <c r="G41" s="19"/>
      <c r="H41" s="62"/>
      <c r="I41" s="51">
        <f>M45+O45</f>
        <v>9</v>
      </c>
      <c r="J41" s="18">
        <v>0</v>
      </c>
      <c r="K41" s="18">
        <f t="shared" si="3"/>
        <v>-3</v>
      </c>
      <c r="M41" s="78">
        <v>3</v>
      </c>
      <c r="N41" s="65">
        <f t="shared" si="15"/>
        <v>0</v>
      </c>
      <c r="O41" s="20">
        <v>-3</v>
      </c>
      <c r="P41" s="21"/>
      <c r="Q41" s="57">
        <v>0</v>
      </c>
      <c r="R41" s="23">
        <f t="shared" si="4"/>
        <v>-6</v>
      </c>
      <c r="S41" s="52">
        <f t="shared" si="5"/>
        <v>-6</v>
      </c>
      <c r="U41" s="51">
        <f t="shared" si="12"/>
        <v>51</v>
      </c>
      <c r="V41" s="23">
        <v>42</v>
      </c>
      <c r="W41" s="18">
        <f t="shared" si="6"/>
        <v>-52</v>
      </c>
      <c r="X41" s="2"/>
      <c r="Y41" s="78">
        <v>45</v>
      </c>
      <c r="Z41" s="62">
        <f>U39+AA41</f>
        <v>24</v>
      </c>
      <c r="AA41" s="20">
        <v>-6</v>
      </c>
      <c r="AB41" s="21"/>
      <c r="AC41" s="57">
        <v>24</v>
      </c>
      <c r="AD41" s="23">
        <f t="shared" si="7"/>
        <v>-99</v>
      </c>
      <c r="AE41" s="23">
        <f t="shared" si="8"/>
        <v>-99</v>
      </c>
      <c r="AG41" s="52"/>
    </row>
    <row r="42" spans="1:35" hidden="1" outlineLevel="1">
      <c r="A42" s="96">
        <v>45716</v>
      </c>
      <c r="B42" s="17" t="s">
        <v>15</v>
      </c>
      <c r="C42" s="23">
        <v>60</v>
      </c>
      <c r="D42" s="23">
        <f t="shared" si="16"/>
        <v>37</v>
      </c>
      <c r="E42" s="23">
        <f t="shared" si="2"/>
        <v>-84</v>
      </c>
      <c r="G42" s="19"/>
      <c r="H42" s="62"/>
      <c r="I42" s="51">
        <f>M46+O46</f>
        <v>0</v>
      </c>
      <c r="J42" s="18">
        <v>2</v>
      </c>
      <c r="K42" s="18">
        <f t="shared" si="3"/>
        <v>-1</v>
      </c>
      <c r="M42" s="78">
        <v>0</v>
      </c>
      <c r="N42" s="65">
        <f t="shared" si="15"/>
        <v>0</v>
      </c>
      <c r="O42" s="20"/>
      <c r="P42" s="21"/>
      <c r="Q42" s="42"/>
      <c r="R42" s="23">
        <f t="shared" si="4"/>
        <v>-6</v>
      </c>
      <c r="S42" s="52">
        <f t="shared" si="5"/>
        <v>-6</v>
      </c>
      <c r="U42" s="51">
        <f t="shared" si="12"/>
        <v>60</v>
      </c>
      <c r="V42" s="23">
        <v>35</v>
      </c>
      <c r="W42" s="18">
        <f t="shared" si="6"/>
        <v>-77</v>
      </c>
      <c r="X42" s="2"/>
      <c r="Y42" s="78">
        <v>36</v>
      </c>
      <c r="Z42" s="62">
        <f>U40+AA42</f>
        <v>60</v>
      </c>
      <c r="AA42" s="20"/>
      <c r="AB42" s="21"/>
      <c r="AC42" s="57">
        <v>60</v>
      </c>
      <c r="AD42" s="23">
        <f t="shared" si="7"/>
        <v>-75</v>
      </c>
      <c r="AE42" s="23">
        <f t="shared" si="8"/>
        <v>-75</v>
      </c>
      <c r="AG42" s="52"/>
      <c r="AI42">
        <f>SUM(M38:M42,Y38:Y42)/5</f>
        <v>24.6</v>
      </c>
    </row>
    <row r="43" spans="1:35" s="12" customFormat="1" hidden="1" outlineLevel="1">
      <c r="A43" s="95">
        <v>45717</v>
      </c>
      <c r="B43" s="25" t="s">
        <v>16</v>
      </c>
      <c r="C43" s="29"/>
      <c r="D43" s="29">
        <f t="shared" si="16"/>
        <v>0</v>
      </c>
      <c r="E43" s="29">
        <f t="shared" si="2"/>
        <v>-84</v>
      </c>
      <c r="G43" s="64"/>
      <c r="H43" s="63"/>
      <c r="I43" s="53"/>
      <c r="J43" s="26"/>
      <c r="K43" s="26">
        <f t="shared" si="3"/>
        <v>-1</v>
      </c>
      <c r="M43" s="79"/>
      <c r="N43" s="66"/>
      <c r="O43" s="27"/>
      <c r="P43" s="28"/>
      <c r="Q43" s="43"/>
      <c r="R43" s="29">
        <f t="shared" si="4"/>
        <v>-6</v>
      </c>
      <c r="S43" s="54">
        <f t="shared" si="5"/>
        <v>-6</v>
      </c>
      <c r="T43" s="11"/>
      <c r="U43" s="53"/>
      <c r="V43" s="29"/>
      <c r="W43" s="26">
        <f t="shared" si="6"/>
        <v>-77</v>
      </c>
      <c r="X43" s="10"/>
      <c r="Y43" s="79"/>
      <c r="Z43" s="63"/>
      <c r="AA43" s="27"/>
      <c r="AB43" s="28"/>
      <c r="AC43" s="43"/>
      <c r="AD43" s="29">
        <f t="shared" si="7"/>
        <v>-75</v>
      </c>
      <c r="AE43" s="29">
        <f t="shared" si="8"/>
        <v>-75</v>
      </c>
      <c r="AG43" s="54"/>
      <c r="AI43" s="11"/>
    </row>
    <row r="44" spans="1:35" s="12" customFormat="1" hidden="1" outlineLevel="1" collapsed="1">
      <c r="A44" s="95">
        <v>45718</v>
      </c>
      <c r="B44" s="25" t="s">
        <v>17</v>
      </c>
      <c r="C44" s="29"/>
      <c r="D44" s="29">
        <f t="shared" si="16"/>
        <v>0</v>
      </c>
      <c r="E44" s="29">
        <f t="shared" si="2"/>
        <v>-84</v>
      </c>
      <c r="G44" s="64"/>
      <c r="H44" s="63"/>
      <c r="I44" s="53"/>
      <c r="J44" s="26"/>
      <c r="K44" s="26">
        <f t="shared" si="3"/>
        <v>-1</v>
      </c>
      <c r="M44" s="79"/>
      <c r="N44" s="66"/>
      <c r="O44" s="27"/>
      <c r="P44" s="28"/>
      <c r="Q44" s="43"/>
      <c r="R44" s="29">
        <f t="shared" si="4"/>
        <v>-6</v>
      </c>
      <c r="S44" s="54">
        <f t="shared" si="5"/>
        <v>-6</v>
      </c>
      <c r="T44" s="11"/>
      <c r="U44" s="53"/>
      <c r="V44" s="29"/>
      <c r="W44" s="26">
        <f t="shared" si="6"/>
        <v>-77</v>
      </c>
      <c r="X44" s="10"/>
      <c r="Y44" s="79"/>
      <c r="Z44" s="63"/>
      <c r="AA44" s="27"/>
      <c r="AB44" s="28"/>
      <c r="AC44" s="43"/>
      <c r="AD44" s="29">
        <f t="shared" si="7"/>
        <v>-75</v>
      </c>
      <c r="AE44" s="29">
        <f t="shared" si="8"/>
        <v>-75</v>
      </c>
      <c r="AG44" s="54"/>
      <c r="AI44" s="11"/>
    </row>
    <row r="45" spans="1:35" hidden="1" outlineLevel="1">
      <c r="A45" s="96">
        <v>45719</v>
      </c>
      <c r="B45" s="17" t="s">
        <v>18</v>
      </c>
      <c r="C45" s="23">
        <v>45</v>
      </c>
      <c r="D45" s="23">
        <f t="shared" si="16"/>
        <v>53</v>
      </c>
      <c r="E45" s="23">
        <f t="shared" si="2"/>
        <v>-76</v>
      </c>
      <c r="G45" s="19"/>
      <c r="H45" s="62"/>
      <c r="I45" s="51">
        <f>M47</f>
        <v>0</v>
      </c>
      <c r="J45" s="18">
        <v>0</v>
      </c>
      <c r="K45" s="18">
        <f t="shared" si="3"/>
        <v>-1</v>
      </c>
      <c r="M45" s="78">
        <v>3</v>
      </c>
      <c r="N45" s="65">
        <f>M45+O45</f>
        <v>9</v>
      </c>
      <c r="O45" s="20">
        <v>6</v>
      </c>
      <c r="P45" s="21"/>
      <c r="Q45" s="57">
        <v>9</v>
      </c>
      <c r="R45" s="23">
        <f t="shared" si="4"/>
        <v>0</v>
      </c>
      <c r="S45" s="52">
        <f t="shared" si="5"/>
        <v>0</v>
      </c>
      <c r="U45" s="51">
        <f t="shared" ref="U45:U73" si="17">C45-I45</f>
        <v>45</v>
      </c>
      <c r="V45" s="23">
        <v>53</v>
      </c>
      <c r="W45" s="18">
        <f t="shared" si="6"/>
        <v>-69</v>
      </c>
      <c r="X45" s="2"/>
      <c r="Y45" s="78">
        <v>48</v>
      </c>
      <c r="Z45" s="62">
        <f>U41+AA45</f>
        <v>39</v>
      </c>
      <c r="AA45" s="20">
        <v>-12</v>
      </c>
      <c r="AB45" s="21"/>
      <c r="AC45" s="57">
        <v>39</v>
      </c>
      <c r="AD45" s="23">
        <f t="shared" si="7"/>
        <v>-84</v>
      </c>
      <c r="AE45" s="23">
        <f t="shared" si="8"/>
        <v>-84</v>
      </c>
      <c r="AG45" s="52"/>
    </row>
    <row r="46" spans="1:35" hidden="1" outlineLevel="1">
      <c r="A46" s="96">
        <v>45720</v>
      </c>
      <c r="B46" s="17" t="s">
        <v>19</v>
      </c>
      <c r="C46" s="23">
        <v>45</v>
      </c>
      <c r="D46" s="23">
        <f t="shared" si="16"/>
        <v>54</v>
      </c>
      <c r="E46" s="23">
        <f t="shared" si="2"/>
        <v>-67</v>
      </c>
      <c r="G46" s="19"/>
      <c r="H46" s="62"/>
      <c r="I46" s="51">
        <f>M48</f>
        <v>0</v>
      </c>
      <c r="J46" s="18">
        <v>0</v>
      </c>
      <c r="K46" s="18">
        <f t="shared" si="3"/>
        <v>-1</v>
      </c>
      <c r="M46" s="78">
        <v>0</v>
      </c>
      <c r="N46" s="65">
        <f t="shared" ref="N46:N49" si="18">M46</f>
        <v>0</v>
      </c>
      <c r="O46" s="20"/>
      <c r="P46" s="21"/>
      <c r="Q46" s="57">
        <v>0</v>
      </c>
      <c r="R46" s="23">
        <f t="shared" si="4"/>
        <v>0</v>
      </c>
      <c r="S46" s="52">
        <f t="shared" si="5"/>
        <v>0</v>
      </c>
      <c r="U46" s="51">
        <f t="shared" si="17"/>
        <v>45</v>
      </c>
      <c r="V46" s="23">
        <v>54</v>
      </c>
      <c r="W46" s="18">
        <f t="shared" si="6"/>
        <v>-60</v>
      </c>
      <c r="X46" s="2"/>
      <c r="Y46" s="78">
        <v>0</v>
      </c>
      <c r="Z46" s="62">
        <f>U42+AA46</f>
        <v>60</v>
      </c>
      <c r="AA46" s="20"/>
      <c r="AB46" s="21"/>
      <c r="AC46" s="57">
        <v>60</v>
      </c>
      <c r="AD46" s="23">
        <f t="shared" si="7"/>
        <v>-24</v>
      </c>
      <c r="AE46" s="23">
        <f t="shared" si="8"/>
        <v>-24</v>
      </c>
      <c r="AG46" s="52"/>
    </row>
    <row r="47" spans="1:35" hidden="1" outlineLevel="1">
      <c r="A47" s="96">
        <v>45721</v>
      </c>
      <c r="B47" s="17" t="s">
        <v>20</v>
      </c>
      <c r="C47" s="23">
        <f>42+3</f>
        <v>45</v>
      </c>
      <c r="D47" s="23">
        <f t="shared" si="16"/>
        <v>30</v>
      </c>
      <c r="E47" s="23">
        <f t="shared" si="2"/>
        <v>-82</v>
      </c>
      <c r="G47" s="19"/>
      <c r="H47" s="62"/>
      <c r="I47" s="51">
        <f>M49</f>
        <v>0</v>
      </c>
      <c r="J47" s="18">
        <v>0</v>
      </c>
      <c r="K47" s="18">
        <f t="shared" si="3"/>
        <v>-1</v>
      </c>
      <c r="M47" s="78">
        <v>0</v>
      </c>
      <c r="N47" s="65">
        <f t="shared" si="18"/>
        <v>0</v>
      </c>
      <c r="O47" s="20"/>
      <c r="P47" s="21"/>
      <c r="Q47" s="57">
        <v>0</v>
      </c>
      <c r="R47" s="23">
        <f t="shared" si="4"/>
        <v>0</v>
      </c>
      <c r="S47" s="52">
        <f t="shared" si="5"/>
        <v>0</v>
      </c>
      <c r="U47" s="51">
        <f t="shared" si="17"/>
        <v>45</v>
      </c>
      <c r="V47" s="23">
        <v>30</v>
      </c>
      <c r="W47" s="18">
        <f t="shared" si="6"/>
        <v>-75</v>
      </c>
      <c r="X47" s="2"/>
      <c r="Y47" s="78">
        <v>48</v>
      </c>
      <c r="Z47" s="62">
        <f>U45+AA47</f>
        <v>45</v>
      </c>
      <c r="AA47" s="20"/>
      <c r="AB47" s="21"/>
      <c r="AC47" s="57">
        <v>45</v>
      </c>
      <c r="AD47" s="23">
        <f t="shared" si="7"/>
        <v>-27</v>
      </c>
      <c r="AE47" s="23">
        <f t="shared" si="8"/>
        <v>-27</v>
      </c>
      <c r="AG47" s="52"/>
    </row>
    <row r="48" spans="1:35" hidden="1" outlineLevel="1">
      <c r="A48" s="96">
        <v>45722</v>
      </c>
      <c r="B48" s="17" t="s">
        <v>14</v>
      </c>
      <c r="C48" s="23">
        <v>42</v>
      </c>
      <c r="D48" s="23">
        <f t="shared" si="16"/>
        <v>30</v>
      </c>
      <c r="E48" s="23">
        <f t="shared" si="2"/>
        <v>-94</v>
      </c>
      <c r="G48" s="19"/>
      <c r="H48" s="62"/>
      <c r="I48" s="51">
        <f>M52</f>
        <v>0</v>
      </c>
      <c r="J48" s="18">
        <v>0</v>
      </c>
      <c r="K48" s="18">
        <f t="shared" si="3"/>
        <v>-1</v>
      </c>
      <c r="M48" s="78">
        <v>0</v>
      </c>
      <c r="N48" s="65">
        <f t="shared" si="18"/>
        <v>0</v>
      </c>
      <c r="O48" s="20"/>
      <c r="P48" s="21"/>
      <c r="Q48" s="57">
        <v>0</v>
      </c>
      <c r="R48" s="23">
        <f t="shared" si="4"/>
        <v>0</v>
      </c>
      <c r="S48" s="52">
        <f t="shared" si="5"/>
        <v>0</v>
      </c>
      <c r="U48" s="51">
        <f t="shared" si="17"/>
        <v>42</v>
      </c>
      <c r="V48" s="23">
        <v>30</v>
      </c>
      <c r="W48" s="18">
        <f t="shared" si="6"/>
        <v>-87</v>
      </c>
      <c r="X48" s="2"/>
      <c r="Y48" s="78">
        <v>39</v>
      </c>
      <c r="Z48" s="62">
        <f>U46+AA48</f>
        <v>30</v>
      </c>
      <c r="AA48" s="20">
        <v>-15</v>
      </c>
      <c r="AB48" s="21"/>
      <c r="AC48" s="57">
        <v>30</v>
      </c>
      <c r="AD48" s="23">
        <f t="shared" si="7"/>
        <v>-36</v>
      </c>
      <c r="AE48" s="23">
        <f t="shared" si="8"/>
        <v>-36</v>
      </c>
      <c r="AG48" s="52"/>
    </row>
    <row r="49" spans="1:38" hidden="1" outlineLevel="1">
      <c r="A49" s="96">
        <v>45723</v>
      </c>
      <c r="B49" s="17" t="s">
        <v>15</v>
      </c>
      <c r="C49" s="23">
        <v>42</v>
      </c>
      <c r="D49" s="23">
        <f t="shared" si="16"/>
        <v>41</v>
      </c>
      <c r="E49" s="23">
        <f t="shared" si="2"/>
        <v>-95</v>
      </c>
      <c r="G49" s="19"/>
      <c r="H49" s="62"/>
      <c r="I49" s="51">
        <f>M53</f>
        <v>3</v>
      </c>
      <c r="J49" s="18">
        <v>0</v>
      </c>
      <c r="K49" s="18">
        <f t="shared" si="3"/>
        <v>-4</v>
      </c>
      <c r="M49" s="78">
        <v>0</v>
      </c>
      <c r="N49" s="65">
        <f t="shared" si="18"/>
        <v>0</v>
      </c>
      <c r="O49" s="20"/>
      <c r="P49" s="21"/>
      <c r="Q49" s="57">
        <v>0</v>
      </c>
      <c r="R49" s="23">
        <f t="shared" si="4"/>
        <v>0</v>
      </c>
      <c r="S49" s="52">
        <f t="shared" si="5"/>
        <v>0</v>
      </c>
      <c r="U49" s="51">
        <f t="shared" si="17"/>
        <v>39</v>
      </c>
      <c r="V49" s="23">
        <v>41</v>
      </c>
      <c r="W49" s="18">
        <f t="shared" si="6"/>
        <v>-85</v>
      </c>
      <c r="X49" s="2"/>
      <c r="Y49" s="78">
        <v>48</v>
      </c>
      <c r="Z49" s="62">
        <f>U47+AA49</f>
        <v>30</v>
      </c>
      <c r="AA49" s="20">
        <v>-15</v>
      </c>
      <c r="AB49" s="21"/>
      <c r="AC49" s="57">
        <v>30</v>
      </c>
      <c r="AD49" s="23">
        <f t="shared" si="7"/>
        <v>-54</v>
      </c>
      <c r="AE49" s="23">
        <f t="shared" si="8"/>
        <v>-54</v>
      </c>
      <c r="AG49" s="52"/>
      <c r="AI49">
        <f>SUM(M45:M49,Y45:Y49)/5</f>
        <v>37.200000000000003</v>
      </c>
    </row>
    <row r="50" spans="1:38" s="12" customFormat="1" hidden="1" outlineLevel="1">
      <c r="A50" s="95">
        <v>45724</v>
      </c>
      <c r="B50" s="25" t="s">
        <v>16</v>
      </c>
      <c r="C50" s="29"/>
      <c r="D50" s="29">
        <f t="shared" si="16"/>
        <v>0</v>
      </c>
      <c r="E50" s="29">
        <f t="shared" si="2"/>
        <v>-95</v>
      </c>
      <c r="G50" s="64"/>
      <c r="H50" s="63"/>
      <c r="I50" s="53"/>
      <c r="J50" s="26"/>
      <c r="K50" s="26">
        <f t="shared" si="3"/>
        <v>-4</v>
      </c>
      <c r="M50" s="79"/>
      <c r="N50" s="66"/>
      <c r="O50" s="27"/>
      <c r="P50" s="28"/>
      <c r="Q50" s="43"/>
      <c r="R50" s="29">
        <f t="shared" si="4"/>
        <v>0</v>
      </c>
      <c r="S50" s="54">
        <f t="shared" si="5"/>
        <v>0</v>
      </c>
      <c r="T50" s="11"/>
      <c r="U50" s="53"/>
      <c r="V50" s="29"/>
      <c r="W50" s="26">
        <f t="shared" si="6"/>
        <v>-85</v>
      </c>
      <c r="X50" s="10"/>
      <c r="Y50" s="79"/>
      <c r="Z50" s="63"/>
      <c r="AA50" s="27"/>
      <c r="AB50" s="28"/>
      <c r="AC50" s="43"/>
      <c r="AD50" s="29">
        <f t="shared" si="7"/>
        <v>-54</v>
      </c>
      <c r="AE50" s="29">
        <f t="shared" si="8"/>
        <v>-54</v>
      </c>
      <c r="AG50" s="54"/>
      <c r="AI50" s="11"/>
    </row>
    <row r="51" spans="1:38" s="12" customFormat="1" hidden="1" outlineLevel="1" collapsed="1">
      <c r="A51" s="95">
        <v>45725</v>
      </c>
      <c r="B51" s="25" t="s">
        <v>17</v>
      </c>
      <c r="C51" s="29"/>
      <c r="D51" s="29">
        <f t="shared" si="16"/>
        <v>0</v>
      </c>
      <c r="E51" s="29">
        <f t="shared" si="2"/>
        <v>-95</v>
      </c>
      <c r="G51" s="64"/>
      <c r="H51" s="63"/>
      <c r="I51" s="53"/>
      <c r="J51" s="26"/>
      <c r="K51" s="26">
        <f t="shared" si="3"/>
        <v>-4</v>
      </c>
      <c r="M51" s="79"/>
      <c r="N51" s="66"/>
      <c r="O51" s="27"/>
      <c r="P51" s="28"/>
      <c r="Q51" s="43"/>
      <c r="R51" s="29">
        <f t="shared" si="4"/>
        <v>0</v>
      </c>
      <c r="S51" s="54">
        <f t="shared" si="5"/>
        <v>0</v>
      </c>
      <c r="T51" s="11"/>
      <c r="U51" s="53"/>
      <c r="V51" s="29"/>
      <c r="W51" s="26">
        <f t="shared" si="6"/>
        <v>-85</v>
      </c>
      <c r="X51" s="10"/>
      <c r="Y51" s="79"/>
      <c r="Z51" s="63"/>
      <c r="AA51" s="27"/>
      <c r="AB51" s="28"/>
      <c r="AC51" s="43"/>
      <c r="AD51" s="29">
        <f t="shared" si="7"/>
        <v>-54</v>
      </c>
      <c r="AE51" s="29">
        <f t="shared" si="8"/>
        <v>-54</v>
      </c>
      <c r="AG51" s="54"/>
      <c r="AI51" s="11"/>
    </row>
    <row r="52" spans="1:38" hidden="1" outlineLevel="1">
      <c r="A52" s="96">
        <v>45726</v>
      </c>
      <c r="B52" s="17" t="s">
        <v>18</v>
      </c>
      <c r="C52" s="23">
        <v>45</v>
      </c>
      <c r="D52" s="23">
        <f t="shared" si="16"/>
        <v>48</v>
      </c>
      <c r="E52" s="23">
        <f t="shared" si="2"/>
        <v>-92</v>
      </c>
      <c r="G52" s="19"/>
      <c r="H52" s="62"/>
      <c r="I52" s="51">
        <f>M54</f>
        <v>0</v>
      </c>
      <c r="J52" s="18">
        <v>3</v>
      </c>
      <c r="K52" s="18">
        <f t="shared" si="3"/>
        <v>-1</v>
      </c>
      <c r="M52" s="78">
        <v>0</v>
      </c>
      <c r="N52" s="65">
        <f t="shared" ref="N52:N56" si="19">M52</f>
        <v>0</v>
      </c>
      <c r="O52" s="20"/>
      <c r="P52" s="21"/>
      <c r="Q52" s="57">
        <v>0</v>
      </c>
      <c r="R52" s="23">
        <f t="shared" si="4"/>
        <v>0</v>
      </c>
      <c r="S52" s="52">
        <f t="shared" si="5"/>
        <v>0</v>
      </c>
      <c r="U52" s="51">
        <f t="shared" si="17"/>
        <v>45</v>
      </c>
      <c r="V52" s="23">
        <v>45</v>
      </c>
      <c r="W52" s="18">
        <f t="shared" si="6"/>
        <v>-85</v>
      </c>
      <c r="X52" s="2"/>
      <c r="Y52" s="78">
        <v>36</v>
      </c>
      <c r="Z52" s="62">
        <f>U48+AA52</f>
        <v>42</v>
      </c>
      <c r="AA52" s="20"/>
      <c r="AB52" s="21"/>
      <c r="AC52" s="57">
        <v>42</v>
      </c>
      <c r="AD52" s="23">
        <f t="shared" si="7"/>
        <v>-48</v>
      </c>
      <c r="AE52" s="23">
        <f t="shared" si="8"/>
        <v>-48</v>
      </c>
      <c r="AG52" s="52"/>
    </row>
    <row r="53" spans="1:38" hidden="1" outlineLevel="1">
      <c r="A53" s="96">
        <v>45727</v>
      </c>
      <c r="B53" s="17" t="s">
        <v>19</v>
      </c>
      <c r="C53" s="23">
        <v>45</v>
      </c>
      <c r="D53" s="23">
        <f t="shared" si="16"/>
        <v>30</v>
      </c>
      <c r="E53" s="23">
        <f t="shared" si="2"/>
        <v>-107</v>
      </c>
      <c r="G53" s="19"/>
      <c r="H53" s="62"/>
      <c r="I53" s="51">
        <f>M55</f>
        <v>0</v>
      </c>
      <c r="J53" s="18">
        <v>0</v>
      </c>
      <c r="K53" s="18">
        <f t="shared" si="3"/>
        <v>-1</v>
      </c>
      <c r="M53" s="78">
        <v>3</v>
      </c>
      <c r="N53" s="65">
        <f t="shared" si="19"/>
        <v>3</v>
      </c>
      <c r="O53" s="20"/>
      <c r="P53" s="21">
        <v>19</v>
      </c>
      <c r="Q53" s="57">
        <v>3</v>
      </c>
      <c r="R53" s="23">
        <f t="shared" si="4"/>
        <v>0</v>
      </c>
      <c r="S53" s="52">
        <f t="shared" si="5"/>
        <v>0</v>
      </c>
      <c r="U53" s="51">
        <f t="shared" si="17"/>
        <v>45</v>
      </c>
      <c r="V53" s="23">
        <v>30</v>
      </c>
      <c r="W53" s="18">
        <f t="shared" si="6"/>
        <v>-100</v>
      </c>
      <c r="X53" s="2"/>
      <c r="Y53" s="78">
        <v>48</v>
      </c>
      <c r="Z53" s="62">
        <f>U49+AA53</f>
        <v>39</v>
      </c>
      <c r="AA53" s="20"/>
      <c r="AB53" s="21"/>
      <c r="AC53" s="57">
        <v>39</v>
      </c>
      <c r="AD53" s="23">
        <f t="shared" si="7"/>
        <v>-57</v>
      </c>
      <c r="AE53" s="23">
        <f t="shared" si="8"/>
        <v>-57</v>
      </c>
      <c r="AG53" s="52"/>
    </row>
    <row r="54" spans="1:38" hidden="1" outlineLevel="1">
      <c r="A54" s="96">
        <v>45728</v>
      </c>
      <c r="B54" s="17" t="s">
        <v>20</v>
      </c>
      <c r="C54" s="23">
        <v>45</v>
      </c>
      <c r="D54" s="23">
        <f t="shared" si="16"/>
        <v>30</v>
      </c>
      <c r="E54" s="23">
        <f t="shared" si="2"/>
        <v>-122</v>
      </c>
      <c r="G54" s="19"/>
      <c r="H54" s="62"/>
      <c r="I54" s="51">
        <f>M56</f>
        <v>0</v>
      </c>
      <c r="J54" s="18">
        <v>0</v>
      </c>
      <c r="K54" s="18">
        <f t="shared" si="3"/>
        <v>-1</v>
      </c>
      <c r="M54" s="78">
        <v>0</v>
      </c>
      <c r="N54" s="65">
        <f t="shared" si="19"/>
        <v>0</v>
      </c>
      <c r="O54" s="20"/>
      <c r="P54" s="21"/>
      <c r="Q54" s="57">
        <v>0</v>
      </c>
      <c r="R54" s="23">
        <f t="shared" si="4"/>
        <v>0</v>
      </c>
      <c r="S54" s="52">
        <f t="shared" si="5"/>
        <v>0</v>
      </c>
      <c r="U54" s="51">
        <f t="shared" si="17"/>
        <v>45</v>
      </c>
      <c r="V54" s="23">
        <v>30</v>
      </c>
      <c r="W54" s="18">
        <f t="shared" si="6"/>
        <v>-115</v>
      </c>
      <c r="X54" s="2"/>
      <c r="Y54" s="78">
        <v>45</v>
      </c>
      <c r="Z54" s="62">
        <f>U52+AA54</f>
        <v>30</v>
      </c>
      <c r="AA54" s="20">
        <v>-15</v>
      </c>
      <c r="AB54" s="21"/>
      <c r="AC54" s="57">
        <v>30</v>
      </c>
      <c r="AD54" s="23">
        <f t="shared" si="7"/>
        <v>-72</v>
      </c>
      <c r="AE54" s="23">
        <f t="shared" si="8"/>
        <v>-72</v>
      </c>
      <c r="AG54" s="52"/>
    </row>
    <row r="55" spans="1:38" hidden="1" outlineLevel="1">
      <c r="A55" s="96">
        <v>45729</v>
      </c>
      <c r="B55" s="17" t="s">
        <v>14</v>
      </c>
      <c r="C55" s="23">
        <v>45</v>
      </c>
      <c r="D55" s="23">
        <f t="shared" si="16"/>
        <v>30</v>
      </c>
      <c r="E55" s="23">
        <f t="shared" si="2"/>
        <v>-137</v>
      </c>
      <c r="G55" s="19"/>
      <c r="H55" s="62"/>
      <c r="I55" s="51">
        <f>M59</f>
        <v>0</v>
      </c>
      <c r="J55" s="18">
        <v>0</v>
      </c>
      <c r="K55" s="18">
        <f t="shared" si="3"/>
        <v>-1</v>
      </c>
      <c r="M55" s="78">
        <v>0</v>
      </c>
      <c r="N55" s="65">
        <f t="shared" si="19"/>
        <v>0</v>
      </c>
      <c r="O55" s="20"/>
      <c r="P55" s="21"/>
      <c r="Q55" s="57">
        <v>0</v>
      </c>
      <c r="R55" s="23">
        <f t="shared" si="4"/>
        <v>0</v>
      </c>
      <c r="S55" s="52">
        <f t="shared" si="5"/>
        <v>0</v>
      </c>
      <c r="U55" s="51">
        <f t="shared" si="17"/>
        <v>45</v>
      </c>
      <c r="V55" s="23">
        <v>30</v>
      </c>
      <c r="W55" s="18">
        <f t="shared" si="6"/>
        <v>-130</v>
      </c>
      <c r="X55" s="2"/>
      <c r="Y55" s="78">
        <v>42</v>
      </c>
      <c r="Z55" s="62">
        <f>U53+AA55</f>
        <v>30</v>
      </c>
      <c r="AA55" s="20">
        <v>-15</v>
      </c>
      <c r="AB55" s="21"/>
      <c r="AC55" s="57">
        <v>30</v>
      </c>
      <c r="AD55" s="23">
        <f t="shared" si="7"/>
        <v>-84</v>
      </c>
      <c r="AE55" s="23">
        <f t="shared" si="8"/>
        <v>-84</v>
      </c>
      <c r="AG55" s="52"/>
    </row>
    <row r="56" spans="1:38" hidden="1" outlineLevel="1">
      <c r="A56" s="96">
        <v>45730</v>
      </c>
      <c r="B56" s="17" t="s">
        <v>15</v>
      </c>
      <c r="C56" s="23">
        <v>45</v>
      </c>
      <c r="D56" s="23">
        <f t="shared" si="16"/>
        <v>24</v>
      </c>
      <c r="E56" s="23">
        <f t="shared" si="2"/>
        <v>-158</v>
      </c>
      <c r="G56" s="19"/>
      <c r="H56" s="62"/>
      <c r="I56" s="51">
        <f>M60</f>
        <v>3</v>
      </c>
      <c r="J56" s="18">
        <v>0</v>
      </c>
      <c r="K56" s="18">
        <f t="shared" si="3"/>
        <v>-4</v>
      </c>
      <c r="M56" s="78">
        <v>0</v>
      </c>
      <c r="N56" s="65">
        <f t="shared" si="19"/>
        <v>0</v>
      </c>
      <c r="O56" s="20"/>
      <c r="P56" s="21"/>
      <c r="Q56" s="57">
        <v>0</v>
      </c>
      <c r="R56" s="23">
        <f t="shared" si="4"/>
        <v>0</v>
      </c>
      <c r="S56" s="52">
        <f t="shared" si="5"/>
        <v>0</v>
      </c>
      <c r="U56" s="51">
        <f t="shared" si="17"/>
        <v>42</v>
      </c>
      <c r="V56" s="23">
        <v>24</v>
      </c>
      <c r="W56" s="18">
        <f t="shared" si="6"/>
        <v>-148</v>
      </c>
      <c r="X56" s="2"/>
      <c r="Y56" s="78">
        <v>45</v>
      </c>
      <c r="Z56" s="62">
        <f>U54+AA56</f>
        <v>30</v>
      </c>
      <c r="AA56" s="20">
        <v>-15</v>
      </c>
      <c r="AB56" s="21"/>
      <c r="AC56" s="57">
        <v>30</v>
      </c>
      <c r="AD56" s="23">
        <f t="shared" si="7"/>
        <v>-99</v>
      </c>
      <c r="AE56" s="23">
        <f t="shared" si="8"/>
        <v>-99</v>
      </c>
      <c r="AG56" s="52"/>
      <c r="AI56">
        <f>SUM(M52:M56,Y52:Y56)/5</f>
        <v>43.8</v>
      </c>
    </row>
    <row r="57" spans="1:38" s="12" customFormat="1" hidden="1" outlineLevel="1">
      <c r="A57" s="95">
        <v>45731</v>
      </c>
      <c r="B57" s="25" t="s">
        <v>16</v>
      </c>
      <c r="C57" s="29"/>
      <c r="D57" s="29">
        <f t="shared" si="16"/>
        <v>0</v>
      </c>
      <c r="E57" s="29">
        <f t="shared" si="2"/>
        <v>-158</v>
      </c>
      <c r="G57" s="64"/>
      <c r="H57" s="63"/>
      <c r="I57" s="53"/>
      <c r="J57" s="26"/>
      <c r="K57" s="26">
        <f t="shared" ref="K57:K73" si="20">J57-I57+K56</f>
        <v>-4</v>
      </c>
      <c r="M57" s="79"/>
      <c r="N57" s="66"/>
      <c r="O57" s="27"/>
      <c r="P57" s="28"/>
      <c r="Q57" s="43"/>
      <c r="R57" s="29">
        <f t="shared" si="4"/>
        <v>0</v>
      </c>
      <c r="S57" s="54">
        <f t="shared" si="5"/>
        <v>0</v>
      </c>
      <c r="T57" s="11"/>
      <c r="U57" s="53"/>
      <c r="V57" s="29"/>
      <c r="W57" s="26">
        <f t="shared" si="6"/>
        <v>-148</v>
      </c>
      <c r="X57" s="10"/>
      <c r="Y57" s="79"/>
      <c r="Z57" s="63"/>
      <c r="AA57" s="27"/>
      <c r="AB57" s="28"/>
      <c r="AC57" s="43"/>
      <c r="AD57" s="29">
        <f t="shared" si="7"/>
        <v>-99</v>
      </c>
      <c r="AE57" s="29">
        <f t="shared" si="8"/>
        <v>-99</v>
      </c>
      <c r="AG57" s="54"/>
      <c r="AI57" s="11"/>
    </row>
    <row r="58" spans="1:38" s="12" customFormat="1" hidden="1" outlineLevel="1" collapsed="1">
      <c r="A58" s="95">
        <v>45732</v>
      </c>
      <c r="B58" s="25" t="s">
        <v>17</v>
      </c>
      <c r="C58" s="29"/>
      <c r="D58" s="29">
        <f t="shared" si="16"/>
        <v>0</v>
      </c>
      <c r="E58" s="29">
        <f t="shared" si="2"/>
        <v>-158</v>
      </c>
      <c r="G58" s="64"/>
      <c r="H58" s="63"/>
      <c r="I58" s="53"/>
      <c r="J58" s="26"/>
      <c r="K58" s="26">
        <f t="shared" si="20"/>
        <v>-4</v>
      </c>
      <c r="M58" s="79"/>
      <c r="N58" s="66"/>
      <c r="O58" s="27"/>
      <c r="P58" s="28"/>
      <c r="Q58" s="43"/>
      <c r="R58" s="29">
        <f t="shared" si="4"/>
        <v>0</v>
      </c>
      <c r="S58" s="54">
        <f t="shared" si="5"/>
        <v>0</v>
      </c>
      <c r="T58" s="11"/>
      <c r="U58" s="53"/>
      <c r="V58" s="29"/>
      <c r="W58" s="26">
        <f t="shared" si="6"/>
        <v>-148</v>
      </c>
      <c r="X58" s="10"/>
      <c r="Y58" s="79"/>
      <c r="Z58" s="63"/>
      <c r="AA58" s="27"/>
      <c r="AB58" s="28"/>
      <c r="AC58" s="43"/>
      <c r="AD58" s="29">
        <f t="shared" si="7"/>
        <v>-99</v>
      </c>
      <c r="AE58" s="29">
        <f t="shared" si="8"/>
        <v>-99</v>
      </c>
      <c r="AG58" s="54"/>
      <c r="AI58" s="11"/>
    </row>
    <row r="59" spans="1:38" hidden="1" outlineLevel="1">
      <c r="A59" s="96">
        <v>45733</v>
      </c>
      <c r="B59" s="17" t="s">
        <v>18</v>
      </c>
      <c r="C59" s="23">
        <v>48</v>
      </c>
      <c r="D59" s="23">
        <f t="shared" si="16"/>
        <v>45</v>
      </c>
      <c r="E59" s="23">
        <f t="shared" si="2"/>
        <v>-161</v>
      </c>
      <c r="G59" s="19"/>
      <c r="H59" s="62"/>
      <c r="I59" s="51">
        <f>M61</f>
        <v>0</v>
      </c>
      <c r="J59" s="18">
        <v>3</v>
      </c>
      <c r="K59" s="18">
        <f t="shared" si="20"/>
        <v>-1</v>
      </c>
      <c r="M59" s="78">
        <v>0</v>
      </c>
      <c r="N59" s="65">
        <f t="shared" ref="N59:N63" si="21">M59</f>
        <v>0</v>
      </c>
      <c r="O59" s="20"/>
      <c r="P59" s="21"/>
      <c r="Q59" s="57">
        <v>0</v>
      </c>
      <c r="R59" s="23">
        <f t="shared" si="4"/>
        <v>0</v>
      </c>
      <c r="S59" s="52">
        <f t="shared" si="5"/>
        <v>0</v>
      </c>
      <c r="U59" s="51">
        <f t="shared" si="17"/>
        <v>48</v>
      </c>
      <c r="V59" s="23">
        <v>42</v>
      </c>
      <c r="W59" s="18">
        <f t="shared" si="6"/>
        <v>-154</v>
      </c>
      <c r="X59" s="2"/>
      <c r="Y59" s="78">
        <v>42</v>
      </c>
      <c r="Z59" s="62">
        <f>U55+AA59</f>
        <v>30</v>
      </c>
      <c r="AA59" s="20">
        <v>-15</v>
      </c>
      <c r="AB59" s="21"/>
      <c r="AC59" s="57">
        <v>30</v>
      </c>
      <c r="AD59" s="23">
        <f t="shared" si="7"/>
        <v>-111</v>
      </c>
      <c r="AE59" s="23">
        <f t="shared" si="8"/>
        <v>-111</v>
      </c>
      <c r="AG59" s="52"/>
      <c r="AK59" s="1">
        <f>SUM(Z59,N59)</f>
        <v>30</v>
      </c>
      <c r="AL59" s="1">
        <f>AVERAGE(AK59:AK70)</f>
        <v>54.3</v>
      </c>
    </row>
    <row r="60" spans="1:38" hidden="1" outlineLevel="1">
      <c r="A60" s="96">
        <v>45734</v>
      </c>
      <c r="B60" s="17" t="s">
        <v>19</v>
      </c>
      <c r="C60" s="23">
        <v>48</v>
      </c>
      <c r="D60" s="23">
        <f t="shared" si="16"/>
        <v>69</v>
      </c>
      <c r="E60" s="23">
        <f t="shared" si="2"/>
        <v>-140</v>
      </c>
      <c r="G60" s="19"/>
      <c r="H60" s="62"/>
      <c r="I60" s="51">
        <f>M62</f>
        <v>0</v>
      </c>
      <c r="J60" s="18">
        <v>0</v>
      </c>
      <c r="K60" s="18">
        <f t="shared" si="20"/>
        <v>-1</v>
      </c>
      <c r="M60" s="78">
        <v>3</v>
      </c>
      <c r="N60" s="65">
        <f t="shared" si="21"/>
        <v>3</v>
      </c>
      <c r="O60" s="20"/>
      <c r="P60" s="21"/>
      <c r="Q60" s="57">
        <v>3</v>
      </c>
      <c r="R60" s="23">
        <f t="shared" si="4"/>
        <v>0</v>
      </c>
      <c r="S60" s="52">
        <f t="shared" si="5"/>
        <v>0</v>
      </c>
      <c r="U60" s="51">
        <f t="shared" si="17"/>
        <v>48</v>
      </c>
      <c r="V60" s="23">
        <v>69</v>
      </c>
      <c r="W60" s="18">
        <f t="shared" si="6"/>
        <v>-133</v>
      </c>
      <c r="X60" s="2"/>
      <c r="Y60" s="78">
        <v>48</v>
      </c>
      <c r="Z60" s="62">
        <f>U56+AA60</f>
        <v>30</v>
      </c>
      <c r="AA60" s="20">
        <v>-12</v>
      </c>
      <c r="AB60" s="21"/>
      <c r="AC60" s="57">
        <v>30</v>
      </c>
      <c r="AD60" s="23">
        <f t="shared" si="7"/>
        <v>-129</v>
      </c>
      <c r="AE60" s="23">
        <f t="shared" si="8"/>
        <v>-129</v>
      </c>
      <c r="AG60" s="52"/>
      <c r="AK60" s="1">
        <f t="shared" ref="AK60:AK70" si="22">SUM(Z60,N60)</f>
        <v>33</v>
      </c>
    </row>
    <row r="61" spans="1:38" hidden="1" outlineLevel="1">
      <c r="A61" s="96">
        <v>45735</v>
      </c>
      <c r="B61" s="17" t="s">
        <v>20</v>
      </c>
      <c r="C61" s="23">
        <v>48</v>
      </c>
      <c r="D61" s="23">
        <f t="shared" si="16"/>
        <v>69</v>
      </c>
      <c r="E61" s="23">
        <f t="shared" si="2"/>
        <v>-119</v>
      </c>
      <c r="G61" s="19"/>
      <c r="H61" s="62"/>
      <c r="I61" s="51">
        <f>M63</f>
        <v>0</v>
      </c>
      <c r="J61" s="18">
        <v>0</v>
      </c>
      <c r="K61" s="18">
        <f t="shared" si="20"/>
        <v>-1</v>
      </c>
      <c r="M61" s="78">
        <v>0</v>
      </c>
      <c r="N61" s="65">
        <f t="shared" si="21"/>
        <v>0</v>
      </c>
      <c r="O61" s="20"/>
      <c r="P61" s="21"/>
      <c r="Q61" s="57">
        <v>0</v>
      </c>
      <c r="R61" s="23">
        <f t="shared" si="4"/>
        <v>0</v>
      </c>
      <c r="S61" s="52">
        <f t="shared" si="5"/>
        <v>0</v>
      </c>
      <c r="U61" s="51">
        <f t="shared" si="17"/>
        <v>48</v>
      </c>
      <c r="V61" s="23">
        <v>69</v>
      </c>
      <c r="W61" s="18">
        <f t="shared" si="6"/>
        <v>-112</v>
      </c>
      <c r="X61" s="2"/>
      <c r="Y61" s="78">
        <v>51</v>
      </c>
      <c r="Z61" s="175">
        <f>U59+AA61</f>
        <v>69</v>
      </c>
      <c r="AA61" s="20">
        <v>21</v>
      </c>
      <c r="AB61" s="21"/>
      <c r="AC61" s="57">
        <v>69</v>
      </c>
      <c r="AD61" s="23">
        <f t="shared" si="7"/>
        <v>-111</v>
      </c>
      <c r="AE61" s="23">
        <f t="shared" si="8"/>
        <v>-111</v>
      </c>
      <c r="AG61" s="52"/>
      <c r="AK61" s="1">
        <f t="shared" si="22"/>
        <v>69</v>
      </c>
    </row>
    <row r="62" spans="1:38" hidden="1" outlineLevel="1">
      <c r="A62" s="96">
        <v>45736</v>
      </c>
      <c r="B62" s="17" t="s">
        <v>14</v>
      </c>
      <c r="C62" s="23">
        <v>48</v>
      </c>
      <c r="D62" s="23">
        <f t="shared" si="16"/>
        <v>73</v>
      </c>
      <c r="E62" s="23">
        <f t="shared" si="2"/>
        <v>-94</v>
      </c>
      <c r="G62" s="19"/>
      <c r="H62" s="62"/>
      <c r="I62" s="51">
        <f>M66</f>
        <v>0</v>
      </c>
      <c r="J62" s="18">
        <v>0</v>
      </c>
      <c r="K62" s="18">
        <f t="shared" si="20"/>
        <v>-1</v>
      </c>
      <c r="M62" s="78">
        <v>0</v>
      </c>
      <c r="N62" s="65">
        <f t="shared" si="21"/>
        <v>0</v>
      </c>
      <c r="O62" s="20"/>
      <c r="P62" s="21"/>
      <c r="Q62" s="57">
        <v>0</v>
      </c>
      <c r="R62" s="23">
        <f t="shared" si="4"/>
        <v>0</v>
      </c>
      <c r="S62" s="52">
        <f t="shared" si="5"/>
        <v>0</v>
      </c>
      <c r="U62" s="51">
        <f t="shared" si="17"/>
        <v>48</v>
      </c>
      <c r="V62" s="23">
        <v>73</v>
      </c>
      <c r="W62" s="18">
        <f t="shared" si="6"/>
        <v>-87</v>
      </c>
      <c r="X62" s="2"/>
      <c r="Y62" s="78">
        <v>15</v>
      </c>
      <c r="Z62" s="175">
        <f>U60+AA62</f>
        <v>69</v>
      </c>
      <c r="AA62" s="20">
        <v>21</v>
      </c>
      <c r="AB62" s="21"/>
      <c r="AC62" s="57">
        <v>69</v>
      </c>
      <c r="AD62" s="23">
        <f t="shared" si="7"/>
        <v>-57</v>
      </c>
      <c r="AE62" s="23">
        <f t="shared" si="8"/>
        <v>-57</v>
      </c>
      <c r="AG62" s="52"/>
      <c r="AK62" s="1">
        <f t="shared" si="22"/>
        <v>69</v>
      </c>
    </row>
    <row r="63" spans="1:38" hidden="1" outlineLevel="1">
      <c r="A63" s="96">
        <v>45737</v>
      </c>
      <c r="B63" s="17" t="s">
        <v>15</v>
      </c>
      <c r="C63" s="23">
        <v>48</v>
      </c>
      <c r="D63" s="23">
        <f t="shared" si="16"/>
        <v>64</v>
      </c>
      <c r="E63" s="23">
        <f t="shared" si="2"/>
        <v>-78</v>
      </c>
      <c r="G63" s="19"/>
      <c r="H63" s="62"/>
      <c r="I63" s="51">
        <f>M67</f>
        <v>0</v>
      </c>
      <c r="J63" s="18">
        <v>0</v>
      </c>
      <c r="K63" s="18">
        <f t="shared" si="20"/>
        <v>-1</v>
      </c>
      <c r="M63" s="78">
        <v>0</v>
      </c>
      <c r="N63" s="65">
        <f t="shared" si="21"/>
        <v>0</v>
      </c>
      <c r="O63" s="20"/>
      <c r="P63" s="21"/>
      <c r="Q63" s="57">
        <v>0</v>
      </c>
      <c r="R63" s="23">
        <f t="shared" si="4"/>
        <v>0</v>
      </c>
      <c r="S63" s="52">
        <f t="shared" si="5"/>
        <v>0</v>
      </c>
      <c r="U63" s="51">
        <f t="shared" si="17"/>
        <v>48</v>
      </c>
      <c r="V63" s="23">
        <v>64</v>
      </c>
      <c r="W63" s="18">
        <f t="shared" si="6"/>
        <v>-71</v>
      </c>
      <c r="X63" s="2"/>
      <c r="Y63" s="78">
        <v>48</v>
      </c>
      <c r="Z63" s="62">
        <f>U61+AA63</f>
        <v>48</v>
      </c>
      <c r="AA63" s="20"/>
      <c r="AB63" s="21"/>
      <c r="AC63" s="57">
        <v>48</v>
      </c>
      <c r="AD63" s="23">
        <f t="shared" si="7"/>
        <v>-57</v>
      </c>
      <c r="AE63" s="23">
        <f t="shared" si="8"/>
        <v>-57</v>
      </c>
      <c r="AG63" s="52"/>
      <c r="AI63">
        <f>SUM(M59:M63,Y59:Y63)/5</f>
        <v>41.4</v>
      </c>
      <c r="AK63" s="1">
        <f t="shared" si="22"/>
        <v>48</v>
      </c>
    </row>
    <row r="64" spans="1:38" s="12" customFormat="1" hidden="1" outlineLevel="1">
      <c r="A64" s="95">
        <v>45738</v>
      </c>
      <c r="B64" s="25" t="s">
        <v>16</v>
      </c>
      <c r="C64" s="29"/>
      <c r="D64" s="29">
        <f t="shared" si="16"/>
        <v>0</v>
      </c>
      <c r="E64" s="29">
        <f t="shared" si="2"/>
        <v>-78</v>
      </c>
      <c r="G64" s="64"/>
      <c r="H64" s="63"/>
      <c r="I64" s="53"/>
      <c r="J64" s="26"/>
      <c r="K64" s="26">
        <f t="shared" si="20"/>
        <v>-1</v>
      </c>
      <c r="M64" s="79"/>
      <c r="N64" s="66"/>
      <c r="O64" s="27"/>
      <c r="P64" s="28"/>
      <c r="Q64" s="43"/>
      <c r="R64" s="29">
        <f t="shared" si="4"/>
        <v>0</v>
      </c>
      <c r="S64" s="54">
        <f t="shared" si="5"/>
        <v>0</v>
      </c>
      <c r="T64" s="11"/>
      <c r="U64" s="53"/>
      <c r="V64" s="29"/>
      <c r="W64" s="26">
        <f t="shared" si="6"/>
        <v>-71</v>
      </c>
      <c r="X64" s="10"/>
      <c r="Y64" s="79"/>
      <c r="Z64" s="63"/>
      <c r="AA64" s="27"/>
      <c r="AB64" s="28"/>
      <c r="AC64" s="43"/>
      <c r="AD64" s="29">
        <f t="shared" si="7"/>
        <v>-57</v>
      </c>
      <c r="AE64" s="29">
        <f t="shared" si="8"/>
        <v>-57</v>
      </c>
      <c r="AG64" s="54"/>
      <c r="AI64" s="11"/>
    </row>
    <row r="65" spans="1:37" s="12" customFormat="1" hidden="1" outlineLevel="1" collapsed="1">
      <c r="A65" s="95">
        <v>45739</v>
      </c>
      <c r="B65" s="25" t="s">
        <v>17</v>
      </c>
      <c r="C65" s="29"/>
      <c r="D65" s="29">
        <f t="shared" si="16"/>
        <v>0</v>
      </c>
      <c r="E65" s="29">
        <f t="shared" si="2"/>
        <v>-78</v>
      </c>
      <c r="G65" s="64"/>
      <c r="H65" s="63"/>
      <c r="I65" s="53"/>
      <c r="J65" s="26"/>
      <c r="K65" s="26">
        <f t="shared" si="20"/>
        <v>-1</v>
      </c>
      <c r="M65" s="79"/>
      <c r="N65" s="66"/>
      <c r="O65" s="27"/>
      <c r="P65" s="28"/>
      <c r="Q65" s="43"/>
      <c r="R65" s="29">
        <f t="shared" si="4"/>
        <v>0</v>
      </c>
      <c r="S65" s="54">
        <f t="shared" si="5"/>
        <v>0</v>
      </c>
      <c r="T65" s="11"/>
      <c r="U65" s="53"/>
      <c r="V65" s="29"/>
      <c r="W65" s="26">
        <f t="shared" si="6"/>
        <v>-71</v>
      </c>
      <c r="X65" s="10"/>
      <c r="Y65" s="79"/>
      <c r="Z65" s="63"/>
      <c r="AA65" s="27"/>
      <c r="AB65" s="28"/>
      <c r="AC65" s="43"/>
      <c r="AD65" s="29">
        <f t="shared" si="7"/>
        <v>-57</v>
      </c>
      <c r="AE65" s="29">
        <f t="shared" si="8"/>
        <v>-57</v>
      </c>
      <c r="AG65" s="54"/>
      <c r="AI65" s="11"/>
    </row>
    <row r="66" spans="1:37" hidden="1" outlineLevel="1">
      <c r="A66" s="96">
        <v>45740</v>
      </c>
      <c r="B66" s="17" t="s">
        <v>18</v>
      </c>
      <c r="C66" s="23">
        <v>51</v>
      </c>
      <c r="D66" s="23">
        <f t="shared" si="16"/>
        <v>55</v>
      </c>
      <c r="E66" s="23">
        <f t="shared" si="2"/>
        <v>-74</v>
      </c>
      <c r="G66" s="19"/>
      <c r="H66" s="62"/>
      <c r="I66" s="51">
        <f>IF(M68&lt;&gt;"",N68+O68,IF(M70&lt;&gt;"",N70+O70,IF(M71&lt;&gt;"",N71+O71,IF(M72&lt;&gt;"",N72+O72,IF(M73&lt;&gt;"",N73+O73,IF(M323&lt;&gt;"",N323+O323))))))</f>
        <v>3</v>
      </c>
      <c r="J66" s="18">
        <v>0</v>
      </c>
      <c r="K66" s="18">
        <f t="shared" si="20"/>
        <v>-4</v>
      </c>
      <c r="M66" s="78">
        <v>0</v>
      </c>
      <c r="N66" s="65">
        <f t="shared" ref="N66:N73" si="23">M66</f>
        <v>0</v>
      </c>
      <c r="O66" s="20"/>
      <c r="P66" s="21"/>
      <c r="Q66" s="57">
        <v>0</v>
      </c>
      <c r="R66" s="23">
        <f t="shared" si="4"/>
        <v>0</v>
      </c>
      <c r="S66" s="52">
        <f t="shared" si="5"/>
        <v>0</v>
      </c>
      <c r="U66" s="51">
        <f t="shared" si="17"/>
        <v>48</v>
      </c>
      <c r="V66" s="23">
        <v>55</v>
      </c>
      <c r="W66" s="18">
        <f t="shared" si="6"/>
        <v>-64</v>
      </c>
      <c r="X66" s="2"/>
      <c r="Y66" s="78">
        <v>36</v>
      </c>
      <c r="Z66" s="175">
        <f>U62+AA66</f>
        <v>72</v>
      </c>
      <c r="AA66" s="20">
        <v>24</v>
      </c>
      <c r="AB66" s="21"/>
      <c r="AC66" s="57">
        <v>72</v>
      </c>
      <c r="AD66" s="23">
        <f t="shared" si="7"/>
        <v>-21</v>
      </c>
      <c r="AE66" s="23">
        <f t="shared" si="8"/>
        <v>-21</v>
      </c>
      <c r="AG66" s="52"/>
      <c r="AK66" s="1">
        <f t="shared" si="22"/>
        <v>72</v>
      </c>
    </row>
    <row r="67" spans="1:37" hidden="1" outlineLevel="1">
      <c r="A67" s="96">
        <v>45741</v>
      </c>
      <c r="B67" s="17" t="s">
        <v>19</v>
      </c>
      <c r="C67" s="23">
        <v>51</v>
      </c>
      <c r="D67" s="23">
        <f t="shared" si="16"/>
        <v>57</v>
      </c>
      <c r="E67" s="23">
        <f t="shared" ref="E67:E73" si="24">E66-C67+D67</f>
        <v>-68</v>
      </c>
      <c r="G67" s="19"/>
      <c r="H67" s="62"/>
      <c r="I67" s="51">
        <f>IF(M69&lt;&gt;"",N69+O69,IF(M71&lt;&gt;"",N71+O71,IF(M72&lt;&gt;"",N72+O72,IF(M73&lt;&gt;"",N73+O73,IF(M323&lt;&gt;"",N323+O323,IF(M324&lt;&gt;"",N324+O324))))))</f>
        <v>3</v>
      </c>
      <c r="J67" s="18">
        <v>3</v>
      </c>
      <c r="K67" s="18">
        <f t="shared" si="20"/>
        <v>-4</v>
      </c>
      <c r="M67" s="78">
        <v>0</v>
      </c>
      <c r="N67" s="65">
        <f t="shared" si="23"/>
        <v>0</v>
      </c>
      <c r="O67" s="20"/>
      <c r="P67" s="21"/>
      <c r="Q67" s="57">
        <v>0</v>
      </c>
      <c r="R67" s="23">
        <f t="shared" ref="R67:R73" si="25">R66-M67+Q67</f>
        <v>0</v>
      </c>
      <c r="S67" s="52">
        <f t="shared" ref="S67:S73" si="26">S66-M67+N67</f>
        <v>0</v>
      </c>
      <c r="U67" s="51">
        <f t="shared" si="17"/>
        <v>48</v>
      </c>
      <c r="V67" s="23">
        <v>54</v>
      </c>
      <c r="W67" s="18">
        <f t="shared" ref="W67:W73" si="27">V67-U67+W66</f>
        <v>-58</v>
      </c>
      <c r="X67" s="2"/>
      <c r="Y67" s="78">
        <v>51</v>
      </c>
      <c r="Z67" s="175">
        <f t="shared" ref="Z67:Z70" si="28">IF(U65&lt;&gt;"",U65+AA67,IF(U63&lt;&gt;"",U63+AA67,IF(U62&lt;&gt;"",U62+AA67,IF(U61&lt;&gt;"",U61+AA67,IF(U60&lt;&gt;"",U60+AA67,IF(U59&lt;&gt;"",U59+AA67))))))</f>
        <v>54</v>
      </c>
      <c r="AA67" s="20">
        <v>6</v>
      </c>
      <c r="AB67" s="21"/>
      <c r="AC67" s="57">
        <v>54</v>
      </c>
      <c r="AD67" s="23">
        <f t="shared" ref="AD67:AD73" si="29">AD66-Y67+AC67</f>
        <v>-18</v>
      </c>
      <c r="AE67" s="23">
        <f t="shared" ref="AE67:AE73" si="30">AE66-Y67+Z67</f>
        <v>-18</v>
      </c>
      <c r="AG67" s="52"/>
      <c r="AK67" s="1">
        <f t="shared" si="22"/>
        <v>54</v>
      </c>
    </row>
    <row r="68" spans="1:37" hidden="1" outlineLevel="1">
      <c r="A68" s="96">
        <v>45742</v>
      </c>
      <c r="B68" s="17" t="s">
        <v>20</v>
      </c>
      <c r="C68" s="23">
        <v>51</v>
      </c>
      <c r="D68" s="23">
        <f t="shared" si="16"/>
        <v>57</v>
      </c>
      <c r="E68" s="23">
        <f t="shared" si="24"/>
        <v>-62</v>
      </c>
      <c r="G68" s="19"/>
      <c r="H68" s="62"/>
      <c r="I68" s="51">
        <f>IF(M70&lt;&gt;"",N70+O70,IF(M72&lt;&gt;"",N72+O72,IF(M73&lt;&gt;"",N73+O73,IF(M323&lt;&gt;"",N323+O323,IF(M324&lt;&gt;"",N324+O324,IF(M325&lt;&gt;"",N325+O325))))))</f>
        <v>0</v>
      </c>
      <c r="J68" s="18">
        <v>3</v>
      </c>
      <c r="K68" s="18">
        <f t="shared" si="20"/>
        <v>-1</v>
      </c>
      <c r="M68" s="78">
        <v>3</v>
      </c>
      <c r="N68" s="65">
        <f t="shared" si="23"/>
        <v>3</v>
      </c>
      <c r="O68" s="20"/>
      <c r="P68" s="21"/>
      <c r="Q68" s="57">
        <v>3</v>
      </c>
      <c r="R68" s="23">
        <f t="shared" si="25"/>
        <v>0</v>
      </c>
      <c r="S68" s="52">
        <f t="shared" si="26"/>
        <v>0</v>
      </c>
      <c r="U68" s="51">
        <f t="shared" si="17"/>
        <v>51</v>
      </c>
      <c r="V68" s="23">
        <v>54</v>
      </c>
      <c r="W68" s="18">
        <f t="shared" si="27"/>
        <v>-55</v>
      </c>
      <c r="X68" s="2"/>
      <c r="Y68" s="78">
        <v>51</v>
      </c>
      <c r="Z68" s="175">
        <f t="shared" si="28"/>
        <v>54</v>
      </c>
      <c r="AA68" s="20">
        <v>6</v>
      </c>
      <c r="AB68" s="21"/>
      <c r="AC68" s="57">
        <v>54</v>
      </c>
      <c r="AD68" s="23">
        <f t="shared" si="29"/>
        <v>-15</v>
      </c>
      <c r="AE68" s="23">
        <f t="shared" si="30"/>
        <v>-15</v>
      </c>
      <c r="AG68" s="52"/>
      <c r="AK68" s="1">
        <f t="shared" si="22"/>
        <v>57</v>
      </c>
    </row>
    <row r="69" spans="1:37" hidden="1" outlineLevel="1">
      <c r="A69" s="96">
        <v>45743</v>
      </c>
      <c r="B69" s="17" t="s">
        <v>14</v>
      </c>
      <c r="C69" s="23">
        <v>51</v>
      </c>
      <c r="D69" s="23">
        <f t="shared" si="16"/>
        <v>54</v>
      </c>
      <c r="E69" s="23">
        <f t="shared" si="24"/>
        <v>-59</v>
      </c>
      <c r="G69" s="19"/>
      <c r="H69" s="62"/>
      <c r="I69" s="51">
        <f>IF(M71&lt;&gt;"",N71+O71,IF(M73&lt;&gt;"",N73+O73,IF(M323&lt;&gt;"",N323+O323,IF(M324&lt;&gt;"",N324+O324,IF(M325&lt;&gt;"",N325+O325,IF(M326&lt;&gt;"",N326+O326))))))</f>
        <v>3</v>
      </c>
      <c r="J69" s="18">
        <v>0</v>
      </c>
      <c r="K69" s="18">
        <f t="shared" si="20"/>
        <v>-4</v>
      </c>
      <c r="M69" s="78">
        <v>3</v>
      </c>
      <c r="N69" s="65">
        <f t="shared" si="23"/>
        <v>3</v>
      </c>
      <c r="O69" s="20"/>
      <c r="P69" s="21"/>
      <c r="Q69" s="57">
        <v>3</v>
      </c>
      <c r="R69" s="23">
        <f t="shared" si="25"/>
        <v>0</v>
      </c>
      <c r="S69" s="52">
        <f t="shared" si="26"/>
        <v>0</v>
      </c>
      <c r="U69" s="51">
        <f t="shared" si="17"/>
        <v>48</v>
      </c>
      <c r="V69" s="23">
        <v>54</v>
      </c>
      <c r="W69" s="18">
        <f t="shared" si="27"/>
        <v>-49</v>
      </c>
      <c r="X69" s="2"/>
      <c r="Y69" s="78">
        <v>42</v>
      </c>
      <c r="Z69" s="175">
        <f t="shared" si="28"/>
        <v>54</v>
      </c>
      <c r="AA69" s="20">
        <v>6</v>
      </c>
      <c r="AB69" s="21"/>
      <c r="AC69" s="57">
        <v>54</v>
      </c>
      <c r="AD69" s="23">
        <f t="shared" si="29"/>
        <v>-3</v>
      </c>
      <c r="AE69" s="23">
        <f t="shared" si="30"/>
        <v>-3</v>
      </c>
      <c r="AG69" s="52"/>
      <c r="AK69" s="1">
        <f t="shared" si="22"/>
        <v>57</v>
      </c>
    </row>
    <row r="70" spans="1:37" hidden="1" outlineLevel="1">
      <c r="A70" s="96">
        <v>45744</v>
      </c>
      <c r="B70" s="17" t="s">
        <v>15</v>
      </c>
      <c r="C70" s="23">
        <v>51</v>
      </c>
      <c r="D70" s="23">
        <f t="shared" si="16"/>
        <v>51</v>
      </c>
      <c r="E70" s="23">
        <f t="shared" si="24"/>
        <v>-59</v>
      </c>
      <c r="G70" s="19"/>
      <c r="H70" s="62"/>
      <c r="I70" s="51">
        <f>IF(M72&lt;&gt;"",N72+O72,IF(M74&lt;&gt;"",N74+O74,IF(M324&lt;&gt;"",N324+O324,IF(M325&lt;&gt;"",N325+O325,IF(M326&lt;&gt;"",N326+O326,IF(#REF!&lt;&gt;"",#REF!+#REF!))))))</f>
        <v>3</v>
      </c>
      <c r="J70" s="18">
        <v>3</v>
      </c>
      <c r="K70" s="18">
        <f t="shared" si="20"/>
        <v>-4</v>
      </c>
      <c r="M70" s="78">
        <v>0</v>
      </c>
      <c r="N70" s="65">
        <f t="shared" si="23"/>
        <v>0</v>
      </c>
      <c r="O70" s="20"/>
      <c r="P70" s="21"/>
      <c r="Q70" s="57">
        <v>0</v>
      </c>
      <c r="R70" s="23">
        <f t="shared" si="25"/>
        <v>0</v>
      </c>
      <c r="S70" s="52">
        <f t="shared" si="26"/>
        <v>0</v>
      </c>
      <c r="U70" s="51">
        <f t="shared" si="17"/>
        <v>48</v>
      </c>
      <c r="V70" s="23">
        <v>48</v>
      </c>
      <c r="W70" s="18">
        <f t="shared" si="27"/>
        <v>-49</v>
      </c>
      <c r="X70" s="2"/>
      <c r="Y70" s="78">
        <v>45</v>
      </c>
      <c r="Z70" s="175">
        <f t="shared" si="28"/>
        <v>54</v>
      </c>
      <c r="AA70" s="20">
        <v>3</v>
      </c>
      <c r="AB70" s="21"/>
      <c r="AC70" s="57">
        <v>54</v>
      </c>
      <c r="AD70" s="23">
        <f t="shared" si="29"/>
        <v>6</v>
      </c>
      <c r="AE70" s="23">
        <f t="shared" si="30"/>
        <v>6</v>
      </c>
      <c r="AG70" s="52"/>
      <c r="AI70">
        <f>SUM(M66:M70,Y66:Y70)/5</f>
        <v>46.2</v>
      </c>
      <c r="AK70" s="1">
        <f t="shared" si="22"/>
        <v>54</v>
      </c>
    </row>
    <row r="71" spans="1:37" s="12" customFormat="1" hidden="1" outlineLevel="1">
      <c r="A71" s="95">
        <v>45745</v>
      </c>
      <c r="B71" s="25" t="s">
        <v>16</v>
      </c>
      <c r="C71" s="29"/>
      <c r="D71" s="29">
        <f t="shared" si="16"/>
        <v>0</v>
      </c>
      <c r="E71" s="29">
        <f t="shared" si="24"/>
        <v>-59</v>
      </c>
      <c r="G71" s="64"/>
      <c r="H71" s="63"/>
      <c r="I71" s="53"/>
      <c r="J71" s="26"/>
      <c r="K71" s="26">
        <f t="shared" si="20"/>
        <v>-4</v>
      </c>
      <c r="M71" s="79"/>
      <c r="N71" s="66"/>
      <c r="O71" s="27"/>
      <c r="P71" s="28"/>
      <c r="Q71" s="43"/>
      <c r="R71" s="29">
        <f t="shared" si="25"/>
        <v>0</v>
      </c>
      <c r="S71" s="54">
        <f t="shared" si="26"/>
        <v>0</v>
      </c>
      <c r="T71" s="11"/>
      <c r="U71" s="53"/>
      <c r="V71" s="29"/>
      <c r="W71" s="26">
        <f t="shared" si="27"/>
        <v>-49</v>
      </c>
      <c r="X71" s="10"/>
      <c r="Y71" s="79"/>
      <c r="Z71" s="63"/>
      <c r="AA71" s="27"/>
      <c r="AB71" s="28"/>
      <c r="AC71" s="43"/>
      <c r="AD71" s="29">
        <f t="shared" si="29"/>
        <v>6</v>
      </c>
      <c r="AE71" s="29">
        <f t="shared" si="30"/>
        <v>6</v>
      </c>
      <c r="AG71" s="54"/>
      <c r="AI71" s="11"/>
    </row>
    <row r="72" spans="1:37" s="12" customFormat="1" hidden="1" outlineLevel="1" collapsed="1">
      <c r="A72" s="95">
        <v>45746</v>
      </c>
      <c r="B72" s="25" t="s">
        <v>17</v>
      </c>
      <c r="C72" s="29"/>
      <c r="D72" s="29">
        <f t="shared" si="16"/>
        <v>0</v>
      </c>
      <c r="E72" s="29">
        <f t="shared" si="24"/>
        <v>-59</v>
      </c>
      <c r="G72" s="64"/>
      <c r="H72" s="63"/>
      <c r="I72" s="53"/>
      <c r="J72" s="26"/>
      <c r="K72" s="26">
        <f t="shared" si="20"/>
        <v>-4</v>
      </c>
      <c r="M72" s="79"/>
      <c r="N72" s="66"/>
      <c r="O72" s="27"/>
      <c r="P72" s="28"/>
      <c r="Q72" s="43"/>
      <c r="R72" s="29">
        <f t="shared" si="25"/>
        <v>0</v>
      </c>
      <c r="S72" s="54">
        <f t="shared" si="26"/>
        <v>0</v>
      </c>
      <c r="T72" s="11"/>
      <c r="U72" s="53"/>
      <c r="V72" s="29"/>
      <c r="W72" s="26">
        <f t="shared" si="27"/>
        <v>-49</v>
      </c>
      <c r="X72" s="10"/>
      <c r="Y72" s="79"/>
      <c r="Z72" s="63"/>
      <c r="AA72" s="27"/>
      <c r="AB72" s="28"/>
      <c r="AC72" s="43"/>
      <c r="AD72" s="29">
        <f t="shared" si="29"/>
        <v>6</v>
      </c>
      <c r="AE72" s="29">
        <f t="shared" si="30"/>
        <v>6</v>
      </c>
      <c r="AG72" s="54"/>
      <c r="AI72" s="11"/>
    </row>
    <row r="73" spans="1:37" hidden="1" outlineLevel="1">
      <c r="A73" s="96">
        <v>45747</v>
      </c>
      <c r="B73" s="17" t="s">
        <v>18</v>
      </c>
      <c r="C73" s="23">
        <v>45</v>
      </c>
      <c r="D73" s="23">
        <f t="shared" si="16"/>
        <v>56</v>
      </c>
      <c r="E73" s="23">
        <f t="shared" si="24"/>
        <v>-48</v>
      </c>
      <c r="G73" s="19"/>
      <c r="H73" s="62"/>
      <c r="I73" s="51">
        <f>IF(M75&lt;&gt;"",N75+O75,IF(M77&lt;&gt;"",N77+O77,IF(#REF!&lt;&gt;"",#REF!+#REF!,IF(#REF!&lt;&gt;"",#REF!+#REF!,IF(M327&lt;&gt;"",N327+O327,IF(M328&lt;&gt;"",N328+O328))))))</f>
        <v>0</v>
      </c>
      <c r="J73" s="18">
        <v>3</v>
      </c>
      <c r="K73" s="18">
        <f t="shared" si="20"/>
        <v>-1</v>
      </c>
      <c r="M73" s="78">
        <v>3</v>
      </c>
      <c r="N73" s="65">
        <f t="shared" si="23"/>
        <v>3</v>
      </c>
      <c r="O73" s="20"/>
      <c r="P73" s="21"/>
      <c r="Q73" s="57">
        <v>3</v>
      </c>
      <c r="R73" s="23">
        <f t="shared" si="25"/>
        <v>0</v>
      </c>
      <c r="S73" s="52">
        <f t="shared" si="26"/>
        <v>0</v>
      </c>
      <c r="U73" s="51">
        <f t="shared" si="17"/>
        <v>45</v>
      </c>
      <c r="V73" s="23">
        <v>53</v>
      </c>
      <c r="W73" s="18">
        <f t="shared" si="27"/>
        <v>-41</v>
      </c>
      <c r="X73" s="2"/>
      <c r="Y73" s="78">
        <v>54</v>
      </c>
      <c r="Z73" s="62">
        <f t="shared" ref="Z73" si="31">IF(U71&lt;&gt;"",U71+AA73,IF(U69&lt;&gt;"",U69+AA73,IF(U68&lt;&gt;"",U68+AA73,IF(U67&lt;&gt;"",U67+AA73,IF(U66&lt;&gt;"",U66+AA73,IF(U65&lt;&gt;"",U65+AA73))))))</f>
        <v>48</v>
      </c>
      <c r="AA73" s="20"/>
      <c r="AB73" s="21"/>
      <c r="AC73" s="57">
        <v>48</v>
      </c>
      <c r="AD73" s="23">
        <f t="shared" si="29"/>
        <v>0</v>
      </c>
      <c r="AE73" s="23">
        <f t="shared" si="30"/>
        <v>0</v>
      </c>
      <c r="AG73" s="52"/>
    </row>
    <row r="74" spans="1:37" hidden="1" outlineLevel="1">
      <c r="A74" s="96">
        <v>45748</v>
      </c>
      <c r="B74" s="17" t="s">
        <v>19</v>
      </c>
      <c r="C74" s="23">
        <v>0</v>
      </c>
      <c r="D74" s="23">
        <f t="shared" si="16"/>
        <v>45</v>
      </c>
      <c r="E74" s="23">
        <f t="shared" ref="E74:E105" si="32">E73-C74+D74</f>
        <v>-3</v>
      </c>
      <c r="G74" s="19"/>
      <c r="H74" s="62"/>
      <c r="I74" s="51">
        <v>0</v>
      </c>
      <c r="J74" s="18">
        <v>0</v>
      </c>
      <c r="K74" s="18">
        <f t="shared" ref="K74:K105" si="33">J74-I74+K73</f>
        <v>-1</v>
      </c>
      <c r="M74" s="78">
        <v>3</v>
      </c>
      <c r="N74" s="65">
        <f t="shared" ref="N74:N103" si="34">M74</f>
        <v>3</v>
      </c>
      <c r="O74" s="20"/>
      <c r="P74" s="21"/>
      <c r="Q74" s="57">
        <v>3</v>
      </c>
      <c r="R74" s="23">
        <f t="shared" ref="R74:R105" si="35">R73-M74+Q74</f>
        <v>0</v>
      </c>
      <c r="S74" s="52">
        <f t="shared" ref="S74:S105" si="36">S73-M74+N74</f>
        <v>0</v>
      </c>
      <c r="U74" s="51">
        <f t="shared" ref="U74:U103" si="37">C74-I74</f>
        <v>0</v>
      </c>
      <c r="V74" s="23">
        <v>45</v>
      </c>
      <c r="W74" s="18">
        <f t="shared" ref="W74:W105" si="38">V74-U74+W73</f>
        <v>4</v>
      </c>
      <c r="X74" s="2"/>
      <c r="Y74" s="78">
        <v>51</v>
      </c>
      <c r="Z74" s="62">
        <f t="shared" ref="Z74:Z103" si="39">IF(U72&lt;&gt;"",U72+AA74,IF(U70&lt;&gt;"",U70+AA74,IF(U69&lt;&gt;"",U69+AA74,IF(U68&lt;&gt;"",U68+AA74,IF(U67&lt;&gt;"",U67+AA74,IF(U66&lt;&gt;"",U66+AA74))))))</f>
        <v>48</v>
      </c>
      <c r="AA74" s="20"/>
      <c r="AB74" s="21"/>
      <c r="AC74" s="57">
        <v>48</v>
      </c>
      <c r="AD74" s="23">
        <f t="shared" ref="AD74:AD105" si="40">AD73-Y74+AC74</f>
        <v>-3</v>
      </c>
      <c r="AE74" s="23">
        <f t="shared" ref="AE74:AE105" si="41">AE73-Y74+Z74</f>
        <v>-3</v>
      </c>
      <c r="AG74" s="52"/>
    </row>
    <row r="75" spans="1:37" hidden="1" outlineLevel="1">
      <c r="A75" s="96">
        <v>45749</v>
      </c>
      <c r="B75" s="17" t="s">
        <v>20</v>
      </c>
      <c r="C75" s="23">
        <v>45</v>
      </c>
      <c r="D75" s="23">
        <f t="shared" si="16"/>
        <v>50</v>
      </c>
      <c r="E75" s="23">
        <f t="shared" si="32"/>
        <v>2</v>
      </c>
      <c r="G75" s="19"/>
      <c r="H75" s="62"/>
      <c r="I75" s="51">
        <f>IF(M77&lt;&gt;"",N77+O77,IF(M79&lt;&gt;"",N79+O79,IF(M327&lt;&gt;"",N327+O327,IF(M328&lt;&gt;"",N328+O328,IF(M329&lt;&gt;"",N329+O329,IF(M330&lt;&gt;"",N330+O330))))))</f>
        <v>0</v>
      </c>
      <c r="J75" s="18">
        <v>0</v>
      </c>
      <c r="K75" s="18">
        <f t="shared" si="33"/>
        <v>-1</v>
      </c>
      <c r="M75" s="78">
        <v>0</v>
      </c>
      <c r="N75" s="65">
        <f t="shared" si="34"/>
        <v>0</v>
      </c>
      <c r="O75" s="20"/>
      <c r="P75" s="21"/>
      <c r="Q75" s="57">
        <v>0</v>
      </c>
      <c r="R75" s="23">
        <f t="shared" si="35"/>
        <v>0</v>
      </c>
      <c r="S75" s="52">
        <f t="shared" si="36"/>
        <v>0</v>
      </c>
      <c r="U75" s="51">
        <f t="shared" si="37"/>
        <v>45</v>
      </c>
      <c r="V75" s="23">
        <v>50</v>
      </c>
      <c r="W75" s="18">
        <f t="shared" si="38"/>
        <v>9</v>
      </c>
      <c r="X75" s="2"/>
      <c r="Y75" s="78">
        <v>42</v>
      </c>
      <c r="Z75" s="62">
        <f t="shared" si="39"/>
        <v>45</v>
      </c>
      <c r="AA75" s="20"/>
      <c r="AB75" s="21"/>
      <c r="AC75" s="57">
        <v>45</v>
      </c>
      <c r="AD75" s="23">
        <f t="shared" si="40"/>
        <v>0</v>
      </c>
      <c r="AE75" s="23">
        <f t="shared" si="41"/>
        <v>0</v>
      </c>
      <c r="AG75" s="52"/>
    </row>
    <row r="76" spans="1:37" s="12" customFormat="1" hidden="1" outlineLevel="1">
      <c r="A76" s="95">
        <v>45750</v>
      </c>
      <c r="B76" s="25" t="s">
        <v>14</v>
      </c>
      <c r="C76" s="23">
        <v>45</v>
      </c>
      <c r="D76" s="23">
        <f t="shared" si="16"/>
        <v>0</v>
      </c>
      <c r="E76" s="29">
        <f t="shared" si="32"/>
        <v>-43</v>
      </c>
      <c r="G76" s="64"/>
      <c r="H76" s="63"/>
      <c r="I76" s="53">
        <f>IF(M78&lt;&gt;"",N78+O78,IF(M80&lt;&gt;"",N80+O80,IF(M328&lt;&gt;"",N328+O328,IF(M329&lt;&gt;"",N329+O329,IF(M330&lt;&gt;"",N330+O330,IF(M331&lt;&gt;"",N331+O331))))))</f>
        <v>0</v>
      </c>
      <c r="J76" s="26"/>
      <c r="K76" s="26">
        <f t="shared" si="33"/>
        <v>-1</v>
      </c>
      <c r="M76" s="79"/>
      <c r="N76" s="66"/>
      <c r="O76" s="27"/>
      <c r="P76" s="28"/>
      <c r="Q76" s="43"/>
      <c r="R76" s="29">
        <f t="shared" si="35"/>
        <v>0</v>
      </c>
      <c r="S76" s="54">
        <f t="shared" si="36"/>
        <v>0</v>
      </c>
      <c r="T76" s="11"/>
      <c r="U76" s="53">
        <f t="shared" si="37"/>
        <v>45</v>
      </c>
      <c r="V76" s="29">
        <v>0</v>
      </c>
      <c r="W76" s="26">
        <f t="shared" si="38"/>
        <v>-36</v>
      </c>
      <c r="X76" s="10"/>
      <c r="Y76" s="79"/>
      <c r="Z76" s="63"/>
      <c r="AA76" s="27"/>
      <c r="AB76" s="28"/>
      <c r="AC76" s="43"/>
      <c r="AD76" s="29">
        <f t="shared" si="40"/>
        <v>0</v>
      </c>
      <c r="AE76" s="29">
        <f t="shared" si="41"/>
        <v>0</v>
      </c>
      <c r="AG76" s="54"/>
      <c r="AI76" s="11"/>
    </row>
    <row r="77" spans="1:37" hidden="1" outlineLevel="1">
      <c r="A77" s="96">
        <v>45751</v>
      </c>
      <c r="B77" s="17" t="s">
        <v>15</v>
      </c>
      <c r="C77" s="23">
        <v>45</v>
      </c>
      <c r="D77" s="23">
        <f t="shared" si="16"/>
        <v>45</v>
      </c>
      <c r="E77" s="23">
        <f t="shared" si="32"/>
        <v>-43</v>
      </c>
      <c r="G77" s="19"/>
      <c r="H77" s="62"/>
      <c r="I77" s="51">
        <f>IF(M79&lt;&gt;"",N79+O79,IF(M81&lt;&gt;"",N81+O81,IF(M329&lt;&gt;"",N329+O329,IF(M330&lt;&gt;"",N330+O330,IF(M331&lt;&gt;"",N331+O331,IF(M332&lt;&gt;"",N332+O332))))))</f>
        <v>3</v>
      </c>
      <c r="J77" s="18">
        <v>0</v>
      </c>
      <c r="K77" s="18">
        <f t="shared" si="33"/>
        <v>-4</v>
      </c>
      <c r="M77" s="78">
        <v>0</v>
      </c>
      <c r="N77" s="65">
        <f t="shared" si="34"/>
        <v>0</v>
      </c>
      <c r="O77" s="20"/>
      <c r="P77" s="21"/>
      <c r="Q77" s="57">
        <v>0</v>
      </c>
      <c r="R77" s="23">
        <f t="shared" si="35"/>
        <v>0</v>
      </c>
      <c r="S77" s="52">
        <f t="shared" si="36"/>
        <v>0</v>
      </c>
      <c r="U77" s="51">
        <f t="shared" si="37"/>
        <v>42</v>
      </c>
      <c r="V77" s="23">
        <v>45</v>
      </c>
      <c r="W77" s="18">
        <f t="shared" si="38"/>
        <v>-33</v>
      </c>
      <c r="X77" s="2"/>
      <c r="Y77" s="78">
        <v>54</v>
      </c>
      <c r="Z77" s="62">
        <f t="shared" si="39"/>
        <v>45</v>
      </c>
      <c r="AA77" s="20"/>
      <c r="AB77" s="21"/>
      <c r="AC77" s="57">
        <v>45</v>
      </c>
      <c r="AD77" s="23">
        <f t="shared" si="40"/>
        <v>-9</v>
      </c>
      <c r="AE77" s="23">
        <f t="shared" si="41"/>
        <v>-9</v>
      </c>
      <c r="AG77" s="52"/>
      <c r="AI77">
        <f>SUM(M73:M77,Y73:Y77)/5</f>
        <v>41.4</v>
      </c>
    </row>
    <row r="78" spans="1:37" s="12" customFormat="1" hidden="1" outlineLevel="1">
      <c r="A78" s="95">
        <v>45752</v>
      </c>
      <c r="B78" s="25" t="s">
        <v>16</v>
      </c>
      <c r="C78" s="29"/>
      <c r="D78" s="29">
        <f t="shared" si="16"/>
        <v>0</v>
      </c>
      <c r="E78" s="29">
        <f t="shared" si="32"/>
        <v>-43</v>
      </c>
      <c r="G78" s="64"/>
      <c r="H78" s="63"/>
      <c r="I78" s="53"/>
      <c r="J78" s="26"/>
      <c r="K78" s="26">
        <f t="shared" si="33"/>
        <v>-4</v>
      </c>
      <c r="M78" s="79"/>
      <c r="N78" s="66"/>
      <c r="O78" s="27"/>
      <c r="P78" s="28"/>
      <c r="Q78" s="43"/>
      <c r="R78" s="29">
        <f t="shared" si="35"/>
        <v>0</v>
      </c>
      <c r="S78" s="54">
        <f t="shared" si="36"/>
        <v>0</v>
      </c>
      <c r="T78" s="11"/>
      <c r="U78" s="53"/>
      <c r="V78" s="29"/>
      <c r="W78" s="26">
        <f t="shared" si="38"/>
        <v>-33</v>
      </c>
      <c r="X78" s="10"/>
      <c r="Y78" s="79"/>
      <c r="Z78" s="63"/>
      <c r="AA78" s="27"/>
      <c r="AB78" s="28"/>
      <c r="AC78" s="43"/>
      <c r="AD78" s="29">
        <f t="shared" si="40"/>
        <v>-9</v>
      </c>
      <c r="AE78" s="29">
        <f t="shared" si="41"/>
        <v>-9</v>
      </c>
      <c r="AG78" s="54"/>
      <c r="AI78" s="11"/>
    </row>
    <row r="79" spans="1:37" s="12" customFormat="1" hidden="1" outlineLevel="1" collapsed="1">
      <c r="A79" s="95">
        <v>45753</v>
      </c>
      <c r="B79" s="25" t="s">
        <v>17</v>
      </c>
      <c r="C79" s="29"/>
      <c r="D79" s="29">
        <f t="shared" si="16"/>
        <v>0</v>
      </c>
      <c r="E79" s="29">
        <f t="shared" si="32"/>
        <v>-43</v>
      </c>
      <c r="G79" s="64"/>
      <c r="H79" s="63"/>
      <c r="I79" s="53"/>
      <c r="J79" s="26"/>
      <c r="K79" s="26">
        <f t="shared" si="33"/>
        <v>-4</v>
      </c>
      <c r="M79" s="79"/>
      <c r="N79" s="66"/>
      <c r="O79" s="27"/>
      <c r="P79" s="28"/>
      <c r="Q79" s="43"/>
      <c r="R79" s="29">
        <f t="shared" si="35"/>
        <v>0</v>
      </c>
      <c r="S79" s="54">
        <f t="shared" si="36"/>
        <v>0</v>
      </c>
      <c r="T79" s="11"/>
      <c r="U79" s="53"/>
      <c r="V79" s="29"/>
      <c r="W79" s="26">
        <f t="shared" si="38"/>
        <v>-33</v>
      </c>
      <c r="X79" s="10"/>
      <c r="Y79" s="79"/>
      <c r="Z79" s="63"/>
      <c r="AA79" s="27"/>
      <c r="AB79" s="28"/>
      <c r="AC79" s="43"/>
      <c r="AD79" s="29">
        <f t="shared" si="40"/>
        <v>-9</v>
      </c>
      <c r="AE79" s="29">
        <f t="shared" si="41"/>
        <v>-9</v>
      </c>
      <c r="AG79" s="54"/>
      <c r="AI79" s="11"/>
    </row>
    <row r="80" spans="1:37" hidden="1" outlineLevel="1">
      <c r="A80" s="96">
        <v>45754</v>
      </c>
      <c r="B80" s="17" t="s">
        <v>18</v>
      </c>
      <c r="C80" s="23">
        <v>48</v>
      </c>
      <c r="D80" s="23">
        <f t="shared" si="16"/>
        <v>35</v>
      </c>
      <c r="E80" s="23">
        <f t="shared" si="32"/>
        <v>-56</v>
      </c>
      <c r="G80" s="19"/>
      <c r="H80" s="62"/>
      <c r="I80" s="51">
        <f>IF(M82&lt;&gt;"",N82+O82,IF(M84&lt;&gt;"",N84+O84,IF(M332&lt;&gt;"",N332+O332,IF(M333&lt;&gt;"",N333+O333,IF(M334&lt;&gt;"",N334+O334,IF(M335&lt;&gt;"",N335+O335))))))</f>
        <v>0</v>
      </c>
      <c r="J80" s="18">
        <v>3</v>
      </c>
      <c r="K80" s="18">
        <f t="shared" si="33"/>
        <v>-1</v>
      </c>
      <c r="M80" s="78">
        <v>0</v>
      </c>
      <c r="N80" s="65">
        <f t="shared" si="34"/>
        <v>0</v>
      </c>
      <c r="O80" s="20"/>
      <c r="P80" s="21"/>
      <c r="Q80" s="57">
        <v>0</v>
      </c>
      <c r="R80" s="23">
        <f t="shared" si="35"/>
        <v>0</v>
      </c>
      <c r="S80" s="52">
        <f t="shared" si="36"/>
        <v>0</v>
      </c>
      <c r="U80" s="51">
        <f t="shared" si="37"/>
        <v>48</v>
      </c>
      <c r="V80" s="23">
        <v>32</v>
      </c>
      <c r="W80" s="18">
        <f t="shared" si="38"/>
        <v>-49</v>
      </c>
      <c r="X80" s="2"/>
      <c r="Y80" s="78">
        <v>21</v>
      </c>
      <c r="Z80" s="62">
        <f t="shared" si="39"/>
        <v>45</v>
      </c>
      <c r="AA80" s="20"/>
      <c r="AB80" s="21"/>
      <c r="AC80" s="57">
        <v>45</v>
      </c>
      <c r="AD80" s="23">
        <f t="shared" si="40"/>
        <v>15</v>
      </c>
      <c r="AE80" s="23">
        <f t="shared" si="41"/>
        <v>15</v>
      </c>
      <c r="AG80" s="52"/>
    </row>
    <row r="81" spans="1:35" hidden="1" outlineLevel="1">
      <c r="A81" s="96">
        <v>45755</v>
      </c>
      <c r="B81" s="17" t="s">
        <v>19</v>
      </c>
      <c r="C81" s="23">
        <v>48</v>
      </c>
      <c r="D81" s="23">
        <f t="shared" si="16"/>
        <v>48</v>
      </c>
      <c r="E81" s="23">
        <f t="shared" si="32"/>
        <v>-56</v>
      </c>
      <c r="G81" s="19"/>
      <c r="H81" s="62"/>
      <c r="I81" s="51">
        <f>IF(M83&lt;&gt;"",N83+O83,IF(M85&lt;&gt;"",N85+O85,IF(M333&lt;&gt;"",N333+O333,IF(M334&lt;&gt;"",N334+O334,IF(M335&lt;&gt;"",N335+O335,IF(M336&lt;&gt;"",N336+O336))))))</f>
        <v>3</v>
      </c>
      <c r="J81" s="18">
        <v>0</v>
      </c>
      <c r="K81" s="18">
        <f t="shared" si="33"/>
        <v>-4</v>
      </c>
      <c r="M81" s="78">
        <v>3</v>
      </c>
      <c r="N81" s="65">
        <f t="shared" si="34"/>
        <v>3</v>
      </c>
      <c r="O81" s="20"/>
      <c r="P81" s="21"/>
      <c r="Q81" s="57">
        <v>3</v>
      </c>
      <c r="R81" s="23">
        <f t="shared" si="35"/>
        <v>0</v>
      </c>
      <c r="S81" s="52">
        <f t="shared" si="36"/>
        <v>0</v>
      </c>
      <c r="U81" s="51">
        <f t="shared" si="37"/>
        <v>45</v>
      </c>
      <c r="V81" s="23">
        <v>48</v>
      </c>
      <c r="W81" s="18">
        <f t="shared" si="38"/>
        <v>-46</v>
      </c>
      <c r="X81" s="2"/>
      <c r="Y81" s="78">
        <v>54</v>
      </c>
      <c r="Z81" s="62">
        <f t="shared" si="39"/>
        <v>42</v>
      </c>
      <c r="AA81" s="20"/>
      <c r="AB81" s="21"/>
      <c r="AC81" s="57">
        <v>42</v>
      </c>
      <c r="AD81" s="23">
        <f t="shared" si="40"/>
        <v>3</v>
      </c>
      <c r="AE81" s="23">
        <f t="shared" si="41"/>
        <v>3</v>
      </c>
      <c r="AG81" s="52"/>
    </row>
    <row r="82" spans="1:35" hidden="1" outlineLevel="1">
      <c r="A82" s="96">
        <v>45756</v>
      </c>
      <c r="B82" s="17" t="s">
        <v>20</v>
      </c>
      <c r="C82" s="23">
        <v>48</v>
      </c>
      <c r="D82" s="23">
        <f t="shared" si="16"/>
        <v>44</v>
      </c>
      <c r="E82" s="23">
        <f t="shared" si="32"/>
        <v>-60</v>
      </c>
      <c r="G82" s="19"/>
      <c r="H82" s="62"/>
      <c r="I82" s="51">
        <f>IF(M84&lt;&gt;"",N84+O84,IF(M86&lt;&gt;"",N86+O86,IF(M334&lt;&gt;"",N334+O334,IF(M335&lt;&gt;"",N335+O335,IF(M336&lt;&gt;"",N336+O336,IF(M337&lt;&gt;"",N337+O337))))))</f>
        <v>0</v>
      </c>
      <c r="J82" s="18">
        <v>3</v>
      </c>
      <c r="K82" s="18">
        <f t="shared" si="33"/>
        <v>-1</v>
      </c>
      <c r="M82" s="78">
        <v>0</v>
      </c>
      <c r="N82" s="65">
        <f t="shared" si="34"/>
        <v>0</v>
      </c>
      <c r="O82" s="20"/>
      <c r="P82" s="21"/>
      <c r="Q82" s="57">
        <v>0</v>
      </c>
      <c r="R82" s="23">
        <f t="shared" si="35"/>
        <v>0</v>
      </c>
      <c r="S82" s="52">
        <f t="shared" si="36"/>
        <v>0</v>
      </c>
      <c r="U82" s="51">
        <f t="shared" si="37"/>
        <v>48</v>
      </c>
      <c r="V82" s="23">
        <v>41</v>
      </c>
      <c r="W82" s="18">
        <f t="shared" si="38"/>
        <v>-53</v>
      </c>
      <c r="X82" s="2"/>
      <c r="Y82" s="78">
        <v>48</v>
      </c>
      <c r="Z82" s="62">
        <f t="shared" si="39"/>
        <v>48</v>
      </c>
      <c r="AA82" s="20"/>
      <c r="AB82" s="21"/>
      <c r="AC82" s="57">
        <v>48</v>
      </c>
      <c r="AD82" s="23">
        <f t="shared" si="40"/>
        <v>3</v>
      </c>
      <c r="AE82" s="23">
        <f t="shared" si="41"/>
        <v>3</v>
      </c>
      <c r="AG82" s="52"/>
    </row>
    <row r="83" spans="1:35" hidden="1" outlineLevel="1">
      <c r="A83" s="96">
        <v>45757</v>
      </c>
      <c r="B83" s="17" t="s">
        <v>14</v>
      </c>
      <c r="C83" s="23">
        <v>48</v>
      </c>
      <c r="D83" s="23">
        <f t="shared" si="16"/>
        <v>48</v>
      </c>
      <c r="E83" s="23">
        <f t="shared" si="32"/>
        <v>-60</v>
      </c>
      <c r="G83" s="19"/>
      <c r="H83" s="62"/>
      <c r="I83" s="51">
        <f>IF(M85&lt;&gt;"",N85+O85,IF(M87&lt;&gt;"",N87+O87,IF(M335&lt;&gt;"",N335+O335,IF(M336&lt;&gt;"",N336+O336,IF(M337&lt;&gt;"",N337+O337,IF(M338&lt;&gt;"",N338+O338))))))</f>
        <v>3</v>
      </c>
      <c r="J83" s="18">
        <v>0</v>
      </c>
      <c r="K83" s="18">
        <f t="shared" si="33"/>
        <v>-4</v>
      </c>
      <c r="M83" s="78">
        <v>3</v>
      </c>
      <c r="N83" s="65">
        <f t="shared" si="34"/>
        <v>3</v>
      </c>
      <c r="O83" s="20"/>
      <c r="P83" s="21"/>
      <c r="Q83" s="57">
        <v>3</v>
      </c>
      <c r="R83" s="23">
        <f t="shared" si="35"/>
        <v>0</v>
      </c>
      <c r="S83" s="52">
        <f t="shared" si="36"/>
        <v>0</v>
      </c>
      <c r="U83" s="51">
        <f t="shared" si="37"/>
        <v>45</v>
      </c>
      <c r="V83" s="23">
        <v>48</v>
      </c>
      <c r="W83" s="18">
        <f t="shared" si="38"/>
        <v>-50</v>
      </c>
      <c r="X83" s="2"/>
      <c r="Y83" s="78">
        <v>42</v>
      </c>
      <c r="Z83" s="62">
        <f t="shared" si="39"/>
        <v>45</v>
      </c>
      <c r="AA83" s="20"/>
      <c r="AB83" s="21"/>
      <c r="AC83" s="57">
        <v>45</v>
      </c>
      <c r="AD83" s="23">
        <f t="shared" si="40"/>
        <v>6</v>
      </c>
      <c r="AE83" s="23">
        <f t="shared" si="41"/>
        <v>6</v>
      </c>
      <c r="AG83" s="52"/>
    </row>
    <row r="84" spans="1:35" hidden="1" outlineLevel="1">
      <c r="A84" s="96">
        <v>45758</v>
      </c>
      <c r="B84" s="17" t="s">
        <v>15</v>
      </c>
      <c r="C84" s="23">
        <v>48</v>
      </c>
      <c r="D84" s="23">
        <f t="shared" si="16"/>
        <v>48</v>
      </c>
      <c r="E84" s="23">
        <f t="shared" si="32"/>
        <v>-60</v>
      </c>
      <c r="G84" s="19"/>
      <c r="H84" s="62"/>
      <c r="I84" s="51">
        <f>IF(M86&lt;&gt;"",N86+O86,IF(M88&lt;&gt;"",N88+O88,IF(M336&lt;&gt;"",N336+O336,IF(M337&lt;&gt;"",N337+O337,IF(M338&lt;&gt;"",N338+O338,IF(M339&lt;&gt;"",N339+O339))))))</f>
        <v>3</v>
      </c>
      <c r="J84" s="18">
        <v>3</v>
      </c>
      <c r="K84" s="18">
        <f t="shared" si="33"/>
        <v>-4</v>
      </c>
      <c r="M84" s="78">
        <v>0</v>
      </c>
      <c r="N84" s="65">
        <f t="shared" si="34"/>
        <v>0</v>
      </c>
      <c r="O84" s="20"/>
      <c r="P84" s="21"/>
      <c r="Q84" s="57">
        <v>0</v>
      </c>
      <c r="R84" s="23">
        <f t="shared" si="35"/>
        <v>0</v>
      </c>
      <c r="S84" s="52">
        <f t="shared" si="36"/>
        <v>0</v>
      </c>
      <c r="U84" s="51">
        <f t="shared" si="37"/>
        <v>45</v>
      </c>
      <c r="V84" s="23">
        <v>45</v>
      </c>
      <c r="W84" s="18">
        <f t="shared" si="38"/>
        <v>-50</v>
      </c>
      <c r="X84" s="2"/>
      <c r="Y84" s="78">
        <v>54</v>
      </c>
      <c r="Z84" s="62">
        <f t="shared" si="39"/>
        <v>48</v>
      </c>
      <c r="AA84" s="20"/>
      <c r="AB84" s="21"/>
      <c r="AC84" s="57">
        <v>48</v>
      </c>
      <c r="AD84" s="23">
        <f t="shared" si="40"/>
        <v>0</v>
      </c>
      <c r="AE84" s="23">
        <f t="shared" si="41"/>
        <v>0</v>
      </c>
      <c r="AG84" s="52"/>
      <c r="AI84">
        <f>SUM(M80:M84,Y80:Y84)/5</f>
        <v>45</v>
      </c>
    </row>
    <row r="85" spans="1:35" s="12" customFormat="1" hidden="1" outlineLevel="1">
      <c r="A85" s="95">
        <v>45759</v>
      </c>
      <c r="B85" s="25" t="s">
        <v>16</v>
      </c>
      <c r="C85" s="29"/>
      <c r="D85" s="29">
        <f t="shared" si="16"/>
        <v>0</v>
      </c>
      <c r="E85" s="29">
        <f t="shared" si="32"/>
        <v>-60</v>
      </c>
      <c r="G85" s="64"/>
      <c r="H85" s="63"/>
      <c r="I85" s="53"/>
      <c r="J85" s="26"/>
      <c r="K85" s="26">
        <f t="shared" si="33"/>
        <v>-4</v>
      </c>
      <c r="M85" s="79"/>
      <c r="N85" s="66"/>
      <c r="O85" s="27"/>
      <c r="P85" s="28"/>
      <c r="Q85" s="43"/>
      <c r="R85" s="29">
        <f t="shared" si="35"/>
        <v>0</v>
      </c>
      <c r="S85" s="54">
        <f t="shared" si="36"/>
        <v>0</v>
      </c>
      <c r="T85" s="11"/>
      <c r="U85" s="53"/>
      <c r="V85" s="29"/>
      <c r="W85" s="26">
        <f t="shared" si="38"/>
        <v>-50</v>
      </c>
      <c r="X85" s="10"/>
      <c r="Y85" s="79"/>
      <c r="Z85" s="63"/>
      <c r="AA85" s="27"/>
      <c r="AB85" s="28"/>
      <c r="AC85" s="43"/>
      <c r="AD85" s="29">
        <f t="shared" si="40"/>
        <v>0</v>
      </c>
      <c r="AE85" s="29">
        <f t="shared" si="41"/>
        <v>0</v>
      </c>
      <c r="AG85" s="54"/>
      <c r="AI85" s="11"/>
    </row>
    <row r="86" spans="1:35" s="12" customFormat="1" hidden="1" outlineLevel="1" collapsed="1">
      <c r="A86" s="95">
        <v>45760</v>
      </c>
      <c r="B86" s="25" t="s">
        <v>17</v>
      </c>
      <c r="C86" s="29"/>
      <c r="D86" s="29">
        <f t="shared" si="16"/>
        <v>0</v>
      </c>
      <c r="E86" s="29">
        <f t="shared" si="32"/>
        <v>-60</v>
      </c>
      <c r="G86" s="64"/>
      <c r="H86" s="63"/>
      <c r="I86" s="53"/>
      <c r="J86" s="26"/>
      <c r="K86" s="26">
        <f t="shared" si="33"/>
        <v>-4</v>
      </c>
      <c r="M86" s="79"/>
      <c r="N86" s="66"/>
      <c r="O86" s="27"/>
      <c r="P86" s="28"/>
      <c r="Q86" s="43"/>
      <c r="R86" s="29">
        <f t="shared" si="35"/>
        <v>0</v>
      </c>
      <c r="S86" s="54">
        <f t="shared" si="36"/>
        <v>0</v>
      </c>
      <c r="T86" s="11"/>
      <c r="U86" s="53"/>
      <c r="V86" s="29"/>
      <c r="W86" s="26">
        <f t="shared" si="38"/>
        <v>-50</v>
      </c>
      <c r="X86" s="10"/>
      <c r="Y86" s="79"/>
      <c r="Z86" s="63"/>
      <c r="AA86" s="27"/>
      <c r="AB86" s="28"/>
      <c r="AC86" s="43"/>
      <c r="AD86" s="29">
        <f t="shared" si="40"/>
        <v>0</v>
      </c>
      <c r="AE86" s="29">
        <f t="shared" si="41"/>
        <v>0</v>
      </c>
      <c r="AG86" s="54"/>
      <c r="AI86" s="11"/>
    </row>
    <row r="87" spans="1:35" hidden="1" outlineLevel="1">
      <c r="A87" s="96">
        <v>45761</v>
      </c>
      <c r="B87" s="17" t="s">
        <v>18</v>
      </c>
      <c r="C87" s="23">
        <v>48</v>
      </c>
      <c r="D87" s="23">
        <f t="shared" si="16"/>
        <v>53</v>
      </c>
      <c r="E87" s="23">
        <f t="shared" si="32"/>
        <v>-55</v>
      </c>
      <c r="G87" s="19"/>
      <c r="H87" s="62"/>
      <c r="I87" s="51">
        <f>IF(M89&lt;&gt;"",N89+O89,IF(M91&lt;&gt;"",N91+O91,IF(M339&lt;&gt;"",N339+O339,IF(M340&lt;&gt;"",N340+O340,IF(M341&lt;&gt;"",N341+O341,IF(M342&lt;&gt;"",N342+O342))))))</f>
        <v>0</v>
      </c>
      <c r="J87" s="18">
        <v>3</v>
      </c>
      <c r="K87" s="18">
        <f t="shared" si="33"/>
        <v>-1</v>
      </c>
      <c r="M87" s="78">
        <v>3</v>
      </c>
      <c r="N87" s="65">
        <f t="shared" si="34"/>
        <v>3</v>
      </c>
      <c r="O87" s="20"/>
      <c r="P87" s="21"/>
      <c r="Q87" s="57">
        <v>3</v>
      </c>
      <c r="R87" s="23">
        <f t="shared" si="35"/>
        <v>0</v>
      </c>
      <c r="S87" s="52">
        <f t="shared" si="36"/>
        <v>0</v>
      </c>
      <c r="U87" s="51">
        <f t="shared" si="37"/>
        <v>48</v>
      </c>
      <c r="V87" s="23">
        <v>50</v>
      </c>
      <c r="W87" s="18">
        <f t="shared" si="38"/>
        <v>-48</v>
      </c>
      <c r="X87" s="2"/>
      <c r="Y87" s="78">
        <v>42</v>
      </c>
      <c r="Z87" s="62">
        <f t="shared" si="39"/>
        <v>45</v>
      </c>
      <c r="AA87" s="20"/>
      <c r="AB87" s="21"/>
      <c r="AC87" s="57">
        <v>45</v>
      </c>
      <c r="AD87" s="23">
        <f t="shared" si="40"/>
        <v>3</v>
      </c>
      <c r="AE87" s="23">
        <f t="shared" si="41"/>
        <v>3</v>
      </c>
      <c r="AG87" s="52"/>
    </row>
    <row r="88" spans="1:35" hidden="1" outlineLevel="1">
      <c r="A88" s="96">
        <v>45762</v>
      </c>
      <c r="B88" s="17" t="s">
        <v>19</v>
      </c>
      <c r="C88" s="23">
        <v>48</v>
      </c>
      <c r="D88" s="23">
        <f t="shared" si="16"/>
        <v>28</v>
      </c>
      <c r="E88" s="23">
        <f t="shared" si="32"/>
        <v>-75</v>
      </c>
      <c r="G88" s="19"/>
      <c r="H88" s="62"/>
      <c r="I88" s="51">
        <f>IF(M90&lt;&gt;"",N90+O90,IF(M92&lt;&gt;"",N92+O92,IF(M340&lt;&gt;"",N340+O340,IF(M341&lt;&gt;"",N341+O341,IF(M342&lt;&gt;"",N342+O342,IF(M343&lt;&gt;"",N343+O343))))))</f>
        <v>0</v>
      </c>
      <c r="J88" s="18">
        <v>0</v>
      </c>
      <c r="K88" s="18">
        <f t="shared" si="33"/>
        <v>-1</v>
      </c>
      <c r="M88" s="78">
        <v>3</v>
      </c>
      <c r="N88" s="65">
        <f t="shared" si="34"/>
        <v>3</v>
      </c>
      <c r="O88" s="20"/>
      <c r="P88" s="21"/>
      <c r="Q88" s="57">
        <v>3</v>
      </c>
      <c r="R88" s="23">
        <f t="shared" si="35"/>
        <v>0</v>
      </c>
      <c r="S88" s="52">
        <f t="shared" si="36"/>
        <v>0</v>
      </c>
      <c r="U88" s="51">
        <f t="shared" si="37"/>
        <v>48</v>
      </c>
      <c r="V88" s="23">
        <v>28</v>
      </c>
      <c r="W88" s="18">
        <f t="shared" si="38"/>
        <v>-68</v>
      </c>
      <c r="X88" s="2"/>
      <c r="Y88" s="78">
        <v>51</v>
      </c>
      <c r="Z88" s="62">
        <f t="shared" si="39"/>
        <v>45</v>
      </c>
      <c r="AA88" s="20"/>
      <c r="AB88" s="21"/>
      <c r="AC88" s="57">
        <v>45</v>
      </c>
      <c r="AD88" s="23">
        <f t="shared" si="40"/>
        <v>-3</v>
      </c>
      <c r="AE88" s="23">
        <f t="shared" si="41"/>
        <v>-3</v>
      </c>
      <c r="AG88" s="52"/>
    </row>
    <row r="89" spans="1:35" hidden="1" outlineLevel="1">
      <c r="A89" s="96">
        <v>45763</v>
      </c>
      <c r="B89" s="17" t="s">
        <v>20</v>
      </c>
      <c r="C89" s="23">
        <v>0</v>
      </c>
      <c r="D89" s="23">
        <f t="shared" si="16"/>
        <v>0</v>
      </c>
      <c r="E89" s="23">
        <f t="shared" si="32"/>
        <v>-75</v>
      </c>
      <c r="G89" s="19"/>
      <c r="H89" s="62"/>
      <c r="I89" s="51">
        <f>IF(M91&lt;&gt;"",N91+O91,IF(M93&lt;&gt;"",N93+O93,IF(M341&lt;&gt;"",N341+O341,IF(M342&lt;&gt;"",N342+O342,IF(M343&lt;&gt;"",N343+O343,IF(M344&lt;&gt;"",N344+O344))))))</f>
        <v>0</v>
      </c>
      <c r="J89" s="18">
        <v>0</v>
      </c>
      <c r="K89" s="18">
        <f t="shared" si="33"/>
        <v>-1</v>
      </c>
      <c r="M89" s="78">
        <v>0</v>
      </c>
      <c r="N89" s="65">
        <f t="shared" si="34"/>
        <v>0</v>
      </c>
      <c r="O89" s="20"/>
      <c r="P89" s="21"/>
      <c r="Q89" s="57">
        <v>0</v>
      </c>
      <c r="R89" s="23">
        <f t="shared" si="35"/>
        <v>0</v>
      </c>
      <c r="S89" s="52">
        <f t="shared" si="36"/>
        <v>0</v>
      </c>
      <c r="U89" s="51">
        <f t="shared" si="37"/>
        <v>0</v>
      </c>
      <c r="V89" s="23">
        <v>0</v>
      </c>
      <c r="W89" s="18">
        <f t="shared" si="38"/>
        <v>-68</v>
      </c>
      <c r="X89" s="2"/>
      <c r="Y89" s="78">
        <v>54</v>
      </c>
      <c r="Z89" s="62">
        <f t="shared" si="39"/>
        <v>48</v>
      </c>
      <c r="AA89" s="20"/>
      <c r="AB89" s="21"/>
      <c r="AC89" s="57">
        <v>48</v>
      </c>
      <c r="AD89" s="23">
        <f t="shared" si="40"/>
        <v>-9</v>
      </c>
      <c r="AE89" s="23">
        <f t="shared" si="41"/>
        <v>-9</v>
      </c>
      <c r="AG89" s="52"/>
    </row>
    <row r="90" spans="1:35" hidden="1" outlineLevel="1">
      <c r="A90" s="96">
        <v>45764</v>
      </c>
      <c r="B90" s="17" t="s">
        <v>14</v>
      </c>
      <c r="C90" s="23">
        <v>48</v>
      </c>
      <c r="D90" s="23">
        <f t="shared" si="16"/>
        <v>0</v>
      </c>
      <c r="E90" s="23">
        <f t="shared" si="32"/>
        <v>-123</v>
      </c>
      <c r="G90" s="19"/>
      <c r="H90" s="62"/>
      <c r="I90" s="51">
        <f>IF(M92&lt;&gt;"",N92+O92,IF(M94&lt;&gt;"",N94+O94,IF(M342&lt;&gt;"",N342+O342,IF(M343&lt;&gt;"",N343+O343,IF(M344&lt;&gt;"",N344+O344,IF(M345&lt;&gt;"",N345+O345))))))</f>
        <v>0</v>
      </c>
      <c r="J90" s="18">
        <v>0</v>
      </c>
      <c r="K90" s="18">
        <f t="shared" si="33"/>
        <v>-1</v>
      </c>
      <c r="M90" s="78">
        <v>0</v>
      </c>
      <c r="N90" s="65">
        <f t="shared" si="34"/>
        <v>0</v>
      </c>
      <c r="O90" s="20"/>
      <c r="P90" s="21"/>
      <c r="Q90" s="57">
        <v>0</v>
      </c>
      <c r="R90" s="23">
        <f t="shared" si="35"/>
        <v>0</v>
      </c>
      <c r="S90" s="52">
        <f t="shared" si="36"/>
        <v>0</v>
      </c>
      <c r="U90" s="51">
        <f t="shared" si="37"/>
        <v>48</v>
      </c>
      <c r="V90" s="23">
        <v>0</v>
      </c>
      <c r="W90" s="18">
        <f t="shared" si="38"/>
        <v>-116</v>
      </c>
      <c r="X90" s="2"/>
      <c r="Y90" s="78">
        <v>45</v>
      </c>
      <c r="Z90" s="175">
        <v>0</v>
      </c>
      <c r="AA90" s="20">
        <v>-48</v>
      </c>
      <c r="AB90" s="21"/>
      <c r="AC90" s="57">
        <v>0</v>
      </c>
      <c r="AD90" s="23">
        <f t="shared" si="40"/>
        <v>-54</v>
      </c>
      <c r="AE90" s="23">
        <f t="shared" si="41"/>
        <v>-54</v>
      </c>
      <c r="AG90" s="52"/>
    </row>
    <row r="91" spans="1:35" hidden="1" outlineLevel="1">
      <c r="A91" s="96">
        <v>45765</v>
      </c>
      <c r="B91" s="17" t="s">
        <v>15</v>
      </c>
      <c r="C91" s="23">
        <v>48</v>
      </c>
      <c r="D91" s="23">
        <f t="shared" si="16"/>
        <v>50</v>
      </c>
      <c r="E91" s="23">
        <f t="shared" si="32"/>
        <v>-121</v>
      </c>
      <c r="G91" s="19"/>
      <c r="H91" s="62"/>
      <c r="I91" s="51">
        <f>IF(M93&lt;&gt;"",N93+O93,IF(M95&lt;&gt;"",N95+O95,IF(M343&lt;&gt;"",N343+O343,IF(M344&lt;&gt;"",N344+O344,IF(M345&lt;&gt;"",N345+O345,IF(M346&lt;&gt;"",N346+O346))))))</f>
        <v>0</v>
      </c>
      <c r="J91" s="18">
        <v>0</v>
      </c>
      <c r="K91" s="18">
        <f t="shared" si="33"/>
        <v>-1</v>
      </c>
      <c r="M91" s="78">
        <v>0</v>
      </c>
      <c r="N91" s="65">
        <f t="shared" si="34"/>
        <v>0</v>
      </c>
      <c r="O91" s="20"/>
      <c r="P91" s="21"/>
      <c r="Q91" s="57">
        <v>0</v>
      </c>
      <c r="R91" s="23">
        <f t="shared" si="35"/>
        <v>0</v>
      </c>
      <c r="S91" s="52">
        <f t="shared" si="36"/>
        <v>0</v>
      </c>
      <c r="U91" s="51">
        <f t="shared" si="37"/>
        <v>48</v>
      </c>
      <c r="V91" s="23">
        <v>50</v>
      </c>
      <c r="W91" s="18">
        <f t="shared" si="38"/>
        <v>-114</v>
      </c>
      <c r="X91" s="2"/>
      <c r="Y91" s="78">
        <v>42</v>
      </c>
      <c r="Z91" s="175">
        <f t="shared" si="39"/>
        <v>-48</v>
      </c>
      <c r="AA91" s="20">
        <v>-48</v>
      </c>
      <c r="AB91" s="21"/>
      <c r="AC91" s="57">
        <v>0</v>
      </c>
      <c r="AD91" s="23">
        <f t="shared" si="40"/>
        <v>-96</v>
      </c>
      <c r="AE91" s="23">
        <f t="shared" si="41"/>
        <v>-144</v>
      </c>
      <c r="AG91" s="52"/>
      <c r="AI91">
        <f>SUM(M87:M91,Y87:Y91)/5</f>
        <v>48</v>
      </c>
    </row>
    <row r="92" spans="1:35" s="12" customFormat="1" hidden="1" outlineLevel="1">
      <c r="A92" s="95">
        <v>45766</v>
      </c>
      <c r="B92" s="25" t="s">
        <v>16</v>
      </c>
      <c r="C92" s="29"/>
      <c r="D92" s="29">
        <f t="shared" si="16"/>
        <v>0</v>
      </c>
      <c r="E92" s="29">
        <f t="shared" si="32"/>
        <v>-121</v>
      </c>
      <c r="G92" s="64"/>
      <c r="H92" s="63"/>
      <c r="I92" s="53"/>
      <c r="J92" s="26"/>
      <c r="K92" s="26">
        <f t="shared" si="33"/>
        <v>-1</v>
      </c>
      <c r="M92" s="79"/>
      <c r="N92" s="66"/>
      <c r="O92" s="27"/>
      <c r="P92" s="28"/>
      <c r="Q92" s="43"/>
      <c r="R92" s="29">
        <f t="shared" si="35"/>
        <v>0</v>
      </c>
      <c r="S92" s="54">
        <f t="shared" si="36"/>
        <v>0</v>
      </c>
      <c r="T92" s="11"/>
      <c r="U92" s="53"/>
      <c r="V92" s="29"/>
      <c r="W92" s="26">
        <f t="shared" si="38"/>
        <v>-114</v>
      </c>
      <c r="X92" s="10"/>
      <c r="Y92" s="79"/>
      <c r="Z92" s="66"/>
      <c r="AA92" s="27"/>
      <c r="AB92" s="28"/>
      <c r="AC92" s="43"/>
      <c r="AD92" s="29">
        <f t="shared" si="40"/>
        <v>-96</v>
      </c>
      <c r="AE92" s="29">
        <f t="shared" si="41"/>
        <v>-144</v>
      </c>
      <c r="AG92" s="54"/>
      <c r="AI92" s="11"/>
    </row>
    <row r="93" spans="1:35" s="12" customFormat="1" hidden="1" outlineLevel="1" collapsed="1">
      <c r="A93" s="95">
        <v>45767</v>
      </c>
      <c r="B93" s="25" t="s">
        <v>17</v>
      </c>
      <c r="C93" s="29"/>
      <c r="D93" s="29">
        <f t="shared" si="16"/>
        <v>0</v>
      </c>
      <c r="E93" s="29">
        <f t="shared" si="32"/>
        <v>-121</v>
      </c>
      <c r="G93" s="64"/>
      <c r="H93" s="63"/>
      <c r="I93" s="53"/>
      <c r="J93" s="26"/>
      <c r="K93" s="26">
        <f t="shared" si="33"/>
        <v>-1</v>
      </c>
      <c r="M93" s="79"/>
      <c r="N93" s="66"/>
      <c r="O93" s="27"/>
      <c r="P93" s="28"/>
      <c r="Q93" s="43"/>
      <c r="R93" s="29">
        <f t="shared" si="35"/>
        <v>0</v>
      </c>
      <c r="S93" s="54">
        <f t="shared" si="36"/>
        <v>0</v>
      </c>
      <c r="T93" s="11"/>
      <c r="U93" s="53"/>
      <c r="V93" s="29"/>
      <c r="W93" s="26">
        <f t="shared" si="38"/>
        <v>-114</v>
      </c>
      <c r="X93" s="10"/>
      <c r="Y93" s="79"/>
      <c r="Z93" s="66"/>
      <c r="AA93" s="27"/>
      <c r="AB93" s="28"/>
      <c r="AC93" s="43"/>
      <c r="AD93" s="29">
        <f t="shared" si="40"/>
        <v>-96</v>
      </c>
      <c r="AE93" s="29">
        <f t="shared" si="41"/>
        <v>-144</v>
      </c>
      <c r="AG93" s="54"/>
      <c r="AI93" s="11"/>
    </row>
    <row r="94" spans="1:35" hidden="1" outlineLevel="1">
      <c r="A94" s="96">
        <v>45768</v>
      </c>
      <c r="B94" s="17" t="s">
        <v>18</v>
      </c>
      <c r="C94" s="23">
        <v>54</v>
      </c>
      <c r="D94" s="23">
        <f t="shared" si="16"/>
        <v>47</v>
      </c>
      <c r="E94" s="23">
        <f t="shared" si="32"/>
        <v>-128</v>
      </c>
      <c r="G94" s="19"/>
      <c r="H94" s="62"/>
      <c r="I94" s="51">
        <f>IF(M96&lt;&gt;"",N96+O96,IF(M98&lt;&gt;"",N98+O98,IF(M346&lt;&gt;"",N346+O346,IF(M347&lt;&gt;"",N347+O347,IF(M348&lt;&gt;"",N348+O348,IF(M349&lt;&gt;"",N349+O349))))))</f>
        <v>0</v>
      </c>
      <c r="J94" s="18">
        <v>0</v>
      </c>
      <c r="K94" s="18">
        <f t="shared" si="33"/>
        <v>-1</v>
      </c>
      <c r="M94" s="78">
        <v>0</v>
      </c>
      <c r="N94" s="65">
        <f t="shared" si="34"/>
        <v>0</v>
      </c>
      <c r="O94" s="20"/>
      <c r="P94" s="21"/>
      <c r="Q94" s="57">
        <v>0</v>
      </c>
      <c r="R94" s="23">
        <f t="shared" si="35"/>
        <v>0</v>
      </c>
      <c r="S94" s="52">
        <f t="shared" si="36"/>
        <v>0</v>
      </c>
      <c r="U94" s="51">
        <f t="shared" si="37"/>
        <v>54</v>
      </c>
      <c r="V94" s="23">
        <v>47</v>
      </c>
      <c r="W94" s="18">
        <f t="shared" si="38"/>
        <v>-121</v>
      </c>
      <c r="X94" s="2"/>
      <c r="Y94" s="78">
        <v>39</v>
      </c>
      <c r="Z94" s="62">
        <f t="shared" si="39"/>
        <v>48</v>
      </c>
      <c r="AA94" s="20"/>
      <c r="AB94" s="21"/>
      <c r="AC94" s="57">
        <v>48</v>
      </c>
      <c r="AD94" s="23">
        <f t="shared" si="40"/>
        <v>-87</v>
      </c>
      <c r="AE94" s="23">
        <f t="shared" si="41"/>
        <v>-135</v>
      </c>
      <c r="AG94" s="52"/>
    </row>
    <row r="95" spans="1:35" hidden="1" outlineLevel="1">
      <c r="A95" s="96">
        <v>45769</v>
      </c>
      <c r="B95" s="17" t="s">
        <v>19</v>
      </c>
      <c r="C95" s="23">
        <v>54</v>
      </c>
      <c r="D95" s="23">
        <f t="shared" si="16"/>
        <v>0</v>
      </c>
      <c r="E95" s="23">
        <f t="shared" si="32"/>
        <v>-182</v>
      </c>
      <c r="G95" s="19"/>
      <c r="H95" s="62"/>
      <c r="I95" s="51">
        <f>IF(M97&lt;&gt;"",N97+O97,IF(M99&lt;&gt;"",N99+O99,IF(M347&lt;&gt;"",N347+O347,IF(M348&lt;&gt;"",N348+O348,IF(M349&lt;&gt;"",N349+O349,IF(M350&lt;&gt;"",N350+O350))))))</f>
        <v>0</v>
      </c>
      <c r="J95" s="18"/>
      <c r="K95" s="18">
        <f t="shared" si="33"/>
        <v>-1</v>
      </c>
      <c r="M95" s="78">
        <v>0</v>
      </c>
      <c r="N95" s="65">
        <f t="shared" si="34"/>
        <v>0</v>
      </c>
      <c r="O95" s="20"/>
      <c r="P95" s="21"/>
      <c r="Q95" s="57">
        <v>0</v>
      </c>
      <c r="R95" s="23">
        <f t="shared" si="35"/>
        <v>0</v>
      </c>
      <c r="S95" s="52">
        <f t="shared" si="36"/>
        <v>0</v>
      </c>
      <c r="U95" s="51">
        <f t="shared" si="37"/>
        <v>54</v>
      </c>
      <c r="V95" s="23"/>
      <c r="W95" s="18">
        <f t="shared" si="38"/>
        <v>-175</v>
      </c>
      <c r="X95" s="2"/>
      <c r="Y95" s="78">
        <v>54</v>
      </c>
      <c r="Z95" s="62">
        <f t="shared" si="39"/>
        <v>48</v>
      </c>
      <c r="AA95" s="20"/>
      <c r="AB95" s="21"/>
      <c r="AC95" s="57">
        <v>48</v>
      </c>
      <c r="AD95" s="23">
        <f t="shared" si="40"/>
        <v>-93</v>
      </c>
      <c r="AE95" s="23">
        <f t="shared" si="41"/>
        <v>-141</v>
      </c>
      <c r="AG95" s="52"/>
    </row>
    <row r="96" spans="1:35" hidden="1" outlineLevel="1">
      <c r="A96" s="96">
        <v>45770</v>
      </c>
      <c r="B96" s="17" t="s">
        <v>20</v>
      </c>
      <c r="C96" s="23">
        <v>57</v>
      </c>
      <c r="D96" s="23">
        <f t="shared" si="16"/>
        <v>0</v>
      </c>
      <c r="E96" s="23">
        <f t="shared" si="32"/>
        <v>-239</v>
      </c>
      <c r="G96" s="19"/>
      <c r="H96" s="62"/>
      <c r="I96" s="51">
        <f>IF(M98&lt;&gt;"",N98+O98,IF(M100&lt;&gt;"",N100+O100,IF(M348&lt;&gt;"",N348+O348,IF(M349&lt;&gt;"",N349+O349,IF(M350&lt;&gt;"",N350+O350,IF(M351&lt;&gt;"",N351+O351))))))</f>
        <v>3</v>
      </c>
      <c r="J96" s="18"/>
      <c r="K96" s="18">
        <f t="shared" si="33"/>
        <v>-4</v>
      </c>
      <c r="M96" s="78">
        <v>0</v>
      </c>
      <c r="N96" s="65">
        <f t="shared" si="34"/>
        <v>0</v>
      </c>
      <c r="O96" s="20"/>
      <c r="P96" s="21"/>
      <c r="Q96" s="57">
        <v>0</v>
      </c>
      <c r="R96" s="23">
        <f t="shared" si="35"/>
        <v>0</v>
      </c>
      <c r="S96" s="52">
        <f t="shared" si="36"/>
        <v>0</v>
      </c>
      <c r="U96" s="51">
        <f t="shared" si="37"/>
        <v>54</v>
      </c>
      <c r="V96" s="23"/>
      <c r="W96" s="18">
        <f t="shared" si="38"/>
        <v>-229</v>
      </c>
      <c r="X96" s="2"/>
      <c r="Y96" s="78">
        <v>0</v>
      </c>
      <c r="Z96" s="62">
        <f t="shared" si="39"/>
        <v>54</v>
      </c>
      <c r="AA96" s="20"/>
      <c r="AB96" s="21"/>
      <c r="AC96" s="57">
        <v>54</v>
      </c>
      <c r="AD96" s="23">
        <f t="shared" si="40"/>
        <v>-39</v>
      </c>
      <c r="AE96" s="23">
        <f t="shared" si="41"/>
        <v>-87</v>
      </c>
      <c r="AG96" s="52"/>
    </row>
    <row r="97" spans="1:37" hidden="1" outlineLevel="1">
      <c r="A97" s="96">
        <v>45771</v>
      </c>
      <c r="B97" s="17" t="s">
        <v>14</v>
      </c>
      <c r="C97" s="23">
        <v>57</v>
      </c>
      <c r="D97" s="23">
        <f t="shared" si="16"/>
        <v>0</v>
      </c>
      <c r="E97" s="23">
        <f t="shared" si="32"/>
        <v>-296</v>
      </c>
      <c r="G97" s="19"/>
      <c r="H97" s="62"/>
      <c r="I97" s="51">
        <f>IF(M99&lt;&gt;"",N99+O99,IF(M101&lt;&gt;"",N101+O101,IF(M349&lt;&gt;"",N349+O349,IF(M350&lt;&gt;"",N350+O350,IF(M351&lt;&gt;"",N351+O351,IF(M352&lt;&gt;"",N352+O352))))))</f>
        <v>3</v>
      </c>
      <c r="J97" s="18"/>
      <c r="K97" s="18">
        <f t="shared" si="33"/>
        <v>-7</v>
      </c>
      <c r="M97" s="78">
        <v>0</v>
      </c>
      <c r="N97" s="65">
        <f t="shared" si="34"/>
        <v>0</v>
      </c>
      <c r="O97" s="20"/>
      <c r="P97" s="21"/>
      <c r="Q97" s="57">
        <v>0</v>
      </c>
      <c r="R97" s="23">
        <f t="shared" si="35"/>
        <v>0</v>
      </c>
      <c r="S97" s="52">
        <f t="shared" si="36"/>
        <v>0</v>
      </c>
      <c r="U97" s="51">
        <f t="shared" si="37"/>
        <v>54</v>
      </c>
      <c r="V97" s="23"/>
      <c r="W97" s="18">
        <f t="shared" si="38"/>
        <v>-283</v>
      </c>
      <c r="X97" s="2"/>
      <c r="Y97" s="78">
        <v>0</v>
      </c>
      <c r="Z97" s="62">
        <f t="shared" si="39"/>
        <v>54</v>
      </c>
      <c r="AA97" s="20"/>
      <c r="AB97" s="21"/>
      <c r="AC97" s="57">
        <v>54</v>
      </c>
      <c r="AD97" s="23">
        <f t="shared" si="40"/>
        <v>15</v>
      </c>
      <c r="AE97" s="23">
        <f t="shared" si="41"/>
        <v>-33</v>
      </c>
      <c r="AG97" s="52"/>
    </row>
    <row r="98" spans="1:37" hidden="1" outlineLevel="1">
      <c r="A98" s="96">
        <v>45772</v>
      </c>
      <c r="B98" s="17" t="s">
        <v>15</v>
      </c>
      <c r="C98" s="23">
        <v>57</v>
      </c>
      <c r="D98" s="23">
        <f t="shared" si="16"/>
        <v>0</v>
      </c>
      <c r="E98" s="23">
        <f t="shared" si="32"/>
        <v>-353</v>
      </c>
      <c r="G98" s="19"/>
      <c r="H98" s="62"/>
      <c r="I98" s="51">
        <f>IF(M100&lt;&gt;"",N100+O100,IF(M102&lt;&gt;"",N102+O102,IF(M350&lt;&gt;"",N350+O350,IF(M351&lt;&gt;"",N351+O351,IF(M352&lt;&gt;"",N352+O352,IF(M353&lt;&gt;"",N353+O353))))))</f>
        <v>0</v>
      </c>
      <c r="J98" s="18"/>
      <c r="K98" s="18">
        <f t="shared" si="33"/>
        <v>-7</v>
      </c>
      <c r="M98" s="78">
        <v>3</v>
      </c>
      <c r="N98" s="65">
        <f t="shared" si="34"/>
        <v>3</v>
      </c>
      <c r="O98" s="20"/>
      <c r="P98" s="21"/>
      <c r="Q98" s="57">
        <v>3</v>
      </c>
      <c r="R98" s="23">
        <f t="shared" si="35"/>
        <v>0</v>
      </c>
      <c r="S98" s="52">
        <f t="shared" si="36"/>
        <v>0</v>
      </c>
      <c r="U98" s="51">
        <f t="shared" si="37"/>
        <v>57</v>
      </c>
      <c r="V98" s="23"/>
      <c r="W98" s="18">
        <f t="shared" si="38"/>
        <v>-340</v>
      </c>
      <c r="X98" s="2"/>
      <c r="Y98" s="78">
        <v>57</v>
      </c>
      <c r="Z98" s="62">
        <f t="shared" si="39"/>
        <v>54</v>
      </c>
      <c r="AA98" s="20"/>
      <c r="AB98" s="21"/>
      <c r="AC98" s="57">
        <v>54</v>
      </c>
      <c r="AD98" s="23">
        <f t="shared" si="40"/>
        <v>12</v>
      </c>
      <c r="AE98" s="23">
        <f t="shared" si="41"/>
        <v>-36</v>
      </c>
      <c r="AG98" s="52"/>
      <c r="AI98">
        <f>SUM(M94:M98,Y94:Y98)/5</f>
        <v>30.6</v>
      </c>
    </row>
    <row r="99" spans="1:37" s="12" customFormat="1" hidden="1" outlineLevel="1">
      <c r="A99" s="95">
        <v>45773</v>
      </c>
      <c r="B99" s="25" t="s">
        <v>16</v>
      </c>
      <c r="C99" s="29"/>
      <c r="D99" s="29">
        <f t="shared" si="16"/>
        <v>0</v>
      </c>
      <c r="E99" s="29">
        <f t="shared" si="32"/>
        <v>-353</v>
      </c>
      <c r="G99" s="64"/>
      <c r="H99" s="63"/>
      <c r="I99" s="53"/>
      <c r="J99" s="26"/>
      <c r="K99" s="26">
        <f t="shared" si="33"/>
        <v>-7</v>
      </c>
      <c r="M99" s="79"/>
      <c r="N99" s="66"/>
      <c r="O99" s="27"/>
      <c r="P99" s="28"/>
      <c r="Q99" s="43"/>
      <c r="R99" s="29">
        <f t="shared" si="35"/>
        <v>0</v>
      </c>
      <c r="S99" s="54">
        <f t="shared" si="36"/>
        <v>0</v>
      </c>
      <c r="T99" s="11"/>
      <c r="U99" s="53"/>
      <c r="V99" s="29"/>
      <c r="W99" s="26">
        <f t="shared" si="38"/>
        <v>-340</v>
      </c>
      <c r="X99" s="10"/>
      <c r="Y99" s="79"/>
      <c r="Z99" s="66"/>
      <c r="AA99" s="27"/>
      <c r="AB99" s="28"/>
      <c r="AC99" s="43"/>
      <c r="AD99" s="29">
        <f t="shared" si="40"/>
        <v>12</v>
      </c>
      <c r="AE99" s="29">
        <f t="shared" si="41"/>
        <v>-36</v>
      </c>
      <c r="AG99" s="54"/>
      <c r="AI99" s="11"/>
    </row>
    <row r="100" spans="1:37" s="12" customFormat="1" hidden="1" outlineLevel="1">
      <c r="A100" s="95">
        <v>45774</v>
      </c>
      <c r="B100" s="25" t="s">
        <v>17</v>
      </c>
      <c r="C100" s="29"/>
      <c r="D100" s="29">
        <f t="shared" si="16"/>
        <v>0</v>
      </c>
      <c r="E100" s="29">
        <f t="shared" si="32"/>
        <v>-353</v>
      </c>
      <c r="G100" s="64"/>
      <c r="H100" s="63"/>
      <c r="I100" s="53"/>
      <c r="J100" s="26"/>
      <c r="K100" s="26">
        <f t="shared" si="33"/>
        <v>-7</v>
      </c>
      <c r="M100" s="79"/>
      <c r="N100" s="66"/>
      <c r="O100" s="27"/>
      <c r="P100" s="28"/>
      <c r="Q100" s="43"/>
      <c r="R100" s="29">
        <f t="shared" si="35"/>
        <v>0</v>
      </c>
      <c r="S100" s="54">
        <f t="shared" si="36"/>
        <v>0</v>
      </c>
      <c r="T100" s="11"/>
      <c r="U100" s="53"/>
      <c r="V100" s="29"/>
      <c r="W100" s="26">
        <f t="shared" si="38"/>
        <v>-340</v>
      </c>
      <c r="X100" s="10"/>
      <c r="Y100" s="79"/>
      <c r="Z100" s="66"/>
      <c r="AA100" s="27"/>
      <c r="AB100" s="28"/>
      <c r="AC100" s="43"/>
      <c r="AD100" s="29">
        <f t="shared" si="40"/>
        <v>12</v>
      </c>
      <c r="AE100" s="29">
        <f t="shared" si="41"/>
        <v>-36</v>
      </c>
      <c r="AG100" s="54"/>
      <c r="AI100" s="11"/>
    </row>
    <row r="101" spans="1:37" hidden="1" outlineLevel="1">
      <c r="A101" s="96">
        <v>45775</v>
      </c>
      <c r="B101" s="17" t="s">
        <v>18</v>
      </c>
      <c r="C101" s="23">
        <v>57</v>
      </c>
      <c r="D101" s="23">
        <f t="shared" si="16"/>
        <v>0</v>
      </c>
      <c r="E101" s="23">
        <f t="shared" si="32"/>
        <v>-410</v>
      </c>
      <c r="G101" s="19"/>
      <c r="H101" s="62"/>
      <c r="I101" s="51">
        <f>IF(M103&lt;&gt;"",N103+O103,IF(M105&lt;&gt;"",N105+O105,IF(M353&lt;&gt;"",N353+O353,IF(M354&lt;&gt;"",N354+O354,IF(M355&lt;&gt;"",N355+O355,IF(M356&lt;&gt;"",N356+O356))))))</f>
        <v>3</v>
      </c>
      <c r="J101" s="18"/>
      <c r="K101" s="18">
        <f t="shared" si="33"/>
        <v>-10</v>
      </c>
      <c r="M101" s="78">
        <v>3</v>
      </c>
      <c r="N101" s="65">
        <f t="shared" si="34"/>
        <v>3</v>
      </c>
      <c r="O101" s="20"/>
      <c r="P101" s="21"/>
      <c r="Q101" s="57">
        <v>3</v>
      </c>
      <c r="R101" s="23">
        <f t="shared" si="35"/>
        <v>0</v>
      </c>
      <c r="S101" s="52">
        <f t="shared" si="36"/>
        <v>0</v>
      </c>
      <c r="U101" s="51">
        <f t="shared" si="37"/>
        <v>54</v>
      </c>
      <c r="V101" s="23"/>
      <c r="W101" s="18">
        <f t="shared" si="38"/>
        <v>-394</v>
      </c>
      <c r="X101" s="2"/>
      <c r="Y101" s="78">
        <v>60</v>
      </c>
      <c r="Z101" s="62">
        <f t="shared" si="39"/>
        <v>54</v>
      </c>
      <c r="AA101" s="20"/>
      <c r="AB101" s="21"/>
      <c r="AC101" s="57">
        <v>54</v>
      </c>
      <c r="AD101" s="23">
        <f t="shared" si="40"/>
        <v>6</v>
      </c>
      <c r="AE101" s="23">
        <f t="shared" si="41"/>
        <v>-42</v>
      </c>
      <c r="AG101" s="52"/>
    </row>
    <row r="102" spans="1:37" hidden="1" outlineLevel="1">
      <c r="A102" s="96">
        <v>45776</v>
      </c>
      <c r="B102" s="17" t="s">
        <v>19</v>
      </c>
      <c r="C102" s="23">
        <v>57</v>
      </c>
      <c r="D102" s="23">
        <f t="shared" si="16"/>
        <v>0</v>
      </c>
      <c r="E102" s="23">
        <f t="shared" si="32"/>
        <v>-467</v>
      </c>
      <c r="G102" s="19"/>
      <c r="H102" s="62"/>
      <c r="I102" s="51">
        <v>0</v>
      </c>
      <c r="J102" s="18"/>
      <c r="K102" s="18">
        <f t="shared" si="33"/>
        <v>-10</v>
      </c>
      <c r="M102" s="78">
        <v>0</v>
      </c>
      <c r="N102" s="65">
        <f t="shared" si="34"/>
        <v>0</v>
      </c>
      <c r="O102" s="20"/>
      <c r="P102" s="21"/>
      <c r="Q102" s="57">
        <v>0</v>
      </c>
      <c r="R102" s="23">
        <f t="shared" si="35"/>
        <v>0</v>
      </c>
      <c r="S102" s="52">
        <f t="shared" si="36"/>
        <v>0</v>
      </c>
      <c r="U102" s="51">
        <f t="shared" si="37"/>
        <v>57</v>
      </c>
      <c r="V102" s="23"/>
      <c r="W102" s="18">
        <f t="shared" si="38"/>
        <v>-451</v>
      </c>
      <c r="X102" s="2"/>
      <c r="Y102" s="78">
        <v>0</v>
      </c>
      <c r="Z102" s="62">
        <f t="shared" si="39"/>
        <v>57</v>
      </c>
      <c r="AA102" s="20"/>
      <c r="AB102" s="21"/>
      <c r="AC102" s="57">
        <v>57</v>
      </c>
      <c r="AD102" s="23">
        <f t="shared" si="40"/>
        <v>63</v>
      </c>
      <c r="AE102" s="23">
        <f t="shared" si="41"/>
        <v>15</v>
      </c>
      <c r="AG102" s="52"/>
    </row>
    <row r="103" spans="1:37" hidden="1" outlineLevel="1">
      <c r="A103" s="96">
        <v>45777</v>
      </c>
      <c r="B103" s="17" t="s">
        <v>20</v>
      </c>
      <c r="C103" s="283"/>
      <c r="D103" s="23">
        <f t="shared" si="16"/>
        <v>0</v>
      </c>
      <c r="E103" s="23">
        <f t="shared" si="32"/>
        <v>-467</v>
      </c>
      <c r="G103" s="19"/>
      <c r="H103" s="62"/>
      <c r="I103" s="51">
        <v>0</v>
      </c>
      <c r="J103" s="18"/>
      <c r="K103" s="18">
        <f t="shared" si="33"/>
        <v>-10</v>
      </c>
      <c r="M103" s="78">
        <v>3</v>
      </c>
      <c r="N103" s="65">
        <f t="shared" si="34"/>
        <v>3</v>
      </c>
      <c r="O103" s="20"/>
      <c r="P103" s="21"/>
      <c r="Q103" s="57">
        <v>3</v>
      </c>
      <c r="R103" s="23">
        <f t="shared" si="35"/>
        <v>0</v>
      </c>
      <c r="S103" s="52">
        <f t="shared" si="36"/>
        <v>0</v>
      </c>
      <c r="U103" s="51">
        <f t="shared" si="37"/>
        <v>0</v>
      </c>
      <c r="V103" s="23"/>
      <c r="W103" s="18">
        <f t="shared" si="38"/>
        <v>-451</v>
      </c>
      <c r="X103" s="2"/>
      <c r="Y103" s="78">
        <v>60</v>
      </c>
      <c r="Z103" s="62">
        <f t="shared" si="39"/>
        <v>54</v>
      </c>
      <c r="AA103" s="20"/>
      <c r="AB103" s="21"/>
      <c r="AC103" s="57">
        <v>54</v>
      </c>
      <c r="AD103" s="23">
        <f t="shared" si="40"/>
        <v>57</v>
      </c>
      <c r="AE103" s="23">
        <f t="shared" si="41"/>
        <v>9</v>
      </c>
      <c r="AG103" s="52"/>
      <c r="AI103">
        <f>SUM(M101:M103,Y101:Y103)/COUNT(Y101:Y103)</f>
        <v>42</v>
      </c>
    </row>
    <row r="104" spans="1:37" s="12" customFormat="1" hidden="1" outlineLevel="1">
      <c r="A104" s="95">
        <v>45778</v>
      </c>
      <c r="B104" s="25" t="s">
        <v>14</v>
      </c>
      <c r="C104" s="29"/>
      <c r="D104" s="23">
        <f t="shared" ref="D104:D167" si="42">J104+V104</f>
        <v>0</v>
      </c>
      <c r="E104" s="29">
        <f t="shared" si="32"/>
        <v>-467</v>
      </c>
      <c r="G104" s="64"/>
      <c r="H104" s="63"/>
      <c r="I104" s="53"/>
      <c r="J104" s="26"/>
      <c r="K104" s="26">
        <f t="shared" si="33"/>
        <v>-10</v>
      </c>
      <c r="M104" s="79"/>
      <c r="N104" s="66"/>
      <c r="O104" s="27"/>
      <c r="P104" s="28"/>
      <c r="Q104" s="43"/>
      <c r="R104" s="29">
        <f t="shared" si="35"/>
        <v>0</v>
      </c>
      <c r="S104" s="54">
        <f t="shared" si="36"/>
        <v>0</v>
      </c>
      <c r="T104" s="11"/>
      <c r="U104" s="53"/>
      <c r="V104" s="29"/>
      <c r="W104" s="26">
        <f t="shared" si="38"/>
        <v>-451</v>
      </c>
      <c r="X104" s="10"/>
      <c r="Y104" s="79"/>
      <c r="Z104" s="63"/>
      <c r="AA104" s="27"/>
      <c r="AB104" s="28"/>
      <c r="AC104" s="43"/>
      <c r="AD104" s="29">
        <f t="shared" si="40"/>
        <v>57</v>
      </c>
      <c r="AE104" s="29">
        <f t="shared" si="41"/>
        <v>9</v>
      </c>
      <c r="AG104" s="54"/>
      <c r="AI104" s="11"/>
    </row>
    <row r="105" spans="1:37" s="12" customFormat="1" hidden="1" outlineLevel="1">
      <c r="A105" s="95">
        <v>45779</v>
      </c>
      <c r="B105" s="25" t="s">
        <v>15</v>
      </c>
      <c r="C105" s="29"/>
      <c r="D105" s="23">
        <f t="shared" si="42"/>
        <v>0</v>
      </c>
      <c r="E105" s="29">
        <f t="shared" si="32"/>
        <v>-467</v>
      </c>
      <c r="G105" s="64"/>
      <c r="H105" s="63"/>
      <c r="I105" s="53"/>
      <c r="J105" s="26"/>
      <c r="K105" s="26">
        <f t="shared" si="33"/>
        <v>-10</v>
      </c>
      <c r="M105" s="79"/>
      <c r="N105" s="66"/>
      <c r="O105" s="27"/>
      <c r="P105" s="28"/>
      <c r="Q105" s="43"/>
      <c r="R105" s="29">
        <f t="shared" si="35"/>
        <v>0</v>
      </c>
      <c r="S105" s="54">
        <f t="shared" si="36"/>
        <v>0</v>
      </c>
      <c r="T105" s="11"/>
      <c r="U105" s="53"/>
      <c r="V105" s="29"/>
      <c r="W105" s="26">
        <f t="shared" si="38"/>
        <v>-451</v>
      </c>
      <c r="X105" s="10"/>
      <c r="Y105" s="79"/>
      <c r="Z105" s="63"/>
      <c r="AA105" s="27"/>
      <c r="AB105" s="28"/>
      <c r="AC105" s="43"/>
      <c r="AD105" s="29">
        <f t="shared" si="40"/>
        <v>57</v>
      </c>
      <c r="AE105" s="29">
        <f t="shared" si="41"/>
        <v>9</v>
      </c>
      <c r="AG105" s="54"/>
      <c r="AI105" s="11"/>
    </row>
    <row r="106" spans="1:37" s="12" customFormat="1" hidden="1" outlineLevel="1">
      <c r="A106" s="95">
        <v>45780</v>
      </c>
      <c r="B106" s="25" t="s">
        <v>16</v>
      </c>
      <c r="C106" s="29"/>
      <c r="D106" s="29">
        <f t="shared" si="42"/>
        <v>0</v>
      </c>
      <c r="E106" s="29">
        <f t="shared" ref="E106:E137" si="43">E105-C106+D106</f>
        <v>-467</v>
      </c>
      <c r="G106" s="64"/>
      <c r="H106" s="63"/>
      <c r="I106" s="53"/>
      <c r="J106" s="26"/>
      <c r="K106" s="26">
        <f t="shared" ref="K106:K137" si="44">J106-I106+K105</f>
        <v>-10</v>
      </c>
      <c r="M106" s="79"/>
      <c r="N106" s="66"/>
      <c r="O106" s="27"/>
      <c r="P106" s="28"/>
      <c r="Q106" s="43"/>
      <c r="R106" s="29">
        <f t="shared" ref="R106:R137" si="45">R105-M106+Q106</f>
        <v>0</v>
      </c>
      <c r="S106" s="54">
        <f t="shared" ref="S106:S137" si="46">S105-M106+N106</f>
        <v>0</v>
      </c>
      <c r="T106" s="11"/>
      <c r="U106" s="53"/>
      <c r="V106" s="29"/>
      <c r="W106" s="26">
        <f t="shared" ref="W106:W137" si="47">V106-U106+W105</f>
        <v>-451</v>
      </c>
      <c r="X106" s="10"/>
      <c r="Y106" s="79"/>
      <c r="Z106" s="63"/>
      <c r="AA106" s="27"/>
      <c r="AB106" s="28"/>
      <c r="AC106" s="43"/>
      <c r="AD106" s="29">
        <f t="shared" ref="AD106:AD137" si="48">AD105-Y106+AC106</f>
        <v>57</v>
      </c>
      <c r="AE106" s="29">
        <f t="shared" ref="AE106:AE137" si="49">AE105-Y106+Z106</f>
        <v>9</v>
      </c>
      <c r="AG106" s="54"/>
      <c r="AI106" s="11"/>
    </row>
    <row r="107" spans="1:37" s="12" customFormat="1" hidden="1" outlineLevel="1">
      <c r="A107" s="95">
        <v>45781</v>
      </c>
      <c r="B107" s="25" t="s">
        <v>17</v>
      </c>
      <c r="C107" s="29"/>
      <c r="D107" s="29">
        <f t="shared" si="42"/>
        <v>0</v>
      </c>
      <c r="E107" s="29">
        <f t="shared" si="43"/>
        <v>-467</v>
      </c>
      <c r="G107" s="64"/>
      <c r="H107" s="63"/>
      <c r="I107" s="53"/>
      <c r="J107" s="26"/>
      <c r="K107" s="26">
        <f t="shared" si="44"/>
        <v>-10</v>
      </c>
      <c r="M107" s="79"/>
      <c r="N107" s="66"/>
      <c r="O107" s="27"/>
      <c r="P107" s="28"/>
      <c r="Q107" s="43"/>
      <c r="R107" s="29">
        <f t="shared" si="45"/>
        <v>0</v>
      </c>
      <c r="S107" s="54">
        <f t="shared" si="46"/>
        <v>0</v>
      </c>
      <c r="T107" s="11"/>
      <c r="U107" s="53"/>
      <c r="V107" s="29"/>
      <c r="W107" s="26">
        <f t="shared" si="47"/>
        <v>-451</v>
      </c>
      <c r="X107" s="10"/>
      <c r="Y107" s="79"/>
      <c r="Z107" s="63"/>
      <c r="AA107" s="27"/>
      <c r="AB107" s="28"/>
      <c r="AC107" s="43"/>
      <c r="AD107" s="29">
        <f t="shared" si="48"/>
        <v>57</v>
      </c>
      <c r="AE107" s="29">
        <f t="shared" si="49"/>
        <v>9</v>
      </c>
      <c r="AG107" s="54"/>
      <c r="AI107" s="11"/>
    </row>
    <row r="108" spans="1:37" s="12" customFormat="1" hidden="1" outlineLevel="1" collapsed="1">
      <c r="A108" s="95">
        <v>45782</v>
      </c>
      <c r="B108" s="25" t="s">
        <v>18</v>
      </c>
      <c r="C108" s="29"/>
      <c r="D108" s="23">
        <f t="shared" si="42"/>
        <v>0</v>
      </c>
      <c r="E108" s="29">
        <f t="shared" si="43"/>
        <v>-467</v>
      </c>
      <c r="G108" s="64"/>
      <c r="H108" s="63"/>
      <c r="I108" s="53"/>
      <c r="J108" s="26"/>
      <c r="K108" s="26">
        <f t="shared" si="44"/>
        <v>-10</v>
      </c>
      <c r="M108" s="79"/>
      <c r="N108" s="66"/>
      <c r="O108" s="27"/>
      <c r="P108" s="28"/>
      <c r="Q108" s="43"/>
      <c r="R108" s="29">
        <f t="shared" si="45"/>
        <v>0</v>
      </c>
      <c r="S108" s="54">
        <f t="shared" si="46"/>
        <v>0</v>
      </c>
      <c r="T108" s="11"/>
      <c r="U108" s="53"/>
      <c r="V108" s="29"/>
      <c r="W108" s="26">
        <f t="shared" si="47"/>
        <v>-451</v>
      </c>
      <c r="X108" s="10"/>
      <c r="Y108" s="79"/>
      <c r="Z108" s="63"/>
      <c r="AA108" s="27"/>
      <c r="AB108" s="28"/>
      <c r="AC108" s="43"/>
      <c r="AD108" s="29">
        <f t="shared" si="48"/>
        <v>57</v>
      </c>
      <c r="AE108" s="29">
        <f t="shared" si="49"/>
        <v>9</v>
      </c>
      <c r="AG108" s="54"/>
      <c r="AI108" s="11"/>
    </row>
    <row r="109" spans="1:37" s="12" customFormat="1" hidden="1" outlineLevel="1">
      <c r="A109" s="95">
        <v>45783</v>
      </c>
      <c r="B109" s="25" t="s">
        <v>19</v>
      </c>
      <c r="C109" s="23">
        <v>42</v>
      </c>
      <c r="D109" s="23">
        <f t="shared" si="42"/>
        <v>0</v>
      </c>
      <c r="E109" s="29">
        <f t="shared" si="43"/>
        <v>-509</v>
      </c>
      <c r="G109" s="64"/>
      <c r="H109" s="63"/>
      <c r="I109" s="51">
        <f>IF(M111&lt;&gt;"",N111+O111,IF(M113&lt;&gt;"",N113+O113,IF(M361&lt;&gt;"",N361+O361,IF(M362&lt;&gt;"",N362+O362,IF(M363&lt;&gt;"",N363+O363,IF(M364&lt;&gt;"",N364+O364))))))</f>
        <v>0</v>
      </c>
      <c r="J109" s="18"/>
      <c r="K109" s="26">
        <f t="shared" si="44"/>
        <v>-10</v>
      </c>
      <c r="M109" s="79"/>
      <c r="N109" s="66"/>
      <c r="O109" s="27"/>
      <c r="P109" s="28"/>
      <c r="Q109" s="43"/>
      <c r="R109" s="29">
        <f t="shared" si="45"/>
        <v>0</v>
      </c>
      <c r="S109" s="54">
        <f t="shared" si="46"/>
        <v>0</v>
      </c>
      <c r="T109" s="11"/>
      <c r="U109" s="51">
        <f t="shared" ref="U109" si="50">C109-I109</f>
        <v>42</v>
      </c>
      <c r="V109" s="23"/>
      <c r="W109" s="26">
        <f t="shared" si="47"/>
        <v>-493</v>
      </c>
      <c r="X109" s="10"/>
      <c r="Y109" s="79"/>
      <c r="Z109" s="63"/>
      <c r="AA109" s="27"/>
      <c r="AB109" s="28"/>
      <c r="AC109" s="43"/>
      <c r="AD109" s="29">
        <f t="shared" si="48"/>
        <v>57</v>
      </c>
      <c r="AE109" s="29">
        <f t="shared" si="49"/>
        <v>9</v>
      </c>
      <c r="AG109" s="54"/>
      <c r="AI109" s="11"/>
    </row>
    <row r="110" spans="1:37" hidden="1" outlineLevel="1">
      <c r="A110" s="96">
        <v>45784</v>
      </c>
      <c r="B110" s="17" t="s">
        <v>20</v>
      </c>
      <c r="C110" s="23">
        <v>48</v>
      </c>
      <c r="D110" s="23">
        <f t="shared" si="42"/>
        <v>0</v>
      </c>
      <c r="E110" s="23">
        <f t="shared" si="43"/>
        <v>-557</v>
      </c>
      <c r="G110" s="19"/>
      <c r="H110" s="62"/>
      <c r="I110" s="51">
        <v>3</v>
      </c>
      <c r="J110" s="18"/>
      <c r="K110" s="18">
        <f t="shared" si="44"/>
        <v>-13</v>
      </c>
      <c r="M110" s="78">
        <v>0</v>
      </c>
      <c r="N110" s="65">
        <f t="shared" ref="N110:N137" si="51">M110</f>
        <v>0</v>
      </c>
      <c r="O110" s="20"/>
      <c r="P110" s="21"/>
      <c r="Q110" s="57">
        <v>0</v>
      </c>
      <c r="R110" s="285">
        <f t="shared" si="45"/>
        <v>0</v>
      </c>
      <c r="S110" s="286">
        <f t="shared" si="46"/>
        <v>0</v>
      </c>
      <c r="U110" s="51">
        <f t="shared" ref="U110:U137" si="52">C110-I110</f>
        <v>45</v>
      </c>
      <c r="V110" s="23"/>
      <c r="W110" s="18">
        <f t="shared" si="47"/>
        <v>-538</v>
      </c>
      <c r="X110" s="2"/>
      <c r="Y110" s="78">
        <v>54</v>
      </c>
      <c r="Z110" s="62">
        <f>U102</f>
        <v>57</v>
      </c>
      <c r="AA110" s="20"/>
      <c r="AB110" s="21"/>
      <c r="AC110" s="57">
        <v>57</v>
      </c>
      <c r="AD110" s="285">
        <v>60</v>
      </c>
      <c r="AE110" s="285">
        <v>60</v>
      </c>
      <c r="AG110" s="52"/>
    </row>
    <row r="111" spans="1:37" hidden="1" outlineLevel="1">
      <c r="A111" s="96">
        <v>45785</v>
      </c>
      <c r="B111" s="17" t="s">
        <v>14</v>
      </c>
      <c r="C111" s="23">
        <v>48</v>
      </c>
      <c r="D111" s="23">
        <f t="shared" si="42"/>
        <v>0</v>
      </c>
      <c r="E111" s="23">
        <f t="shared" si="43"/>
        <v>-605</v>
      </c>
      <c r="G111" s="19"/>
      <c r="H111" s="62"/>
      <c r="I111" s="51">
        <f>IF(M113&lt;&gt;"",N113+O113,IF(M115&lt;&gt;"",N115+O115,IF(M363&lt;&gt;"",N363+O363,IF(M364&lt;&gt;"",N364+O364,IF(M365&lt;&gt;"",N365+O365,IF(M366&lt;&gt;"",N366+O366))))))</f>
        <v>0</v>
      </c>
      <c r="J111" s="18"/>
      <c r="K111" s="18">
        <f t="shared" si="44"/>
        <v>-13</v>
      </c>
      <c r="M111" s="78">
        <v>0</v>
      </c>
      <c r="N111" s="65">
        <f t="shared" si="51"/>
        <v>0</v>
      </c>
      <c r="O111" s="20"/>
      <c r="P111" s="21"/>
      <c r="Q111" s="57">
        <v>0</v>
      </c>
      <c r="R111" s="23">
        <f t="shared" si="45"/>
        <v>0</v>
      </c>
      <c r="S111" s="52">
        <f t="shared" si="46"/>
        <v>0</v>
      </c>
      <c r="U111" s="51">
        <f t="shared" si="52"/>
        <v>48</v>
      </c>
      <c r="V111" s="23"/>
      <c r="W111" s="18">
        <f t="shared" si="47"/>
        <v>-586</v>
      </c>
      <c r="X111" s="2"/>
      <c r="Y111" s="78">
        <v>42</v>
      </c>
      <c r="Z111" s="62">
        <f t="shared" ref="Z111:Z137" si="53">IF(U109&lt;&gt;"",U109+AA111,IF(U107&lt;&gt;"",U107+AA111,IF(U106&lt;&gt;"",U106+AA111,IF(U105&lt;&gt;"",U105+AA111,IF(U104&lt;&gt;"",U104+AA111,IF(U103&lt;&gt;"",U103+AA111))))))</f>
        <v>42</v>
      </c>
      <c r="AA111" s="20"/>
      <c r="AB111" s="21"/>
      <c r="AC111" s="57">
        <v>42</v>
      </c>
      <c r="AD111" s="23">
        <f>AD110-Y111+AC111</f>
        <v>60</v>
      </c>
      <c r="AE111" s="23">
        <f t="shared" si="49"/>
        <v>60</v>
      </c>
      <c r="AG111" s="52"/>
      <c r="AK111" s="1">
        <v>42</v>
      </c>
    </row>
    <row r="112" spans="1:37" hidden="1" outlineLevel="1">
      <c r="A112" s="96">
        <v>45786</v>
      </c>
      <c r="B112" s="17" t="s">
        <v>15</v>
      </c>
      <c r="C112" s="23">
        <v>48</v>
      </c>
      <c r="D112" s="23">
        <f t="shared" si="42"/>
        <v>0</v>
      </c>
      <c r="E112" s="23">
        <f t="shared" si="43"/>
        <v>-653</v>
      </c>
      <c r="G112" s="19"/>
      <c r="H112" s="62"/>
      <c r="I112" s="51">
        <f>IF(M114&lt;&gt;"",N114+O114,IF(M116&lt;&gt;"",N116+O116,IF(M364&lt;&gt;"",N364+O364,IF(M365&lt;&gt;"",N365+O365,IF(M366&lt;&gt;"",N366+O366,IF(M367&lt;&gt;"",N367+O367))))))</f>
        <v>0</v>
      </c>
      <c r="J112" s="18"/>
      <c r="K112" s="18">
        <f t="shared" si="44"/>
        <v>-13</v>
      </c>
      <c r="M112" s="78">
        <v>3</v>
      </c>
      <c r="N112" s="65">
        <f t="shared" si="51"/>
        <v>3</v>
      </c>
      <c r="O112" s="20"/>
      <c r="P112" s="21"/>
      <c r="Q112" s="57">
        <v>3</v>
      </c>
      <c r="R112" s="23">
        <f t="shared" si="45"/>
        <v>0</v>
      </c>
      <c r="S112" s="52">
        <f t="shared" si="46"/>
        <v>0</v>
      </c>
      <c r="U112" s="51">
        <f t="shared" si="52"/>
        <v>48</v>
      </c>
      <c r="V112" s="23"/>
      <c r="W112" s="18">
        <f t="shared" si="47"/>
        <v>-634</v>
      </c>
      <c r="X112" s="2"/>
      <c r="Y112" s="78">
        <v>57</v>
      </c>
      <c r="Z112" s="62">
        <f t="shared" si="53"/>
        <v>45</v>
      </c>
      <c r="AA112" s="20"/>
      <c r="AB112" s="21"/>
      <c r="AC112" s="57">
        <v>45</v>
      </c>
      <c r="AD112" s="23">
        <f t="shared" si="48"/>
        <v>48</v>
      </c>
      <c r="AE112" s="23">
        <f t="shared" si="49"/>
        <v>48</v>
      </c>
      <c r="AG112" s="52"/>
      <c r="AI112">
        <f>SUM(M110:M112,Y110:Y112)/COUNT(Y110:Y112)</f>
        <v>52</v>
      </c>
      <c r="AK112" s="1">
        <f>57-(13*3)</f>
        <v>18</v>
      </c>
    </row>
    <row r="113" spans="1:35" s="12" customFormat="1" hidden="1" outlineLevel="1">
      <c r="A113" s="95">
        <v>45787</v>
      </c>
      <c r="B113" s="25" t="s">
        <v>16</v>
      </c>
      <c r="C113" s="29"/>
      <c r="D113" s="29">
        <f t="shared" si="42"/>
        <v>0</v>
      </c>
      <c r="E113" s="29">
        <f t="shared" si="43"/>
        <v>-653</v>
      </c>
      <c r="G113" s="64"/>
      <c r="H113" s="63"/>
      <c r="I113" s="53"/>
      <c r="J113" s="26"/>
      <c r="K113" s="26">
        <f t="shared" si="44"/>
        <v>-13</v>
      </c>
      <c r="M113" s="79"/>
      <c r="N113" s="66"/>
      <c r="O113" s="27"/>
      <c r="P113" s="28"/>
      <c r="Q113" s="43"/>
      <c r="R113" s="29">
        <f t="shared" si="45"/>
        <v>0</v>
      </c>
      <c r="S113" s="54">
        <f t="shared" si="46"/>
        <v>0</v>
      </c>
      <c r="T113" s="11"/>
      <c r="U113" s="53"/>
      <c r="V113" s="29"/>
      <c r="W113" s="26">
        <f t="shared" si="47"/>
        <v>-634</v>
      </c>
      <c r="X113" s="10"/>
      <c r="Y113" s="79"/>
      <c r="Z113" s="63"/>
      <c r="AA113" s="27"/>
      <c r="AB113" s="28"/>
      <c r="AC113" s="43"/>
      <c r="AD113" s="29">
        <f t="shared" si="48"/>
        <v>48</v>
      </c>
      <c r="AE113" s="29">
        <f t="shared" si="49"/>
        <v>48</v>
      </c>
      <c r="AG113" s="54"/>
      <c r="AI113" s="11"/>
    </row>
    <row r="114" spans="1:35" s="12" customFormat="1" hidden="1" outlineLevel="1" collapsed="1">
      <c r="A114" s="95">
        <v>45788</v>
      </c>
      <c r="B114" s="25" t="s">
        <v>17</v>
      </c>
      <c r="C114" s="29"/>
      <c r="D114" s="29">
        <f t="shared" si="42"/>
        <v>0</v>
      </c>
      <c r="E114" s="29">
        <f t="shared" si="43"/>
        <v>-653</v>
      </c>
      <c r="G114" s="64"/>
      <c r="H114" s="63"/>
      <c r="I114" s="53"/>
      <c r="J114" s="26"/>
      <c r="K114" s="26">
        <f t="shared" si="44"/>
        <v>-13</v>
      </c>
      <c r="M114" s="79"/>
      <c r="N114" s="66"/>
      <c r="O114" s="27"/>
      <c r="P114" s="28"/>
      <c r="Q114" s="43"/>
      <c r="R114" s="29">
        <f t="shared" si="45"/>
        <v>0</v>
      </c>
      <c r="S114" s="54">
        <f t="shared" si="46"/>
        <v>0</v>
      </c>
      <c r="T114" s="11"/>
      <c r="U114" s="53"/>
      <c r="V114" s="29"/>
      <c r="W114" s="26">
        <f t="shared" si="47"/>
        <v>-634</v>
      </c>
      <c r="X114" s="10"/>
      <c r="Y114" s="79"/>
      <c r="Z114" s="63"/>
      <c r="AA114" s="27"/>
      <c r="AB114" s="28"/>
      <c r="AC114" s="43"/>
      <c r="AD114" s="29">
        <f t="shared" si="48"/>
        <v>48</v>
      </c>
      <c r="AE114" s="29">
        <f t="shared" si="49"/>
        <v>48</v>
      </c>
      <c r="AG114" s="54"/>
      <c r="AI114" s="11"/>
    </row>
    <row r="115" spans="1:35" hidden="1" outlineLevel="1">
      <c r="A115" s="96">
        <v>45789</v>
      </c>
      <c r="B115" s="17" t="s">
        <v>18</v>
      </c>
      <c r="C115" s="23">
        <v>51</v>
      </c>
      <c r="D115" s="23">
        <f t="shared" si="42"/>
        <v>0</v>
      </c>
      <c r="E115" s="23">
        <f t="shared" si="43"/>
        <v>-704</v>
      </c>
      <c r="G115" s="19"/>
      <c r="H115" s="62"/>
      <c r="I115" s="51">
        <f>IF(M117&lt;&gt;"",N117+O117,IF(M119&lt;&gt;"",N119+O119,IF(M367&lt;&gt;"",N367+O367,IF(M368&lt;&gt;"",N368+O368,IF(M369&lt;&gt;"",N369+O369,IF(M370&lt;&gt;"",N370+O370))))))</f>
        <v>3</v>
      </c>
      <c r="J115" s="18"/>
      <c r="K115" s="18">
        <f t="shared" si="44"/>
        <v>-16</v>
      </c>
      <c r="M115" s="78">
        <v>0</v>
      </c>
      <c r="N115" s="65">
        <f t="shared" si="51"/>
        <v>0</v>
      </c>
      <c r="O115" s="20"/>
      <c r="P115" s="21"/>
      <c r="Q115" s="57">
        <v>0</v>
      </c>
      <c r="R115" s="23">
        <f t="shared" si="45"/>
        <v>0</v>
      </c>
      <c r="S115" s="52">
        <f t="shared" si="46"/>
        <v>0</v>
      </c>
      <c r="U115" s="51">
        <f t="shared" si="52"/>
        <v>48</v>
      </c>
      <c r="V115" s="23"/>
      <c r="W115" s="18">
        <f t="shared" si="47"/>
        <v>-682</v>
      </c>
      <c r="X115" s="2"/>
      <c r="Y115" s="78">
        <v>57</v>
      </c>
      <c r="Z115" s="62">
        <f t="shared" si="53"/>
        <v>48</v>
      </c>
      <c r="AA115" s="20"/>
      <c r="AB115" s="21"/>
      <c r="AC115" s="57">
        <v>48</v>
      </c>
      <c r="AD115" s="23">
        <f t="shared" si="48"/>
        <v>39</v>
      </c>
      <c r="AE115" s="23">
        <f t="shared" si="49"/>
        <v>39</v>
      </c>
      <c r="AG115" s="52"/>
    </row>
    <row r="116" spans="1:35" hidden="1" outlineLevel="1">
      <c r="A116" s="96">
        <v>45790</v>
      </c>
      <c r="B116" s="17" t="s">
        <v>19</v>
      </c>
      <c r="C116" s="23">
        <v>51</v>
      </c>
      <c r="D116" s="23">
        <f t="shared" si="42"/>
        <v>0</v>
      </c>
      <c r="E116" s="23">
        <f t="shared" si="43"/>
        <v>-755</v>
      </c>
      <c r="G116" s="19"/>
      <c r="H116" s="62"/>
      <c r="I116" s="51">
        <f>IF(M118&lt;&gt;"",N118+O118,IF(M120&lt;&gt;"",N120+O120,IF(M368&lt;&gt;"",N368+O368,IF(M369&lt;&gt;"",N369+O369,IF(M370&lt;&gt;"",N370+O370,IF(M371&lt;&gt;"",N371+O371))))))</f>
        <v>0</v>
      </c>
      <c r="J116" s="18"/>
      <c r="K116" s="18">
        <f t="shared" si="44"/>
        <v>-16</v>
      </c>
      <c r="M116" s="78">
        <v>0</v>
      </c>
      <c r="N116" s="65">
        <f t="shared" si="51"/>
        <v>0</v>
      </c>
      <c r="O116" s="20"/>
      <c r="P116" s="21"/>
      <c r="Q116" s="57">
        <v>0</v>
      </c>
      <c r="R116" s="23">
        <f t="shared" si="45"/>
        <v>0</v>
      </c>
      <c r="S116" s="52">
        <f t="shared" si="46"/>
        <v>0</v>
      </c>
      <c r="U116" s="51">
        <f t="shared" si="52"/>
        <v>51</v>
      </c>
      <c r="V116" s="23"/>
      <c r="W116" s="18">
        <f t="shared" si="47"/>
        <v>-733</v>
      </c>
      <c r="X116" s="2"/>
      <c r="Y116" s="78">
        <v>39</v>
      </c>
      <c r="Z116" s="62">
        <f t="shared" si="53"/>
        <v>48</v>
      </c>
      <c r="AA116" s="20"/>
      <c r="AB116" s="21"/>
      <c r="AC116" s="57">
        <v>48</v>
      </c>
      <c r="AD116" s="23">
        <f t="shared" si="48"/>
        <v>48</v>
      </c>
      <c r="AE116" s="23">
        <f t="shared" si="49"/>
        <v>48</v>
      </c>
      <c r="AG116" s="52"/>
    </row>
    <row r="117" spans="1:35" hidden="1" outlineLevel="1">
      <c r="A117" s="96">
        <v>45791</v>
      </c>
      <c r="B117" s="17" t="s">
        <v>20</v>
      </c>
      <c r="C117" s="23">
        <v>51</v>
      </c>
      <c r="D117" s="23">
        <f t="shared" si="42"/>
        <v>0</v>
      </c>
      <c r="E117" s="23">
        <f t="shared" si="43"/>
        <v>-806</v>
      </c>
      <c r="G117" s="19"/>
      <c r="H117" s="62"/>
      <c r="I117" s="51">
        <f>IF(M119&lt;&gt;"",N119+O119,IF(M121&lt;&gt;"",N121+O121,IF(M369&lt;&gt;"",N369+O369,IF(M370&lt;&gt;"",N370+O370,IF(M371&lt;&gt;"",N371+O371,IF(M372&lt;&gt;"",N372+O372))))))</f>
        <v>0</v>
      </c>
      <c r="J117" s="18"/>
      <c r="K117" s="18">
        <f t="shared" si="44"/>
        <v>-16</v>
      </c>
      <c r="M117" s="78">
        <v>3</v>
      </c>
      <c r="N117" s="65">
        <f t="shared" si="51"/>
        <v>3</v>
      </c>
      <c r="O117" s="20"/>
      <c r="P117" s="21"/>
      <c r="Q117" s="57">
        <v>3</v>
      </c>
      <c r="R117" s="23">
        <f t="shared" si="45"/>
        <v>0</v>
      </c>
      <c r="S117" s="52">
        <f t="shared" si="46"/>
        <v>0</v>
      </c>
      <c r="U117" s="51">
        <f t="shared" si="52"/>
        <v>51</v>
      </c>
      <c r="V117" s="23"/>
      <c r="W117" s="18">
        <f t="shared" si="47"/>
        <v>-784</v>
      </c>
      <c r="X117" s="2"/>
      <c r="Y117" s="78">
        <v>57</v>
      </c>
      <c r="Z117" s="62">
        <f t="shared" si="53"/>
        <v>48</v>
      </c>
      <c r="AA117" s="20"/>
      <c r="AB117" s="21"/>
      <c r="AC117" s="57">
        <v>48</v>
      </c>
      <c r="AD117" s="23">
        <f t="shared" si="48"/>
        <v>39</v>
      </c>
      <c r="AE117" s="23">
        <f t="shared" si="49"/>
        <v>39</v>
      </c>
      <c r="AG117" s="52"/>
    </row>
    <row r="118" spans="1:35" hidden="1" outlineLevel="1">
      <c r="A118" s="96">
        <v>45792</v>
      </c>
      <c r="B118" s="17" t="s">
        <v>14</v>
      </c>
      <c r="C118" s="23">
        <v>51</v>
      </c>
      <c r="D118" s="23">
        <f t="shared" si="42"/>
        <v>0</v>
      </c>
      <c r="E118" s="23">
        <f t="shared" si="43"/>
        <v>-857</v>
      </c>
      <c r="G118" s="19"/>
      <c r="H118" s="62"/>
      <c r="I118" s="51">
        <f>IF(M120&lt;&gt;"",N120+O120,IF(M122&lt;&gt;"",N122+O122,IF(M370&lt;&gt;"",N370+O370,IF(M371&lt;&gt;"",N371+O371,IF(M372&lt;&gt;"",N372+O372,IF(M373&lt;&gt;"",N373+O373))))))</f>
        <v>3</v>
      </c>
      <c r="J118" s="18"/>
      <c r="K118" s="18">
        <f t="shared" si="44"/>
        <v>-19</v>
      </c>
      <c r="M118" s="78">
        <v>0</v>
      </c>
      <c r="N118" s="65">
        <f t="shared" si="51"/>
        <v>0</v>
      </c>
      <c r="O118" s="20"/>
      <c r="P118" s="21"/>
      <c r="Q118" s="57">
        <v>0</v>
      </c>
      <c r="R118" s="23">
        <f t="shared" si="45"/>
        <v>0</v>
      </c>
      <c r="S118" s="52">
        <f t="shared" si="46"/>
        <v>0</v>
      </c>
      <c r="U118" s="51">
        <f t="shared" si="52"/>
        <v>48</v>
      </c>
      <c r="V118" s="23"/>
      <c r="W118" s="18">
        <f t="shared" si="47"/>
        <v>-832</v>
      </c>
      <c r="X118" s="2"/>
      <c r="Y118" s="78">
        <v>54</v>
      </c>
      <c r="Z118" s="62">
        <f t="shared" si="53"/>
        <v>51</v>
      </c>
      <c r="AA118" s="20"/>
      <c r="AB118" s="21"/>
      <c r="AC118" s="57">
        <v>51</v>
      </c>
      <c r="AD118" s="23">
        <f t="shared" si="48"/>
        <v>36</v>
      </c>
      <c r="AE118" s="23">
        <f t="shared" si="49"/>
        <v>36</v>
      </c>
      <c r="AG118" s="52"/>
    </row>
    <row r="119" spans="1:35" hidden="1" outlineLevel="1">
      <c r="A119" s="96">
        <v>45793</v>
      </c>
      <c r="B119" s="17" t="s">
        <v>15</v>
      </c>
      <c r="C119" s="23">
        <v>54</v>
      </c>
      <c r="D119" s="23">
        <f t="shared" si="42"/>
        <v>0</v>
      </c>
      <c r="E119" s="23">
        <f t="shared" si="43"/>
        <v>-911</v>
      </c>
      <c r="G119" s="19"/>
      <c r="H119" s="62"/>
      <c r="I119" s="51">
        <f>IF(M121&lt;&gt;"",N121+O121,IF(M123&lt;&gt;"",N123+O123,IF(M371&lt;&gt;"",N371+O371,IF(M372&lt;&gt;"",N372+O372,IF(M373&lt;&gt;"",N373+O373,IF(M374&lt;&gt;"",N374+O374))))))</f>
        <v>3</v>
      </c>
      <c r="J119" s="18"/>
      <c r="K119" s="18">
        <f t="shared" si="44"/>
        <v>-22</v>
      </c>
      <c r="M119" s="78">
        <v>0</v>
      </c>
      <c r="N119" s="65">
        <f t="shared" si="51"/>
        <v>0</v>
      </c>
      <c r="O119" s="20"/>
      <c r="P119" s="21"/>
      <c r="Q119" s="57">
        <v>0</v>
      </c>
      <c r="R119" s="23">
        <f t="shared" si="45"/>
        <v>0</v>
      </c>
      <c r="S119" s="52">
        <f t="shared" si="46"/>
        <v>0</v>
      </c>
      <c r="U119" s="51">
        <f t="shared" si="52"/>
        <v>51</v>
      </c>
      <c r="V119" s="23"/>
      <c r="W119" s="18">
        <f t="shared" si="47"/>
        <v>-883</v>
      </c>
      <c r="X119" s="2"/>
      <c r="Y119" s="78">
        <v>42</v>
      </c>
      <c r="Z119" s="62">
        <f t="shared" si="53"/>
        <v>45</v>
      </c>
      <c r="AA119" s="20">
        <v>-6</v>
      </c>
      <c r="AB119" s="21"/>
      <c r="AC119" s="57">
        <v>45</v>
      </c>
      <c r="AD119" s="23">
        <f t="shared" si="48"/>
        <v>39</v>
      </c>
      <c r="AE119" s="23">
        <f t="shared" si="49"/>
        <v>39</v>
      </c>
      <c r="AG119" s="52"/>
      <c r="AI119">
        <f>SUM(M115:M119,Y115:Y119)/COUNT(Y115:Y119)</f>
        <v>50.4</v>
      </c>
    </row>
    <row r="120" spans="1:35" s="12" customFormat="1" hidden="1" outlineLevel="1">
      <c r="A120" s="95">
        <v>45794</v>
      </c>
      <c r="B120" s="25" t="s">
        <v>16</v>
      </c>
      <c r="C120" s="29"/>
      <c r="D120" s="29">
        <f t="shared" si="42"/>
        <v>0</v>
      </c>
      <c r="E120" s="29">
        <f t="shared" si="43"/>
        <v>-911</v>
      </c>
      <c r="G120" s="64"/>
      <c r="H120" s="63"/>
      <c r="I120" s="53"/>
      <c r="J120" s="26"/>
      <c r="K120" s="26">
        <f t="shared" si="44"/>
        <v>-22</v>
      </c>
      <c r="M120" s="79"/>
      <c r="N120" s="66"/>
      <c r="O120" s="27"/>
      <c r="P120" s="28"/>
      <c r="Q120" s="43"/>
      <c r="R120" s="29">
        <f t="shared" si="45"/>
        <v>0</v>
      </c>
      <c r="S120" s="54">
        <f t="shared" si="46"/>
        <v>0</v>
      </c>
      <c r="T120" s="11"/>
      <c r="U120" s="53"/>
      <c r="V120" s="29"/>
      <c r="W120" s="26">
        <f t="shared" si="47"/>
        <v>-883</v>
      </c>
      <c r="X120" s="10"/>
      <c r="Y120" s="79"/>
      <c r="Z120" s="63"/>
      <c r="AA120" s="27"/>
      <c r="AB120" s="28"/>
      <c r="AC120" s="43"/>
      <c r="AD120" s="29">
        <f t="shared" si="48"/>
        <v>39</v>
      </c>
      <c r="AE120" s="29">
        <f t="shared" si="49"/>
        <v>39</v>
      </c>
      <c r="AG120" s="54"/>
      <c r="AI120" s="11"/>
    </row>
    <row r="121" spans="1:35" s="12" customFormat="1" hidden="1" outlineLevel="1" collapsed="1">
      <c r="A121" s="95">
        <v>45795</v>
      </c>
      <c r="B121" s="25" t="s">
        <v>17</v>
      </c>
      <c r="C121" s="29"/>
      <c r="D121" s="29">
        <f t="shared" si="42"/>
        <v>0</v>
      </c>
      <c r="E121" s="29">
        <f t="shared" si="43"/>
        <v>-911</v>
      </c>
      <c r="G121" s="64"/>
      <c r="H121" s="63"/>
      <c r="I121" s="53"/>
      <c r="J121" s="26"/>
      <c r="K121" s="26">
        <f t="shared" si="44"/>
        <v>-22</v>
      </c>
      <c r="M121" s="79"/>
      <c r="N121" s="66"/>
      <c r="O121" s="27"/>
      <c r="P121" s="28"/>
      <c r="Q121" s="43"/>
      <c r="R121" s="29">
        <f t="shared" si="45"/>
        <v>0</v>
      </c>
      <c r="S121" s="54">
        <f t="shared" si="46"/>
        <v>0</v>
      </c>
      <c r="T121" s="11"/>
      <c r="U121" s="53"/>
      <c r="V121" s="29"/>
      <c r="W121" s="26">
        <f t="shared" si="47"/>
        <v>-883</v>
      </c>
      <c r="X121" s="10"/>
      <c r="Y121" s="79"/>
      <c r="Z121" s="63"/>
      <c r="AA121" s="27"/>
      <c r="AB121" s="28"/>
      <c r="AC121" s="43"/>
      <c r="AD121" s="29">
        <f t="shared" si="48"/>
        <v>39</v>
      </c>
      <c r="AE121" s="29">
        <f t="shared" si="49"/>
        <v>39</v>
      </c>
      <c r="AG121" s="54"/>
      <c r="AI121" s="11"/>
    </row>
    <row r="122" spans="1:35" hidden="1" outlineLevel="1">
      <c r="A122" s="96">
        <v>45796</v>
      </c>
      <c r="B122" s="17" t="s">
        <v>18</v>
      </c>
      <c r="C122" s="23">
        <v>45</v>
      </c>
      <c r="D122" s="23">
        <f t="shared" si="42"/>
        <v>0</v>
      </c>
      <c r="E122" s="23">
        <f t="shared" si="43"/>
        <v>-956</v>
      </c>
      <c r="G122" s="19"/>
      <c r="H122" s="62"/>
      <c r="I122" s="51">
        <f>IF(M124&lt;&gt;"",N124+O124,IF(M126&lt;&gt;"",N126+O126,IF(M374&lt;&gt;"",N374+O374,IF(M375&lt;&gt;"",N375+O375,IF(M376&lt;&gt;"",N376+O376,IF(M377&lt;&gt;"",N377+O377))))))</f>
        <v>0</v>
      </c>
      <c r="J122" s="18"/>
      <c r="K122" s="18">
        <f t="shared" si="44"/>
        <v>-22</v>
      </c>
      <c r="M122" s="78">
        <v>3</v>
      </c>
      <c r="N122" s="65">
        <f t="shared" si="51"/>
        <v>3</v>
      </c>
      <c r="O122" s="20"/>
      <c r="P122" s="21"/>
      <c r="Q122" s="57">
        <v>3</v>
      </c>
      <c r="R122" s="23">
        <f t="shared" si="45"/>
        <v>0</v>
      </c>
      <c r="S122" s="52">
        <f t="shared" si="46"/>
        <v>0</v>
      </c>
      <c r="U122" s="51">
        <f t="shared" si="52"/>
        <v>45</v>
      </c>
      <c r="V122" s="23"/>
      <c r="W122" s="18">
        <f t="shared" si="47"/>
        <v>-928</v>
      </c>
      <c r="X122" s="2"/>
      <c r="Y122" s="78">
        <v>63</v>
      </c>
      <c r="Z122" s="62">
        <f t="shared" si="53"/>
        <v>48</v>
      </c>
      <c r="AA122" s="20"/>
      <c r="AB122" s="21"/>
      <c r="AC122" s="57">
        <v>48</v>
      </c>
      <c r="AD122" s="23">
        <f t="shared" si="48"/>
        <v>24</v>
      </c>
      <c r="AE122" s="23">
        <f t="shared" si="49"/>
        <v>24</v>
      </c>
      <c r="AG122" s="52"/>
    </row>
    <row r="123" spans="1:35" hidden="1" outlineLevel="1">
      <c r="A123" s="96">
        <v>45797</v>
      </c>
      <c r="B123" s="17" t="s">
        <v>19</v>
      </c>
      <c r="C123" s="23">
        <v>45</v>
      </c>
      <c r="D123" s="23">
        <f t="shared" si="42"/>
        <v>0</v>
      </c>
      <c r="E123" s="23">
        <f t="shared" si="43"/>
        <v>-1001</v>
      </c>
      <c r="G123" s="19"/>
      <c r="H123" s="62"/>
      <c r="I123" s="51">
        <f>IF(M125&lt;&gt;"",N125+O125,IF(M127&lt;&gt;"",N127+O127,IF(M375&lt;&gt;"",N375+O375,IF(M376&lt;&gt;"",N376+O376,IF(M377&lt;&gt;"",N377+O377,IF(M378&lt;&gt;"",N378+O378))))))</f>
        <v>0</v>
      </c>
      <c r="J123" s="18"/>
      <c r="K123" s="18">
        <f t="shared" si="44"/>
        <v>-22</v>
      </c>
      <c r="M123" s="78">
        <v>3</v>
      </c>
      <c r="N123" s="65">
        <f t="shared" si="51"/>
        <v>3</v>
      </c>
      <c r="O123" s="20"/>
      <c r="P123" s="21"/>
      <c r="Q123" s="57">
        <v>3</v>
      </c>
      <c r="R123" s="23">
        <f t="shared" si="45"/>
        <v>0</v>
      </c>
      <c r="S123" s="52">
        <f t="shared" si="46"/>
        <v>0</v>
      </c>
      <c r="U123" s="51">
        <f t="shared" si="52"/>
        <v>45</v>
      </c>
      <c r="V123" s="23"/>
      <c r="W123" s="18">
        <f t="shared" si="47"/>
        <v>-973</v>
      </c>
      <c r="X123" s="2"/>
      <c r="Y123" s="78">
        <v>48</v>
      </c>
      <c r="Z123" s="62">
        <f t="shared" si="53"/>
        <v>51</v>
      </c>
      <c r="AA123" s="20"/>
      <c r="AB123" s="21"/>
      <c r="AC123" s="57">
        <v>51</v>
      </c>
      <c r="AD123" s="23">
        <f t="shared" si="48"/>
        <v>27</v>
      </c>
      <c r="AE123" s="23">
        <f t="shared" si="49"/>
        <v>27</v>
      </c>
      <c r="AG123" s="52"/>
    </row>
    <row r="124" spans="1:35" hidden="1" outlineLevel="1">
      <c r="A124" s="96">
        <v>45798</v>
      </c>
      <c r="B124" s="17" t="s">
        <v>20</v>
      </c>
      <c r="C124" s="23">
        <v>45</v>
      </c>
      <c r="D124" s="23">
        <f t="shared" si="42"/>
        <v>0</v>
      </c>
      <c r="E124" s="23">
        <f t="shared" si="43"/>
        <v>-1046</v>
      </c>
      <c r="G124" s="19"/>
      <c r="H124" s="62"/>
      <c r="I124" s="51">
        <f>IF(M126&lt;&gt;"",N126+O126,IF(M128&lt;&gt;"",N128+O128,IF(M376&lt;&gt;"",N376+O376,IF(M377&lt;&gt;"",N377+O377,IF(M378&lt;&gt;"",N378+O378,IF(M379&lt;&gt;"",N379+O379))))))</f>
        <v>3</v>
      </c>
      <c r="J124" s="18"/>
      <c r="K124" s="18">
        <f t="shared" si="44"/>
        <v>-25</v>
      </c>
      <c r="M124" s="78">
        <v>0</v>
      </c>
      <c r="N124" s="65">
        <f t="shared" si="51"/>
        <v>0</v>
      </c>
      <c r="O124" s="20"/>
      <c r="P124" s="21"/>
      <c r="Q124" s="57">
        <v>0</v>
      </c>
      <c r="R124" s="23">
        <f t="shared" si="45"/>
        <v>0</v>
      </c>
      <c r="S124" s="52">
        <f t="shared" si="46"/>
        <v>0</v>
      </c>
      <c r="U124" s="51">
        <f t="shared" si="52"/>
        <v>42</v>
      </c>
      <c r="V124" s="23"/>
      <c r="W124" s="18">
        <f t="shared" si="47"/>
        <v>-1015</v>
      </c>
      <c r="X124" s="2"/>
      <c r="Y124" s="78">
        <v>60</v>
      </c>
      <c r="Z124" s="62">
        <f t="shared" si="53"/>
        <v>45</v>
      </c>
      <c r="AA124" s="20"/>
      <c r="AB124" s="21"/>
      <c r="AC124" s="57">
        <v>45</v>
      </c>
      <c r="AD124" s="23">
        <f t="shared" si="48"/>
        <v>12</v>
      </c>
      <c r="AE124" s="23">
        <f t="shared" si="49"/>
        <v>12</v>
      </c>
      <c r="AG124" s="52"/>
    </row>
    <row r="125" spans="1:35" hidden="1" outlineLevel="1">
      <c r="A125" s="96">
        <v>45799</v>
      </c>
      <c r="B125" s="17" t="s">
        <v>14</v>
      </c>
      <c r="C125" s="23">
        <v>30</v>
      </c>
      <c r="D125" s="23">
        <f t="shared" si="42"/>
        <v>0</v>
      </c>
      <c r="E125" s="23">
        <f t="shared" si="43"/>
        <v>-1076</v>
      </c>
      <c r="G125" s="19"/>
      <c r="H125" s="62"/>
      <c r="I125" s="51">
        <f>IF(M127&lt;&gt;"",N127+O127,IF(M129&lt;&gt;"",N129+O129,IF(M377&lt;&gt;"",N377+O377,IF(M378&lt;&gt;"",N378+O378,IF(M379&lt;&gt;"",N379+O379,IF(M380&lt;&gt;"",N380+O380))))))</f>
        <v>0</v>
      </c>
      <c r="J125" s="18"/>
      <c r="K125" s="18">
        <f t="shared" si="44"/>
        <v>-25</v>
      </c>
      <c r="M125" s="78">
        <v>0</v>
      </c>
      <c r="N125" s="65">
        <f t="shared" si="51"/>
        <v>0</v>
      </c>
      <c r="O125" s="20"/>
      <c r="P125" s="21"/>
      <c r="Q125" s="57">
        <v>0</v>
      </c>
      <c r="R125" s="23">
        <f t="shared" si="45"/>
        <v>0</v>
      </c>
      <c r="S125" s="52">
        <f t="shared" si="46"/>
        <v>0</v>
      </c>
      <c r="U125" s="51">
        <f t="shared" si="52"/>
        <v>30</v>
      </c>
      <c r="V125" s="23"/>
      <c r="W125" s="18">
        <f t="shared" si="47"/>
        <v>-1045</v>
      </c>
      <c r="X125" s="2"/>
      <c r="Y125" s="78">
        <v>51</v>
      </c>
      <c r="Z125" s="62">
        <f t="shared" si="53"/>
        <v>45</v>
      </c>
      <c r="AA125" s="20"/>
      <c r="AB125" s="21"/>
      <c r="AC125" s="57">
        <v>45</v>
      </c>
      <c r="AD125" s="23">
        <f t="shared" si="48"/>
        <v>6</v>
      </c>
      <c r="AE125" s="23">
        <f t="shared" si="49"/>
        <v>6</v>
      </c>
      <c r="AG125" s="52"/>
    </row>
    <row r="126" spans="1:35" hidden="1" outlineLevel="1">
      <c r="A126" s="96">
        <v>45800</v>
      </c>
      <c r="B126" s="17" t="s">
        <v>15</v>
      </c>
      <c r="C126" s="23">
        <v>36</v>
      </c>
      <c r="D126" s="23">
        <f t="shared" si="42"/>
        <v>0</v>
      </c>
      <c r="E126" s="23">
        <f t="shared" si="43"/>
        <v>-1112</v>
      </c>
      <c r="G126" s="19"/>
      <c r="H126" s="62"/>
      <c r="I126" s="51">
        <f>IF(M128&lt;&gt;"",N128+O128,IF(M130&lt;&gt;"",N130+O130,IF(M378&lt;&gt;"",N378+O378,IF(M379&lt;&gt;"",N379+O379,IF(M380&lt;&gt;"",N380+O380,IF(M381&lt;&gt;"",N381+O381))))))</f>
        <v>6</v>
      </c>
      <c r="J126" s="18"/>
      <c r="K126" s="18">
        <f t="shared" si="44"/>
        <v>-31</v>
      </c>
      <c r="M126" s="78">
        <v>3</v>
      </c>
      <c r="N126" s="65">
        <f t="shared" si="51"/>
        <v>3</v>
      </c>
      <c r="O126" s="20"/>
      <c r="P126" s="21"/>
      <c r="Q126" s="57">
        <v>3</v>
      </c>
      <c r="R126" s="23">
        <f t="shared" si="45"/>
        <v>0</v>
      </c>
      <c r="S126" s="52">
        <f t="shared" si="46"/>
        <v>0</v>
      </c>
      <c r="U126" s="51">
        <f t="shared" si="52"/>
        <v>30</v>
      </c>
      <c r="V126" s="23"/>
      <c r="W126" s="18">
        <f t="shared" si="47"/>
        <v>-1075</v>
      </c>
      <c r="X126" s="2"/>
      <c r="Y126" s="78">
        <v>60</v>
      </c>
      <c r="Z126" s="62">
        <f t="shared" si="53"/>
        <v>42</v>
      </c>
      <c r="AA126" s="20"/>
      <c r="AB126" s="21"/>
      <c r="AC126" s="57">
        <v>42</v>
      </c>
      <c r="AD126" s="23">
        <f t="shared" si="48"/>
        <v>-12</v>
      </c>
      <c r="AE126" s="23">
        <f t="shared" si="49"/>
        <v>-12</v>
      </c>
      <c r="AG126" s="52"/>
      <c r="AI126">
        <f>SUM(M122:M126,Y122:Y126)/COUNT(Y122:Y126)</f>
        <v>58.2</v>
      </c>
    </row>
    <row r="127" spans="1:35" s="12" customFormat="1" hidden="1" outlineLevel="1">
      <c r="A127" s="95">
        <v>45801</v>
      </c>
      <c r="B127" s="25" t="s">
        <v>16</v>
      </c>
      <c r="C127" s="29"/>
      <c r="D127" s="29">
        <f t="shared" si="42"/>
        <v>0</v>
      </c>
      <c r="E127" s="29">
        <f t="shared" si="43"/>
        <v>-1112</v>
      </c>
      <c r="G127" s="64"/>
      <c r="H127" s="63"/>
      <c r="I127" s="53"/>
      <c r="J127" s="26"/>
      <c r="K127" s="26">
        <f t="shared" si="44"/>
        <v>-31</v>
      </c>
      <c r="M127" s="79"/>
      <c r="N127" s="66"/>
      <c r="O127" s="27"/>
      <c r="P127" s="28"/>
      <c r="Q127" s="43"/>
      <c r="R127" s="29">
        <f t="shared" si="45"/>
        <v>0</v>
      </c>
      <c r="S127" s="54">
        <f t="shared" si="46"/>
        <v>0</v>
      </c>
      <c r="T127" s="11"/>
      <c r="U127" s="53"/>
      <c r="V127" s="29"/>
      <c r="W127" s="26">
        <f t="shared" si="47"/>
        <v>-1075</v>
      </c>
      <c r="X127" s="10"/>
      <c r="Y127" s="79"/>
      <c r="Z127" s="63"/>
      <c r="AA127" s="27"/>
      <c r="AB127" s="28"/>
      <c r="AC127" s="43"/>
      <c r="AD127" s="29">
        <f t="shared" si="48"/>
        <v>-12</v>
      </c>
      <c r="AE127" s="29">
        <f t="shared" si="49"/>
        <v>-12</v>
      </c>
      <c r="AG127" s="54"/>
      <c r="AI127" s="11"/>
    </row>
    <row r="128" spans="1:35" s="12" customFormat="1" hidden="1" outlineLevel="1" collapsed="1">
      <c r="A128" s="95">
        <v>45802</v>
      </c>
      <c r="B128" s="25" t="s">
        <v>17</v>
      </c>
      <c r="C128" s="29"/>
      <c r="D128" s="29">
        <f t="shared" si="42"/>
        <v>0</v>
      </c>
      <c r="E128" s="29">
        <f t="shared" si="43"/>
        <v>-1112</v>
      </c>
      <c r="G128" s="64"/>
      <c r="H128" s="63"/>
      <c r="I128" s="53"/>
      <c r="J128" s="26"/>
      <c r="K128" s="26">
        <f t="shared" si="44"/>
        <v>-31</v>
      </c>
      <c r="M128" s="79"/>
      <c r="N128" s="66"/>
      <c r="O128" s="27"/>
      <c r="P128" s="28"/>
      <c r="Q128" s="43"/>
      <c r="R128" s="29">
        <f t="shared" si="45"/>
        <v>0</v>
      </c>
      <c r="S128" s="54">
        <f t="shared" si="46"/>
        <v>0</v>
      </c>
      <c r="T128" s="11"/>
      <c r="U128" s="53"/>
      <c r="V128" s="29"/>
      <c r="W128" s="26">
        <f t="shared" si="47"/>
        <v>-1075</v>
      </c>
      <c r="X128" s="10"/>
      <c r="Y128" s="79"/>
      <c r="Z128" s="63"/>
      <c r="AA128" s="27"/>
      <c r="AB128" s="28"/>
      <c r="AC128" s="43"/>
      <c r="AD128" s="29">
        <f t="shared" si="48"/>
        <v>-12</v>
      </c>
      <c r="AE128" s="29">
        <f t="shared" si="49"/>
        <v>-12</v>
      </c>
      <c r="AG128" s="54"/>
      <c r="AI128" s="11"/>
    </row>
    <row r="129" spans="1:35" hidden="1" outlineLevel="1">
      <c r="A129" s="96">
        <v>45803</v>
      </c>
      <c r="B129" s="17" t="s">
        <v>18</v>
      </c>
      <c r="C129" s="23">
        <v>36</v>
      </c>
      <c r="D129" s="23">
        <f t="shared" si="42"/>
        <v>0</v>
      </c>
      <c r="E129" s="23">
        <f t="shared" si="43"/>
        <v>-1148</v>
      </c>
      <c r="G129" s="19"/>
      <c r="H129" s="62"/>
      <c r="I129" s="51">
        <f>IF(M131&lt;&gt;"",N131+O131,IF(M133&lt;&gt;"",N133+O133,IF(M381&lt;&gt;"",N381+O381,IF(M382&lt;&gt;"",N382+O382,IF(M383&lt;&gt;"",N383+O383,IF(M384&lt;&gt;"",N384+O384))))))</f>
        <v>3</v>
      </c>
      <c r="J129" s="18"/>
      <c r="K129" s="18">
        <f t="shared" si="44"/>
        <v>-34</v>
      </c>
      <c r="M129" s="78">
        <v>0</v>
      </c>
      <c r="N129" s="65">
        <f t="shared" si="51"/>
        <v>0</v>
      </c>
      <c r="O129" s="20"/>
      <c r="P129" s="21"/>
      <c r="Q129" s="57">
        <v>0</v>
      </c>
      <c r="R129" s="23">
        <f t="shared" si="45"/>
        <v>0</v>
      </c>
      <c r="S129" s="52">
        <f t="shared" si="46"/>
        <v>0</v>
      </c>
      <c r="U129" s="51">
        <f t="shared" si="52"/>
        <v>33</v>
      </c>
      <c r="V129" s="23"/>
      <c r="W129" s="18">
        <f t="shared" si="47"/>
        <v>-1108</v>
      </c>
      <c r="X129" s="2"/>
      <c r="Y129" s="78">
        <v>24</v>
      </c>
      <c r="Z129" s="62">
        <f t="shared" si="53"/>
        <v>30</v>
      </c>
      <c r="AA129" s="20"/>
      <c r="AB129" s="21"/>
      <c r="AC129" s="57">
        <v>30</v>
      </c>
      <c r="AD129" s="23">
        <f t="shared" si="48"/>
        <v>-6</v>
      </c>
      <c r="AE129" s="23">
        <f t="shared" si="49"/>
        <v>-6</v>
      </c>
      <c r="AG129" s="52"/>
    </row>
    <row r="130" spans="1:35" hidden="1" outlineLevel="1">
      <c r="A130" s="96">
        <v>45804</v>
      </c>
      <c r="B130" s="17" t="s">
        <v>19</v>
      </c>
      <c r="C130" s="23">
        <v>36</v>
      </c>
      <c r="D130" s="23">
        <f t="shared" si="42"/>
        <v>0</v>
      </c>
      <c r="E130" s="23">
        <f t="shared" si="43"/>
        <v>-1184</v>
      </c>
      <c r="G130" s="19"/>
      <c r="H130" s="62"/>
      <c r="I130" s="51">
        <f>IF(M132&lt;&gt;"",N132+O132,IF(M134&lt;&gt;"",N134+O134,IF(M382&lt;&gt;"",N382+O382,IF(M383&lt;&gt;"",N383+O383,IF(M384&lt;&gt;"",N384+O384,IF(M385&lt;&gt;"",N385+O385))))))</f>
        <v>6</v>
      </c>
      <c r="J130" s="18"/>
      <c r="K130" s="18">
        <f t="shared" si="44"/>
        <v>-40</v>
      </c>
      <c r="M130" s="78">
        <v>6</v>
      </c>
      <c r="N130" s="65">
        <f t="shared" si="51"/>
        <v>6</v>
      </c>
      <c r="O130" s="20"/>
      <c r="P130" s="21"/>
      <c r="Q130" s="57">
        <v>6</v>
      </c>
      <c r="R130" s="23">
        <f t="shared" si="45"/>
        <v>0</v>
      </c>
      <c r="S130" s="52">
        <f t="shared" si="46"/>
        <v>0</v>
      </c>
      <c r="U130" s="51">
        <f t="shared" si="52"/>
        <v>30</v>
      </c>
      <c r="V130" s="23"/>
      <c r="W130" s="18">
        <f t="shared" si="47"/>
        <v>-1138</v>
      </c>
      <c r="X130" s="2"/>
      <c r="Y130" s="78">
        <v>0</v>
      </c>
      <c r="Z130" s="62">
        <f t="shared" si="53"/>
        <v>30</v>
      </c>
      <c r="AA130" s="20"/>
      <c r="AB130" s="21"/>
      <c r="AC130" s="57">
        <v>30</v>
      </c>
      <c r="AD130" s="23">
        <f t="shared" si="48"/>
        <v>24</v>
      </c>
      <c r="AE130" s="23">
        <f t="shared" si="49"/>
        <v>24</v>
      </c>
      <c r="AG130" s="52"/>
    </row>
    <row r="131" spans="1:35" hidden="1" outlineLevel="1">
      <c r="A131" s="96">
        <v>45805</v>
      </c>
      <c r="B131" s="17" t="s">
        <v>20</v>
      </c>
      <c r="C131" s="23">
        <v>0</v>
      </c>
      <c r="D131" s="23">
        <f t="shared" si="42"/>
        <v>0</v>
      </c>
      <c r="E131" s="23">
        <f t="shared" si="43"/>
        <v>-1184</v>
      </c>
      <c r="G131" s="19"/>
      <c r="H131" s="62"/>
      <c r="I131" s="51">
        <f>IF(M133&lt;&gt;"",N133+O133,IF(M135&lt;&gt;"",N135+O135,IF(M383&lt;&gt;"",N383+O383,IF(M384&lt;&gt;"",N384+O384,IF(M385&lt;&gt;"",N385+O385,IF(M386&lt;&gt;"",N386+O386))))))</f>
        <v>0</v>
      </c>
      <c r="J131" s="18"/>
      <c r="K131" s="18">
        <f t="shared" si="44"/>
        <v>-40</v>
      </c>
      <c r="M131" s="78">
        <v>3</v>
      </c>
      <c r="N131" s="65">
        <f t="shared" si="51"/>
        <v>3</v>
      </c>
      <c r="O131" s="20"/>
      <c r="P131" s="21"/>
      <c r="Q131" s="57">
        <v>3</v>
      </c>
      <c r="R131" s="23">
        <f t="shared" si="45"/>
        <v>0</v>
      </c>
      <c r="S131" s="52">
        <f t="shared" si="46"/>
        <v>0</v>
      </c>
      <c r="U131" s="51">
        <f t="shared" si="52"/>
        <v>0</v>
      </c>
      <c r="V131" s="23"/>
      <c r="W131" s="18">
        <f t="shared" si="47"/>
        <v>-1138</v>
      </c>
      <c r="X131" s="2"/>
      <c r="Y131" s="78">
        <v>45</v>
      </c>
      <c r="Z131" s="62">
        <f t="shared" si="53"/>
        <v>33</v>
      </c>
      <c r="AA131" s="20"/>
      <c r="AB131" s="21"/>
      <c r="AC131" s="57">
        <v>33</v>
      </c>
      <c r="AD131" s="23">
        <f t="shared" si="48"/>
        <v>12</v>
      </c>
      <c r="AE131" s="23">
        <f t="shared" si="49"/>
        <v>12</v>
      </c>
      <c r="AG131" s="52"/>
    </row>
    <row r="132" spans="1:35" hidden="1" outlineLevel="1">
      <c r="A132" s="96">
        <v>45806</v>
      </c>
      <c r="B132" s="17" t="s">
        <v>14</v>
      </c>
      <c r="C132" s="23">
        <v>39</v>
      </c>
      <c r="D132" s="23">
        <f t="shared" si="42"/>
        <v>0</v>
      </c>
      <c r="E132" s="23">
        <f t="shared" si="43"/>
        <v>-1223</v>
      </c>
      <c r="G132" s="19"/>
      <c r="H132" s="62"/>
      <c r="I132" s="51">
        <f>IF(M134&lt;&gt;"",N134+O134,IF(M136&lt;&gt;"",N136+O136,IF(M384&lt;&gt;"",N384+O384,IF(M385&lt;&gt;"",N385+O385,IF(M386&lt;&gt;"",N386+O386,IF(M387&lt;&gt;"",N387+O387))))))</f>
        <v>0</v>
      </c>
      <c r="J132" s="18"/>
      <c r="K132" s="18">
        <f t="shared" si="44"/>
        <v>-40</v>
      </c>
      <c r="M132" s="78">
        <v>6</v>
      </c>
      <c r="N132" s="65">
        <f t="shared" si="51"/>
        <v>6</v>
      </c>
      <c r="O132" s="20"/>
      <c r="P132" s="21"/>
      <c r="Q132" s="57">
        <v>6</v>
      </c>
      <c r="R132" s="23">
        <f t="shared" si="45"/>
        <v>0</v>
      </c>
      <c r="S132" s="52">
        <f t="shared" si="46"/>
        <v>0</v>
      </c>
      <c r="U132" s="51">
        <f t="shared" si="52"/>
        <v>39</v>
      </c>
      <c r="V132" s="23"/>
      <c r="W132" s="18">
        <f t="shared" si="47"/>
        <v>-1177</v>
      </c>
      <c r="X132" s="2"/>
      <c r="Y132" s="78">
        <v>0</v>
      </c>
      <c r="Z132" s="62">
        <f t="shared" si="53"/>
        <v>33</v>
      </c>
      <c r="AA132" s="20">
        <v>3</v>
      </c>
      <c r="AB132" s="21"/>
      <c r="AC132" s="57">
        <v>33</v>
      </c>
      <c r="AD132" s="23">
        <f t="shared" si="48"/>
        <v>45</v>
      </c>
      <c r="AE132" s="23">
        <f t="shared" si="49"/>
        <v>45</v>
      </c>
      <c r="AG132" s="52"/>
    </row>
    <row r="133" spans="1:35" hidden="1" outlineLevel="1">
      <c r="A133" s="96">
        <v>45807</v>
      </c>
      <c r="B133" s="17" t="s">
        <v>15</v>
      </c>
      <c r="C133" s="23">
        <v>39</v>
      </c>
      <c r="D133" s="23">
        <f t="shared" si="42"/>
        <v>0</v>
      </c>
      <c r="E133" s="23">
        <f t="shared" si="43"/>
        <v>-1262</v>
      </c>
      <c r="G133" s="19"/>
      <c r="H133" s="62"/>
      <c r="I133" s="51">
        <f>IF(M135&lt;&gt;"",N135+O135,IF(M137&lt;&gt;"",N137+O137,IF(M385&lt;&gt;"",N385+O385,IF(M386&lt;&gt;"",N386+O386,IF(M387&lt;&gt;"",N387+O387,IF(M388&lt;&gt;"",N388+O388))))))</f>
        <v>6</v>
      </c>
      <c r="J133" s="18"/>
      <c r="K133" s="18">
        <f t="shared" si="44"/>
        <v>-46</v>
      </c>
      <c r="M133" s="297">
        <v>0</v>
      </c>
      <c r="N133" s="293">
        <f t="shared" si="51"/>
        <v>0</v>
      </c>
      <c r="O133" s="289"/>
      <c r="P133" s="290"/>
      <c r="Q133" s="291"/>
      <c r="R133" s="23">
        <f t="shared" si="45"/>
        <v>0</v>
      </c>
      <c r="S133" s="52">
        <f t="shared" si="46"/>
        <v>0</v>
      </c>
      <c r="U133" s="51">
        <f t="shared" si="52"/>
        <v>33</v>
      </c>
      <c r="V133" s="23"/>
      <c r="W133" s="18">
        <f t="shared" si="47"/>
        <v>-1210</v>
      </c>
      <c r="X133" s="2"/>
      <c r="Y133" s="297">
        <v>0</v>
      </c>
      <c r="Z133" s="77">
        <f t="shared" si="53"/>
        <v>0</v>
      </c>
      <c r="AA133" s="289"/>
      <c r="AB133" s="290"/>
      <c r="AC133" s="291"/>
      <c r="AD133" s="23">
        <f t="shared" si="48"/>
        <v>45</v>
      </c>
      <c r="AE133" s="23">
        <f t="shared" si="49"/>
        <v>45</v>
      </c>
      <c r="AG133" s="52"/>
      <c r="AI133">
        <f>SUM(M129:M133,Y129:Y133)/COUNT(Y129:Y133)</f>
        <v>16.8</v>
      </c>
    </row>
    <row r="134" spans="1:35" s="12" customFormat="1" hidden="1" outlineLevel="1">
      <c r="A134" s="95">
        <v>45808</v>
      </c>
      <c r="B134" s="25" t="s">
        <v>16</v>
      </c>
      <c r="C134" s="29"/>
      <c r="D134" s="29">
        <f t="shared" si="42"/>
        <v>0</v>
      </c>
      <c r="E134" s="29">
        <f t="shared" si="43"/>
        <v>-1262</v>
      </c>
      <c r="G134" s="64"/>
      <c r="H134" s="63"/>
      <c r="I134" s="53"/>
      <c r="J134" s="26"/>
      <c r="K134" s="26">
        <f t="shared" si="44"/>
        <v>-46</v>
      </c>
      <c r="M134" s="79"/>
      <c r="N134" s="66"/>
      <c r="O134" s="27"/>
      <c r="P134" s="28"/>
      <c r="Q134" s="43"/>
      <c r="R134" s="29">
        <f t="shared" si="45"/>
        <v>0</v>
      </c>
      <c r="S134" s="54">
        <f t="shared" si="46"/>
        <v>0</v>
      </c>
      <c r="T134" s="11"/>
      <c r="U134" s="53"/>
      <c r="V134" s="29"/>
      <c r="W134" s="26">
        <f t="shared" si="47"/>
        <v>-1210</v>
      </c>
      <c r="X134" s="10"/>
      <c r="Y134" s="79"/>
      <c r="Z134" s="63"/>
      <c r="AA134" s="27"/>
      <c r="AB134" s="28"/>
      <c r="AC134" s="43"/>
      <c r="AD134" s="29">
        <f t="shared" si="48"/>
        <v>45</v>
      </c>
      <c r="AE134" s="29">
        <f t="shared" si="49"/>
        <v>45</v>
      </c>
      <c r="AG134" s="54"/>
      <c r="AI134" s="11"/>
    </row>
    <row r="135" spans="1:35" s="12" customFormat="1" hidden="1" outlineLevel="1" collapsed="1">
      <c r="A135" s="95">
        <v>45809</v>
      </c>
      <c r="B135" s="25" t="s">
        <v>17</v>
      </c>
      <c r="C135" s="29"/>
      <c r="D135" s="29">
        <f t="shared" si="42"/>
        <v>0</v>
      </c>
      <c r="E135" s="29">
        <f t="shared" si="43"/>
        <v>-1262</v>
      </c>
      <c r="G135" s="64"/>
      <c r="H135" s="63"/>
      <c r="I135" s="53"/>
      <c r="J135" s="26"/>
      <c r="K135" s="26">
        <f t="shared" si="44"/>
        <v>-46</v>
      </c>
      <c r="M135" s="79"/>
      <c r="N135" s="66"/>
      <c r="O135" s="27"/>
      <c r="P135" s="28"/>
      <c r="Q135" s="43"/>
      <c r="R135" s="29">
        <f t="shared" si="45"/>
        <v>0</v>
      </c>
      <c r="S135" s="54">
        <f t="shared" si="46"/>
        <v>0</v>
      </c>
      <c r="T135" s="11"/>
      <c r="U135" s="53"/>
      <c r="V135" s="29"/>
      <c r="W135" s="26">
        <f t="shared" si="47"/>
        <v>-1210</v>
      </c>
      <c r="X135" s="10"/>
      <c r="Y135" s="79"/>
      <c r="Z135" s="63"/>
      <c r="AA135" s="27"/>
      <c r="AB135" s="28"/>
      <c r="AC135" s="43"/>
      <c r="AD135" s="29">
        <f t="shared" si="48"/>
        <v>45</v>
      </c>
      <c r="AE135" s="29">
        <f t="shared" si="49"/>
        <v>45</v>
      </c>
      <c r="AG135" s="54"/>
      <c r="AI135" s="11"/>
    </row>
    <row r="136" spans="1:35" hidden="1" outlineLevel="1">
      <c r="A136" s="96">
        <v>45810</v>
      </c>
      <c r="B136" s="17" t="s">
        <v>18</v>
      </c>
      <c r="C136" s="23">
        <v>48</v>
      </c>
      <c r="D136" s="23">
        <f t="shared" si="42"/>
        <v>0</v>
      </c>
      <c r="E136" s="23">
        <f t="shared" si="43"/>
        <v>-1310</v>
      </c>
      <c r="G136" s="19"/>
      <c r="H136" s="62"/>
      <c r="I136" s="51">
        <f>IF(M138&lt;&gt;"",N138+O138,IF(M140&lt;&gt;"",N140+O140,IF(M388&lt;&gt;"",N388+O388,IF(M389&lt;&gt;"",N389+O389,IF(M390&lt;&gt;"",N390+O390,IF(M391&lt;&gt;"",N391+O391))))))</f>
        <v>3</v>
      </c>
      <c r="J136" s="18"/>
      <c r="K136" s="18">
        <f t="shared" si="44"/>
        <v>-49</v>
      </c>
      <c r="M136" s="78">
        <v>0</v>
      </c>
      <c r="N136" s="65">
        <f t="shared" si="51"/>
        <v>0</v>
      </c>
      <c r="O136" s="20"/>
      <c r="P136" s="21"/>
      <c r="Q136" s="57">
        <v>0</v>
      </c>
      <c r="R136" s="23">
        <f t="shared" si="45"/>
        <v>0</v>
      </c>
      <c r="S136" s="52">
        <f t="shared" si="46"/>
        <v>0</v>
      </c>
      <c r="U136" s="51">
        <f t="shared" si="52"/>
        <v>45</v>
      </c>
      <c r="V136" s="23"/>
      <c r="W136" s="18">
        <f t="shared" si="47"/>
        <v>-1255</v>
      </c>
      <c r="X136" s="2"/>
      <c r="Y136" s="78">
        <v>81</v>
      </c>
      <c r="Z136" s="62">
        <f t="shared" si="53"/>
        <v>39</v>
      </c>
      <c r="AA136" s="20"/>
      <c r="AB136" s="21"/>
      <c r="AC136" s="57">
        <v>39</v>
      </c>
      <c r="AD136" s="23">
        <f t="shared" si="48"/>
        <v>3</v>
      </c>
      <c r="AE136" s="23">
        <f t="shared" si="49"/>
        <v>3</v>
      </c>
      <c r="AG136" s="52"/>
    </row>
    <row r="137" spans="1:35" hidden="1" outlineLevel="1">
      <c r="A137" s="96">
        <v>45811</v>
      </c>
      <c r="B137" s="17" t="s">
        <v>19</v>
      </c>
      <c r="C137" s="23">
        <v>48</v>
      </c>
      <c r="D137" s="23">
        <f t="shared" si="42"/>
        <v>0</v>
      </c>
      <c r="E137" s="23">
        <f t="shared" si="43"/>
        <v>-1358</v>
      </c>
      <c r="G137" s="19"/>
      <c r="H137" s="62"/>
      <c r="I137" s="51">
        <f>IF(M139&lt;&gt;"",N139+O139,IF(M141&lt;&gt;"",N141+O141,IF(M389&lt;&gt;"",N389+O389,IF(M390&lt;&gt;"",N390+O390,IF(M391&lt;&gt;"",N391+O391,IF(M392&lt;&gt;"",N392+O392))))))</f>
        <v>0</v>
      </c>
      <c r="J137" s="18"/>
      <c r="K137" s="18">
        <f t="shared" si="44"/>
        <v>-49</v>
      </c>
      <c r="M137" s="78">
        <v>6</v>
      </c>
      <c r="N137" s="65">
        <f t="shared" si="51"/>
        <v>6</v>
      </c>
      <c r="O137" s="20"/>
      <c r="P137" s="21"/>
      <c r="Q137" s="57">
        <v>6</v>
      </c>
      <c r="R137" s="23">
        <f t="shared" si="45"/>
        <v>0</v>
      </c>
      <c r="S137" s="52">
        <f t="shared" si="46"/>
        <v>0</v>
      </c>
      <c r="U137" s="51">
        <f t="shared" si="52"/>
        <v>48</v>
      </c>
      <c r="V137" s="23"/>
      <c r="W137" s="18">
        <f t="shared" si="47"/>
        <v>-1303</v>
      </c>
      <c r="X137" s="2"/>
      <c r="Y137" s="78">
        <v>24</v>
      </c>
      <c r="Z137" s="62">
        <f t="shared" si="53"/>
        <v>33</v>
      </c>
      <c r="AA137" s="20"/>
      <c r="AB137" s="21"/>
      <c r="AC137" s="57">
        <v>33</v>
      </c>
      <c r="AD137" s="23">
        <f t="shared" si="48"/>
        <v>12</v>
      </c>
      <c r="AE137" s="23">
        <f t="shared" si="49"/>
        <v>12</v>
      </c>
      <c r="AG137" s="52"/>
    </row>
    <row r="138" spans="1:35" hidden="1" outlineLevel="1">
      <c r="A138" s="96">
        <v>45812</v>
      </c>
      <c r="B138" s="17" t="s">
        <v>20</v>
      </c>
      <c r="C138" s="23">
        <v>45</v>
      </c>
      <c r="D138" s="23">
        <f t="shared" si="42"/>
        <v>0</v>
      </c>
      <c r="E138" s="23">
        <f t="shared" ref="E138:E169" si="54">E137-C138+D138</f>
        <v>-1403</v>
      </c>
      <c r="G138" s="19"/>
      <c r="H138" s="62"/>
      <c r="I138" s="51">
        <f>IF(M140&lt;&gt;"",N140+O140,IF(M142&lt;&gt;"",N142+O142,IF(M390&lt;&gt;"",N390+O390,IF(M391&lt;&gt;"",N391+O391,IF(M392&lt;&gt;"",N392+O392,IF(M393&lt;&gt;"",N393+O393))))))</f>
        <v>3</v>
      </c>
      <c r="J138" s="18"/>
      <c r="K138" s="18">
        <f t="shared" ref="K138:K169" si="55">J138-I138+K137</f>
        <v>-52</v>
      </c>
      <c r="M138" s="78">
        <v>3</v>
      </c>
      <c r="N138" s="65">
        <f t="shared" ref="N138:N168" si="56">M138</f>
        <v>3</v>
      </c>
      <c r="O138" s="20"/>
      <c r="P138" s="21"/>
      <c r="Q138" s="57">
        <v>3</v>
      </c>
      <c r="R138" s="23">
        <f t="shared" ref="R138:R169" si="57">R137-M138+Q138</f>
        <v>0</v>
      </c>
      <c r="S138" s="52">
        <f t="shared" ref="S138:S169" si="58">S137-M138+N138</f>
        <v>0</v>
      </c>
      <c r="U138" s="51">
        <f t="shared" ref="U138:U168" si="59">C138-I138</f>
        <v>42</v>
      </c>
      <c r="V138" s="23"/>
      <c r="W138" s="18">
        <f t="shared" ref="W138:W169" si="60">V138-U138+W137</f>
        <v>-1345</v>
      </c>
      <c r="X138" s="2"/>
      <c r="Y138" s="78">
        <v>36</v>
      </c>
      <c r="Z138" s="62">
        <f t="shared" ref="Z138:Z168" si="61">IF(U136&lt;&gt;"",U136+AA138,IF(U134&lt;&gt;"",U134+AA138,IF(U133&lt;&gt;"",U133+AA138,IF(U132&lt;&gt;"",U132+AA138,IF(U131&lt;&gt;"",U131+AA138,IF(U130&lt;&gt;"",U130+AA138))))))</f>
        <v>45</v>
      </c>
      <c r="AA138" s="20"/>
      <c r="AB138" s="21"/>
      <c r="AC138" s="57">
        <v>45</v>
      </c>
      <c r="AD138" s="23">
        <f t="shared" ref="AD138:AD169" si="62">AD137-Y138+AC138</f>
        <v>21</v>
      </c>
      <c r="AE138" s="23">
        <f t="shared" ref="AE138:AE169" si="63">AE137-Y138+Z138</f>
        <v>21</v>
      </c>
      <c r="AG138" s="52"/>
    </row>
    <row r="139" spans="1:35" hidden="1" outlineLevel="1">
      <c r="A139" s="96">
        <v>45813</v>
      </c>
      <c r="B139" s="17" t="s">
        <v>14</v>
      </c>
      <c r="C139" s="23">
        <v>45</v>
      </c>
      <c r="D139" s="23">
        <f t="shared" si="42"/>
        <v>0</v>
      </c>
      <c r="E139" s="23">
        <f t="shared" si="54"/>
        <v>-1448</v>
      </c>
      <c r="G139" s="19"/>
      <c r="H139" s="62"/>
      <c r="I139" s="51">
        <f>IF(M141&lt;&gt;"",N141+O141,IF(M143&lt;&gt;"",N143+O143,IF(M391&lt;&gt;"",N391+O391,IF(M392&lt;&gt;"",N392+O392,IF(M393&lt;&gt;"",N393+O393,IF(M394&lt;&gt;"",N394+O394))))))</f>
        <v>3</v>
      </c>
      <c r="J139" s="18"/>
      <c r="K139" s="18">
        <f t="shared" si="55"/>
        <v>-55</v>
      </c>
      <c r="M139" s="78">
        <v>0</v>
      </c>
      <c r="N139" s="65">
        <f t="shared" si="56"/>
        <v>0</v>
      </c>
      <c r="O139" s="20"/>
      <c r="P139" s="21"/>
      <c r="Q139" s="57">
        <v>0</v>
      </c>
      <c r="R139" s="23">
        <f t="shared" si="57"/>
        <v>0</v>
      </c>
      <c r="S139" s="52">
        <f t="shared" si="58"/>
        <v>0</v>
      </c>
      <c r="U139" s="51">
        <f t="shared" si="59"/>
        <v>42</v>
      </c>
      <c r="V139" s="23"/>
      <c r="W139" s="18">
        <f t="shared" si="60"/>
        <v>-1387</v>
      </c>
      <c r="X139" s="2"/>
      <c r="Y139" s="78">
        <v>48</v>
      </c>
      <c r="Z139" s="62">
        <f t="shared" si="61"/>
        <v>48</v>
      </c>
      <c r="AA139" s="20"/>
      <c r="AB139" s="21"/>
      <c r="AC139" s="57">
        <v>48</v>
      </c>
      <c r="AD139" s="23">
        <f t="shared" si="62"/>
        <v>21</v>
      </c>
      <c r="AE139" s="23">
        <f t="shared" si="63"/>
        <v>21</v>
      </c>
      <c r="AG139" s="52"/>
    </row>
    <row r="140" spans="1:35" hidden="1" outlineLevel="1">
      <c r="A140" s="96">
        <v>45814</v>
      </c>
      <c r="B140" s="17" t="s">
        <v>15</v>
      </c>
      <c r="C140" s="23">
        <v>48</v>
      </c>
      <c r="D140" s="23">
        <f t="shared" si="42"/>
        <v>0</v>
      </c>
      <c r="E140" s="23">
        <f t="shared" si="54"/>
        <v>-1496</v>
      </c>
      <c r="G140" s="19"/>
      <c r="H140" s="62"/>
      <c r="I140" s="51">
        <f>IF(M142&lt;&gt;"",N142+O142,IF(M144&lt;&gt;"",N144+O144,IF(M392&lt;&gt;"",N392+O392,IF(M393&lt;&gt;"",N393+O393,IF(M394&lt;&gt;"",N394+O394,IF(M395&lt;&gt;"",N395+O395))))))</f>
        <v>3</v>
      </c>
      <c r="J140" s="18"/>
      <c r="K140" s="18">
        <f t="shared" si="55"/>
        <v>-58</v>
      </c>
      <c r="M140" s="78">
        <v>3</v>
      </c>
      <c r="N140" s="65">
        <f t="shared" si="56"/>
        <v>3</v>
      </c>
      <c r="O140" s="20"/>
      <c r="P140" s="21"/>
      <c r="Q140" s="57">
        <v>3</v>
      </c>
      <c r="R140" s="23">
        <f t="shared" si="57"/>
        <v>0</v>
      </c>
      <c r="S140" s="52">
        <f t="shared" si="58"/>
        <v>0</v>
      </c>
      <c r="U140" s="51">
        <f t="shared" si="59"/>
        <v>45</v>
      </c>
      <c r="V140" s="23"/>
      <c r="W140" s="18">
        <f t="shared" si="60"/>
        <v>-1432</v>
      </c>
      <c r="X140" s="2"/>
      <c r="Y140" s="78">
        <v>18</v>
      </c>
      <c r="Z140" s="62">
        <f t="shared" si="61"/>
        <v>42</v>
      </c>
      <c r="AA140" s="20"/>
      <c r="AB140" s="21"/>
      <c r="AC140" s="57">
        <v>42</v>
      </c>
      <c r="AD140" s="23">
        <f t="shared" si="62"/>
        <v>45</v>
      </c>
      <c r="AE140" s="23">
        <f t="shared" si="63"/>
        <v>45</v>
      </c>
      <c r="AG140" s="52"/>
      <c r="AI140">
        <f>SUM(M136:M140,Y136:Y140)/COUNT(Y136:Y140)</f>
        <v>43.8</v>
      </c>
    </row>
    <row r="141" spans="1:35" s="12" customFormat="1" hidden="1" outlineLevel="1">
      <c r="A141" s="95">
        <v>45815</v>
      </c>
      <c r="B141" s="25" t="s">
        <v>16</v>
      </c>
      <c r="C141" s="29"/>
      <c r="D141" s="29">
        <f t="shared" si="42"/>
        <v>0</v>
      </c>
      <c r="E141" s="29">
        <f t="shared" si="54"/>
        <v>-1496</v>
      </c>
      <c r="G141" s="64"/>
      <c r="H141" s="63"/>
      <c r="I141" s="53"/>
      <c r="J141" s="26"/>
      <c r="K141" s="26">
        <f t="shared" si="55"/>
        <v>-58</v>
      </c>
      <c r="M141" s="79"/>
      <c r="N141" s="66"/>
      <c r="O141" s="27"/>
      <c r="P141" s="28"/>
      <c r="Q141" s="43"/>
      <c r="R141" s="29">
        <f t="shared" si="57"/>
        <v>0</v>
      </c>
      <c r="S141" s="54">
        <f t="shared" si="58"/>
        <v>0</v>
      </c>
      <c r="T141" s="11"/>
      <c r="U141" s="53"/>
      <c r="V141" s="29"/>
      <c r="W141" s="26">
        <f t="shared" si="60"/>
        <v>-1432</v>
      </c>
      <c r="X141" s="10"/>
      <c r="Y141" s="79"/>
      <c r="Z141" s="63"/>
      <c r="AA141" s="27"/>
      <c r="AB141" s="28"/>
      <c r="AC141" s="43"/>
      <c r="AD141" s="29">
        <f t="shared" si="62"/>
        <v>45</v>
      </c>
      <c r="AE141" s="29">
        <f t="shared" si="63"/>
        <v>45</v>
      </c>
      <c r="AG141" s="54"/>
      <c r="AI141" s="11"/>
    </row>
    <row r="142" spans="1:35" s="12" customFormat="1" hidden="1" outlineLevel="1" collapsed="1">
      <c r="A142" s="95">
        <v>45816</v>
      </c>
      <c r="B142" s="25" t="s">
        <v>17</v>
      </c>
      <c r="C142" s="29"/>
      <c r="D142" s="29">
        <f t="shared" si="42"/>
        <v>0</v>
      </c>
      <c r="E142" s="29">
        <f t="shared" si="54"/>
        <v>-1496</v>
      </c>
      <c r="G142" s="64"/>
      <c r="H142" s="63"/>
      <c r="I142" s="53"/>
      <c r="J142" s="26"/>
      <c r="K142" s="26">
        <f t="shared" si="55"/>
        <v>-58</v>
      </c>
      <c r="M142" s="79"/>
      <c r="N142" s="66"/>
      <c r="O142" s="27"/>
      <c r="P142" s="28"/>
      <c r="Q142" s="43"/>
      <c r="R142" s="29">
        <f t="shared" si="57"/>
        <v>0</v>
      </c>
      <c r="S142" s="54">
        <f t="shared" si="58"/>
        <v>0</v>
      </c>
      <c r="T142" s="11"/>
      <c r="U142" s="53"/>
      <c r="V142" s="29"/>
      <c r="W142" s="26">
        <f t="shared" si="60"/>
        <v>-1432</v>
      </c>
      <c r="X142" s="10"/>
      <c r="Y142" s="79"/>
      <c r="Z142" s="63"/>
      <c r="AA142" s="27"/>
      <c r="AB142" s="28"/>
      <c r="AC142" s="43"/>
      <c r="AD142" s="29">
        <f t="shared" si="62"/>
        <v>45</v>
      </c>
      <c r="AE142" s="29">
        <f t="shared" si="63"/>
        <v>45</v>
      </c>
      <c r="AG142" s="54"/>
      <c r="AI142" s="11"/>
    </row>
    <row r="143" spans="1:35" hidden="1" outlineLevel="1">
      <c r="A143" s="96">
        <v>45817</v>
      </c>
      <c r="B143" s="17" t="s">
        <v>18</v>
      </c>
      <c r="C143" s="23">
        <v>30</v>
      </c>
      <c r="D143" s="23">
        <f t="shared" si="42"/>
        <v>0</v>
      </c>
      <c r="E143" s="23">
        <f t="shared" si="54"/>
        <v>-1526</v>
      </c>
      <c r="G143" s="19"/>
      <c r="H143" s="62"/>
      <c r="I143" s="51">
        <f>IF(M145&lt;&gt;"",N145+O145,IF(M147&lt;&gt;"",N147+O147,IF(M395&lt;&gt;"",N395+O395,IF(M396&lt;&gt;"",N396+O396,IF(M397&lt;&gt;"",N397+O397,IF(M398&lt;&gt;"",N398+O398))))))</f>
        <v>6</v>
      </c>
      <c r="J143" s="18"/>
      <c r="K143" s="18">
        <f t="shared" si="55"/>
        <v>-64</v>
      </c>
      <c r="M143" s="78">
        <v>3</v>
      </c>
      <c r="N143" s="65">
        <f t="shared" si="56"/>
        <v>3</v>
      </c>
      <c r="O143" s="20"/>
      <c r="P143" s="21"/>
      <c r="Q143" s="57">
        <v>3</v>
      </c>
      <c r="R143" s="23">
        <f t="shared" si="57"/>
        <v>0</v>
      </c>
      <c r="S143" s="52">
        <f t="shared" si="58"/>
        <v>0</v>
      </c>
      <c r="U143" s="51">
        <f t="shared" si="59"/>
        <v>24</v>
      </c>
      <c r="V143" s="23"/>
      <c r="W143" s="18">
        <f t="shared" si="60"/>
        <v>-1456</v>
      </c>
      <c r="X143" s="2"/>
      <c r="Y143" s="78">
        <v>66</v>
      </c>
      <c r="Z143" s="62">
        <f t="shared" si="61"/>
        <v>42</v>
      </c>
      <c r="AA143" s="20"/>
      <c r="AB143" s="21"/>
      <c r="AC143" s="57">
        <v>42</v>
      </c>
      <c r="AD143" s="23">
        <f t="shared" si="62"/>
        <v>21</v>
      </c>
      <c r="AE143" s="23">
        <f t="shared" si="63"/>
        <v>21</v>
      </c>
      <c r="AG143" s="52"/>
    </row>
    <row r="144" spans="1:35" hidden="1" outlineLevel="1">
      <c r="A144" s="96">
        <v>45818</v>
      </c>
      <c r="B144" s="17" t="s">
        <v>19</v>
      </c>
      <c r="C144" s="23">
        <v>36</v>
      </c>
      <c r="D144" s="23">
        <f t="shared" si="42"/>
        <v>0</v>
      </c>
      <c r="E144" s="23">
        <f t="shared" si="54"/>
        <v>-1562</v>
      </c>
      <c r="G144" s="19"/>
      <c r="H144" s="62"/>
      <c r="I144" s="51">
        <f>IF(M146&lt;&gt;"",N146+O146,IF(M148&lt;&gt;"",N148+O148,IF(M396&lt;&gt;"",N396+O396,IF(M397&lt;&gt;"",N397+O397,IF(M398&lt;&gt;"",N398+O398,IF(M399&lt;&gt;"",N399+O399))))))</f>
        <v>3</v>
      </c>
      <c r="J144" s="18"/>
      <c r="K144" s="18">
        <f t="shared" si="55"/>
        <v>-67</v>
      </c>
      <c r="M144" s="78">
        <v>3</v>
      </c>
      <c r="N144" s="65">
        <f t="shared" si="56"/>
        <v>3</v>
      </c>
      <c r="O144" s="20"/>
      <c r="P144" s="21"/>
      <c r="Q144" s="57">
        <v>3</v>
      </c>
      <c r="R144" s="23">
        <f t="shared" si="57"/>
        <v>0</v>
      </c>
      <c r="S144" s="52">
        <f t="shared" si="58"/>
        <v>0</v>
      </c>
      <c r="U144" s="51">
        <f t="shared" si="59"/>
        <v>33</v>
      </c>
      <c r="V144" s="23"/>
      <c r="W144" s="18">
        <f t="shared" si="60"/>
        <v>-1489</v>
      </c>
      <c r="X144" s="2"/>
      <c r="Y144" s="78">
        <v>36</v>
      </c>
      <c r="Z144" s="62">
        <f t="shared" si="61"/>
        <v>45</v>
      </c>
      <c r="AA144" s="20"/>
      <c r="AB144" s="21"/>
      <c r="AC144" s="57">
        <v>39</v>
      </c>
      <c r="AD144" s="23">
        <f t="shared" si="62"/>
        <v>24</v>
      </c>
      <c r="AE144" s="23">
        <f t="shared" si="63"/>
        <v>30</v>
      </c>
      <c r="AG144" s="52"/>
    </row>
    <row r="145" spans="1:35" hidden="1" outlineLevel="1">
      <c r="A145" s="96">
        <v>45819</v>
      </c>
      <c r="B145" s="17" t="s">
        <v>20</v>
      </c>
      <c r="C145" s="23">
        <v>36</v>
      </c>
      <c r="D145" s="23">
        <f t="shared" si="42"/>
        <v>0</v>
      </c>
      <c r="E145" s="23">
        <f t="shared" si="54"/>
        <v>-1598</v>
      </c>
      <c r="G145" s="19"/>
      <c r="H145" s="62"/>
      <c r="I145" s="51">
        <f>IF(M147&lt;&gt;"",N147+O147,IF(M149&lt;&gt;"",N149+O149,IF(M397&lt;&gt;"",N397+O397,IF(M398&lt;&gt;"",N398+O398,IF(M399&lt;&gt;"",N399+O399,IF(M400&lt;&gt;"",N400+O400))))))</f>
        <v>3</v>
      </c>
      <c r="J145" s="18"/>
      <c r="K145" s="18">
        <f t="shared" si="55"/>
        <v>-70</v>
      </c>
      <c r="M145" s="78">
        <v>6</v>
      </c>
      <c r="N145" s="65">
        <f t="shared" si="56"/>
        <v>6</v>
      </c>
      <c r="O145" s="20"/>
      <c r="P145" s="21"/>
      <c r="Q145" s="57">
        <v>6</v>
      </c>
      <c r="R145" s="23">
        <f t="shared" si="57"/>
        <v>0</v>
      </c>
      <c r="S145" s="52">
        <f t="shared" si="58"/>
        <v>0</v>
      </c>
      <c r="U145" s="51">
        <f t="shared" si="59"/>
        <v>33</v>
      </c>
      <c r="V145" s="23"/>
      <c r="W145" s="18">
        <f t="shared" si="60"/>
        <v>-1522</v>
      </c>
      <c r="X145" s="2"/>
      <c r="Y145" s="78">
        <v>36</v>
      </c>
      <c r="Z145" s="62">
        <f t="shared" si="61"/>
        <v>24</v>
      </c>
      <c r="AA145" s="20"/>
      <c r="AB145" s="21"/>
      <c r="AC145" s="57">
        <f>6+24</f>
        <v>30</v>
      </c>
      <c r="AD145" s="23">
        <f t="shared" si="62"/>
        <v>18</v>
      </c>
      <c r="AE145" s="23">
        <f t="shared" si="63"/>
        <v>18</v>
      </c>
      <c r="AG145" s="52"/>
    </row>
    <row r="146" spans="1:35" hidden="1" outlineLevel="1">
      <c r="A146" s="96">
        <v>45820</v>
      </c>
      <c r="B146" s="17" t="s">
        <v>14</v>
      </c>
      <c r="C146" s="23">
        <f>39+6</f>
        <v>45</v>
      </c>
      <c r="D146" s="23">
        <f t="shared" si="42"/>
        <v>0</v>
      </c>
      <c r="E146" s="23">
        <f t="shared" si="54"/>
        <v>-1643</v>
      </c>
      <c r="G146" s="19"/>
      <c r="H146" s="62"/>
      <c r="I146" s="51">
        <f>IF(M148&lt;&gt;"",N148+O148,IF(M150&lt;&gt;"",N150+O150,IF(M398&lt;&gt;"",N398+O398,IF(M399&lt;&gt;"",N399+O399,IF(M400&lt;&gt;"",N400+O400,IF(M401&lt;&gt;"",N401+O401))))))</f>
        <v>3</v>
      </c>
      <c r="J146" s="18"/>
      <c r="K146" s="18">
        <f t="shared" si="55"/>
        <v>-73</v>
      </c>
      <c r="M146" s="78">
        <v>3</v>
      </c>
      <c r="N146" s="65">
        <f t="shared" si="56"/>
        <v>3</v>
      </c>
      <c r="O146" s="20"/>
      <c r="P146" s="21"/>
      <c r="Q146" s="57">
        <v>3</v>
      </c>
      <c r="R146" s="23">
        <f t="shared" si="57"/>
        <v>0</v>
      </c>
      <c r="S146" s="52">
        <f t="shared" si="58"/>
        <v>0</v>
      </c>
      <c r="U146" s="51">
        <f t="shared" si="59"/>
        <v>42</v>
      </c>
      <c r="V146" s="23"/>
      <c r="W146" s="18">
        <f t="shared" si="60"/>
        <v>-1564</v>
      </c>
      <c r="X146" s="2"/>
      <c r="Y146" s="78">
        <v>45</v>
      </c>
      <c r="Z146" s="62">
        <f t="shared" si="61"/>
        <v>33</v>
      </c>
      <c r="AA146" s="20"/>
      <c r="AB146" s="21"/>
      <c r="AC146" s="57">
        <v>33</v>
      </c>
      <c r="AD146" s="23">
        <f t="shared" si="62"/>
        <v>6</v>
      </c>
      <c r="AE146" s="23">
        <f t="shared" si="63"/>
        <v>6</v>
      </c>
      <c r="AG146" s="52"/>
    </row>
    <row r="147" spans="1:35" hidden="1" outlineLevel="1">
      <c r="A147" s="96">
        <v>45821</v>
      </c>
      <c r="B147" s="17" t="s">
        <v>15</v>
      </c>
      <c r="C147" s="23">
        <f>39+6</f>
        <v>45</v>
      </c>
      <c r="D147" s="23">
        <f t="shared" si="42"/>
        <v>0</v>
      </c>
      <c r="E147" s="23">
        <f t="shared" si="54"/>
        <v>-1688</v>
      </c>
      <c r="G147" s="19"/>
      <c r="H147" s="62"/>
      <c r="I147" s="51">
        <f>IF(M149&lt;&gt;"",N149+O149,IF(M151&lt;&gt;"",N151+O151,IF(M399&lt;&gt;"",N399+O399,IF(M400&lt;&gt;"",N400+O400,IF(M401&lt;&gt;"",N401+O401,IF(M402&lt;&gt;"",N402+O402))))))</f>
        <v>3</v>
      </c>
      <c r="J147" s="18"/>
      <c r="K147" s="18">
        <f t="shared" si="55"/>
        <v>-76</v>
      </c>
      <c r="M147" s="78">
        <v>3</v>
      </c>
      <c r="N147" s="65">
        <f t="shared" si="56"/>
        <v>3</v>
      </c>
      <c r="O147" s="20"/>
      <c r="P147" s="21"/>
      <c r="Q147" s="57">
        <v>3</v>
      </c>
      <c r="R147" s="23">
        <f t="shared" si="57"/>
        <v>0</v>
      </c>
      <c r="S147" s="52">
        <f t="shared" si="58"/>
        <v>0</v>
      </c>
      <c r="U147" s="51">
        <f t="shared" si="59"/>
        <v>42</v>
      </c>
      <c r="V147" s="23"/>
      <c r="W147" s="18">
        <f t="shared" si="60"/>
        <v>-1606</v>
      </c>
      <c r="X147" s="2"/>
      <c r="Y147" s="78">
        <v>33</v>
      </c>
      <c r="Z147" s="62">
        <f t="shared" si="61"/>
        <v>33</v>
      </c>
      <c r="AA147" s="20"/>
      <c r="AB147" s="21"/>
      <c r="AC147" s="57">
        <v>33</v>
      </c>
      <c r="AD147" s="23">
        <f t="shared" si="62"/>
        <v>6</v>
      </c>
      <c r="AE147" s="23">
        <f t="shared" si="63"/>
        <v>6</v>
      </c>
      <c r="AG147" s="52"/>
      <c r="AI147">
        <f>SUM(M143:M147,Y143:Y147)/COUNT(Y143:Y147)</f>
        <v>46.8</v>
      </c>
    </row>
    <row r="148" spans="1:35" s="12" customFormat="1" hidden="1" outlineLevel="1">
      <c r="A148" s="95">
        <v>45822</v>
      </c>
      <c r="B148" s="25" t="s">
        <v>16</v>
      </c>
      <c r="C148" s="29"/>
      <c r="D148" s="29">
        <f t="shared" si="42"/>
        <v>0</v>
      </c>
      <c r="E148" s="29">
        <f t="shared" si="54"/>
        <v>-1688</v>
      </c>
      <c r="G148" s="64"/>
      <c r="H148" s="63"/>
      <c r="I148" s="53"/>
      <c r="J148" s="26"/>
      <c r="K148" s="26">
        <f t="shared" si="55"/>
        <v>-76</v>
      </c>
      <c r="M148" s="79"/>
      <c r="N148" s="66"/>
      <c r="O148" s="27"/>
      <c r="P148" s="28"/>
      <c r="Q148" s="43"/>
      <c r="R148" s="29">
        <f t="shared" si="57"/>
        <v>0</v>
      </c>
      <c r="S148" s="54">
        <f t="shared" si="58"/>
        <v>0</v>
      </c>
      <c r="T148" s="11"/>
      <c r="U148" s="53"/>
      <c r="V148" s="29"/>
      <c r="W148" s="26">
        <f t="shared" si="60"/>
        <v>-1606</v>
      </c>
      <c r="X148" s="10"/>
      <c r="Y148" s="79"/>
      <c r="Z148" s="63"/>
      <c r="AA148" s="27"/>
      <c r="AB148" s="28"/>
      <c r="AC148" s="43"/>
      <c r="AD148" s="29">
        <f t="shared" si="62"/>
        <v>6</v>
      </c>
      <c r="AE148" s="29">
        <f t="shared" si="63"/>
        <v>6</v>
      </c>
      <c r="AG148" s="54"/>
      <c r="AI148" s="11"/>
    </row>
    <row r="149" spans="1:35" s="12" customFormat="1" hidden="1" outlineLevel="1" collapsed="1">
      <c r="A149" s="95">
        <v>45823</v>
      </c>
      <c r="B149" s="25" t="s">
        <v>17</v>
      </c>
      <c r="C149" s="29"/>
      <c r="D149" s="29">
        <f t="shared" si="42"/>
        <v>0</v>
      </c>
      <c r="E149" s="29">
        <f t="shared" si="54"/>
        <v>-1688</v>
      </c>
      <c r="G149" s="64"/>
      <c r="H149" s="63"/>
      <c r="I149" s="53"/>
      <c r="J149" s="26"/>
      <c r="K149" s="26">
        <f t="shared" si="55"/>
        <v>-76</v>
      </c>
      <c r="M149" s="79"/>
      <c r="N149" s="66"/>
      <c r="O149" s="27"/>
      <c r="P149" s="28"/>
      <c r="Q149" s="43"/>
      <c r="R149" s="29">
        <f t="shared" si="57"/>
        <v>0</v>
      </c>
      <c r="S149" s="54">
        <f t="shared" si="58"/>
        <v>0</v>
      </c>
      <c r="T149" s="11"/>
      <c r="U149" s="53"/>
      <c r="V149" s="29"/>
      <c r="W149" s="26">
        <f t="shared" si="60"/>
        <v>-1606</v>
      </c>
      <c r="X149" s="10"/>
      <c r="Y149" s="79"/>
      <c r="Z149" s="63"/>
      <c r="AA149" s="27"/>
      <c r="AB149" s="28"/>
      <c r="AC149" s="43"/>
      <c r="AD149" s="29">
        <f t="shared" si="62"/>
        <v>6</v>
      </c>
      <c r="AE149" s="29">
        <f t="shared" si="63"/>
        <v>6</v>
      </c>
      <c r="AG149" s="54"/>
      <c r="AI149" s="11"/>
    </row>
    <row r="150" spans="1:35" hidden="1" outlineLevel="1">
      <c r="A150" s="96">
        <v>45824</v>
      </c>
      <c r="B150" s="17" t="s">
        <v>18</v>
      </c>
      <c r="C150" s="23">
        <f>45+15</f>
        <v>60</v>
      </c>
      <c r="D150" s="23">
        <f t="shared" si="42"/>
        <v>0</v>
      </c>
      <c r="E150" s="23">
        <f t="shared" si="54"/>
        <v>-1748</v>
      </c>
      <c r="G150" s="19"/>
      <c r="H150" s="62"/>
      <c r="I150" s="51">
        <f>IF(M152&lt;&gt;"",N152+O152,IF(M154&lt;&gt;"",N154+O154,IF(M402&lt;&gt;"",N402+O402,IF(M403&lt;&gt;"",N403+O403,IF(M404&lt;&gt;"",N404+O404,IF(M405&lt;&gt;"",N405+O405))))))</f>
        <v>0</v>
      </c>
      <c r="J150" s="18"/>
      <c r="K150" s="18">
        <f t="shared" si="55"/>
        <v>-76</v>
      </c>
      <c r="M150" s="78">
        <v>3</v>
      </c>
      <c r="N150" s="65">
        <f t="shared" si="56"/>
        <v>3</v>
      </c>
      <c r="O150" s="20"/>
      <c r="P150" s="21"/>
      <c r="Q150" s="57">
        <v>3</v>
      </c>
      <c r="R150" s="23">
        <f t="shared" si="57"/>
        <v>0</v>
      </c>
      <c r="S150" s="52">
        <f t="shared" si="58"/>
        <v>0</v>
      </c>
      <c r="U150" s="51">
        <f t="shared" si="59"/>
        <v>60</v>
      </c>
      <c r="V150" s="23"/>
      <c r="W150" s="18">
        <f t="shared" si="60"/>
        <v>-1666</v>
      </c>
      <c r="X150" s="2"/>
      <c r="Y150" s="78">
        <v>45</v>
      </c>
      <c r="Z150" s="62">
        <f t="shared" si="61"/>
        <v>42</v>
      </c>
      <c r="AA150" s="20"/>
      <c r="AB150" s="21"/>
      <c r="AC150" s="57">
        <v>42</v>
      </c>
      <c r="AD150" s="23">
        <f t="shared" si="62"/>
        <v>3</v>
      </c>
      <c r="AE150" s="23">
        <f t="shared" si="63"/>
        <v>3</v>
      </c>
      <c r="AG150" s="52"/>
    </row>
    <row r="151" spans="1:35" hidden="1" outlineLevel="1">
      <c r="A151" s="96">
        <v>45825</v>
      </c>
      <c r="B151" s="17" t="s">
        <v>19</v>
      </c>
      <c r="C151" s="23">
        <f>48</f>
        <v>48</v>
      </c>
      <c r="D151" s="23">
        <f t="shared" si="42"/>
        <v>0</v>
      </c>
      <c r="E151" s="23">
        <f t="shared" si="54"/>
        <v>-1796</v>
      </c>
      <c r="G151" s="19"/>
      <c r="H151" s="62"/>
      <c r="I151" s="51">
        <f>IF(M153&lt;&gt;"",N153+O153,IF(M155&lt;&gt;"",N155+O155,IF(M403&lt;&gt;"",N403+O403,IF(M404&lt;&gt;"",N404+O404,IF(M405&lt;&gt;"",N405+O405,IF(M406&lt;&gt;"",N406+O406))))))</f>
        <v>0</v>
      </c>
      <c r="J151" s="18"/>
      <c r="K151" s="18">
        <f t="shared" si="55"/>
        <v>-76</v>
      </c>
      <c r="M151" s="78">
        <v>3</v>
      </c>
      <c r="N151" s="65">
        <f t="shared" si="56"/>
        <v>3</v>
      </c>
      <c r="O151" s="20"/>
      <c r="P151" s="21"/>
      <c r="Q151" s="57">
        <v>3</v>
      </c>
      <c r="R151" s="23">
        <f t="shared" si="57"/>
        <v>0</v>
      </c>
      <c r="S151" s="52">
        <f t="shared" si="58"/>
        <v>0</v>
      </c>
      <c r="U151" s="51">
        <f t="shared" si="59"/>
        <v>48</v>
      </c>
      <c r="V151" s="23"/>
      <c r="W151" s="18">
        <f t="shared" si="60"/>
        <v>-1714</v>
      </c>
      <c r="X151" s="2"/>
      <c r="Y151" s="78">
        <v>51</v>
      </c>
      <c r="Z151" s="62">
        <f t="shared" si="61"/>
        <v>42</v>
      </c>
      <c r="AA151" s="20"/>
      <c r="AB151" s="21"/>
      <c r="AC151" s="57">
        <v>42</v>
      </c>
      <c r="AD151" s="23">
        <f t="shared" si="62"/>
        <v>-6</v>
      </c>
      <c r="AE151" s="23">
        <f t="shared" si="63"/>
        <v>-6</v>
      </c>
      <c r="AG151" s="52"/>
    </row>
    <row r="152" spans="1:35" hidden="1" outlineLevel="1">
      <c r="A152" s="96">
        <v>45826</v>
      </c>
      <c r="B152" s="17" t="s">
        <v>20</v>
      </c>
      <c r="C152" s="23">
        <f>45</f>
        <v>45</v>
      </c>
      <c r="D152" s="23">
        <f t="shared" si="42"/>
        <v>0</v>
      </c>
      <c r="E152" s="23">
        <f t="shared" si="54"/>
        <v>-1841</v>
      </c>
      <c r="G152" s="19"/>
      <c r="H152" s="62"/>
      <c r="I152" s="51">
        <f>IF(M154&lt;&gt;"",N154+O154,IF(M156&lt;&gt;"",N156+O156,IF(M404&lt;&gt;"",N404+O404,IF(M405&lt;&gt;"",N405+O405,IF(M406&lt;&gt;"",N406+O406,IF(M407&lt;&gt;"",N407+O407))))))</f>
        <v>0</v>
      </c>
      <c r="J152" s="18"/>
      <c r="K152" s="18">
        <f t="shared" si="55"/>
        <v>-76</v>
      </c>
      <c r="M152" s="78">
        <v>0</v>
      </c>
      <c r="N152" s="65">
        <f t="shared" si="56"/>
        <v>0</v>
      </c>
      <c r="O152" s="20"/>
      <c r="P152" s="21"/>
      <c r="Q152" s="57">
        <v>0</v>
      </c>
      <c r="R152" s="23">
        <f t="shared" si="57"/>
        <v>0</v>
      </c>
      <c r="S152" s="52">
        <f t="shared" si="58"/>
        <v>0</v>
      </c>
      <c r="U152" s="51">
        <f t="shared" si="59"/>
        <v>45</v>
      </c>
      <c r="V152" s="23"/>
      <c r="W152" s="18">
        <f t="shared" si="60"/>
        <v>-1759</v>
      </c>
      <c r="X152" s="2"/>
      <c r="Y152" s="78">
        <v>51</v>
      </c>
      <c r="Z152" s="62">
        <f t="shared" si="61"/>
        <v>60</v>
      </c>
      <c r="AA152" s="20"/>
      <c r="AB152" s="21"/>
      <c r="AC152" s="57">
        <v>60</v>
      </c>
      <c r="AD152" s="23">
        <f t="shared" si="62"/>
        <v>3</v>
      </c>
      <c r="AE152" s="23">
        <f t="shared" si="63"/>
        <v>3</v>
      </c>
      <c r="AG152" s="52"/>
    </row>
    <row r="153" spans="1:35" hidden="1" outlineLevel="1">
      <c r="A153" s="96">
        <v>45827</v>
      </c>
      <c r="B153" s="17" t="s">
        <v>14</v>
      </c>
      <c r="C153" s="23">
        <f>42</f>
        <v>42</v>
      </c>
      <c r="D153" s="23">
        <f t="shared" si="42"/>
        <v>0</v>
      </c>
      <c r="E153" s="23">
        <f t="shared" si="54"/>
        <v>-1883</v>
      </c>
      <c r="G153" s="19"/>
      <c r="H153" s="62"/>
      <c r="I153" s="51">
        <f>IF(M155&lt;&gt;"",N155+O155,IF(M157&lt;&gt;"",N157+O157,IF(M405&lt;&gt;"",N405+O405,IF(M406&lt;&gt;"",N406+O406,IF(M407&lt;&gt;"",N407+O407,IF(M408&lt;&gt;"",N408+O408))))))</f>
        <v>0</v>
      </c>
      <c r="J153" s="18"/>
      <c r="K153" s="18">
        <f t="shared" si="55"/>
        <v>-76</v>
      </c>
      <c r="M153" s="78">
        <v>0</v>
      </c>
      <c r="N153" s="65">
        <f t="shared" si="56"/>
        <v>0</v>
      </c>
      <c r="O153" s="20"/>
      <c r="P153" s="21"/>
      <c r="Q153" s="57">
        <v>0</v>
      </c>
      <c r="R153" s="23">
        <f t="shared" si="57"/>
        <v>0</v>
      </c>
      <c r="S153" s="52">
        <f t="shared" si="58"/>
        <v>0</v>
      </c>
      <c r="U153" s="51">
        <f t="shared" si="59"/>
        <v>42</v>
      </c>
      <c r="V153" s="23"/>
      <c r="W153" s="18">
        <f t="shared" si="60"/>
        <v>-1801</v>
      </c>
      <c r="X153" s="2"/>
      <c r="Y153" s="78">
        <v>48</v>
      </c>
      <c r="Z153" s="62">
        <f t="shared" si="61"/>
        <v>48</v>
      </c>
      <c r="AA153" s="20"/>
      <c r="AB153" s="21"/>
      <c r="AC153" s="57">
        <v>48</v>
      </c>
      <c r="AD153" s="23">
        <f t="shared" si="62"/>
        <v>3</v>
      </c>
      <c r="AE153" s="23">
        <f t="shared" si="63"/>
        <v>3</v>
      </c>
      <c r="AG153" s="52"/>
    </row>
    <row r="154" spans="1:35" hidden="1" outlineLevel="1">
      <c r="A154" s="96">
        <v>45828</v>
      </c>
      <c r="B154" s="17" t="s">
        <v>15</v>
      </c>
      <c r="C154" s="23">
        <f>42</f>
        <v>42</v>
      </c>
      <c r="D154" s="23">
        <f t="shared" si="42"/>
        <v>0</v>
      </c>
      <c r="E154" s="23">
        <f t="shared" si="54"/>
        <v>-1925</v>
      </c>
      <c r="G154" s="19"/>
      <c r="H154" s="62"/>
      <c r="I154" s="51">
        <f>IF(M156&lt;&gt;"",N156+O156,IF(M158&lt;&gt;"",N158+O158,IF(M406&lt;&gt;"",N406+O406,IF(M407&lt;&gt;"",N407+O407,IF(M408&lt;&gt;"",N408+O408,IF(M409&lt;&gt;"",N409+O409))))))</f>
        <v>0</v>
      </c>
      <c r="J154" s="18"/>
      <c r="K154" s="18">
        <f t="shared" si="55"/>
        <v>-76</v>
      </c>
      <c r="M154" s="78">
        <v>0</v>
      </c>
      <c r="N154" s="65">
        <f t="shared" si="56"/>
        <v>0</v>
      </c>
      <c r="O154" s="20"/>
      <c r="P154" s="21"/>
      <c r="Q154" s="57">
        <v>0</v>
      </c>
      <c r="R154" s="23">
        <f t="shared" si="57"/>
        <v>0</v>
      </c>
      <c r="S154" s="52">
        <f t="shared" si="58"/>
        <v>0</v>
      </c>
      <c r="U154" s="51">
        <f t="shared" si="59"/>
        <v>42</v>
      </c>
      <c r="V154" s="23"/>
      <c r="W154" s="18">
        <f t="shared" si="60"/>
        <v>-1843</v>
      </c>
      <c r="X154" s="2"/>
      <c r="Y154" s="78">
        <v>36</v>
      </c>
      <c r="Z154" s="62">
        <f t="shared" si="61"/>
        <v>45</v>
      </c>
      <c r="AA154" s="20"/>
      <c r="AB154" s="21"/>
      <c r="AC154" s="57">
        <v>45</v>
      </c>
      <c r="AD154" s="23">
        <f t="shared" si="62"/>
        <v>12</v>
      </c>
      <c r="AE154" s="23">
        <f t="shared" si="63"/>
        <v>12</v>
      </c>
      <c r="AG154" s="52"/>
      <c r="AI154">
        <f>SUM(M150:M154,Y150:Y154)/COUNT(Y150:Y154)</f>
        <v>47.4</v>
      </c>
    </row>
    <row r="155" spans="1:35" s="12" customFormat="1" hidden="1" outlineLevel="1">
      <c r="A155" s="95">
        <v>45829</v>
      </c>
      <c r="B155" s="25" t="s">
        <v>16</v>
      </c>
      <c r="C155" s="29"/>
      <c r="D155" s="29">
        <f t="shared" si="42"/>
        <v>0</v>
      </c>
      <c r="E155" s="29">
        <f t="shared" si="54"/>
        <v>-1925</v>
      </c>
      <c r="G155" s="64"/>
      <c r="H155" s="63"/>
      <c r="I155" s="53"/>
      <c r="J155" s="26"/>
      <c r="K155" s="26">
        <f t="shared" si="55"/>
        <v>-76</v>
      </c>
      <c r="M155" s="79"/>
      <c r="N155" s="66"/>
      <c r="O155" s="27"/>
      <c r="P155" s="28"/>
      <c r="Q155" s="43"/>
      <c r="R155" s="29">
        <f t="shared" si="57"/>
        <v>0</v>
      </c>
      <c r="S155" s="54">
        <f t="shared" si="58"/>
        <v>0</v>
      </c>
      <c r="T155" s="11"/>
      <c r="U155" s="53"/>
      <c r="V155" s="29"/>
      <c r="W155" s="26">
        <f t="shared" si="60"/>
        <v>-1843</v>
      </c>
      <c r="X155" s="10"/>
      <c r="Y155" s="79"/>
      <c r="Z155" s="63"/>
      <c r="AA155" s="27"/>
      <c r="AB155" s="28"/>
      <c r="AC155" s="43"/>
      <c r="AD155" s="29">
        <f t="shared" si="62"/>
        <v>12</v>
      </c>
      <c r="AE155" s="29">
        <f t="shared" si="63"/>
        <v>12</v>
      </c>
      <c r="AG155" s="54"/>
      <c r="AI155" s="11"/>
    </row>
    <row r="156" spans="1:35" s="12" customFormat="1" hidden="1" outlineLevel="1" collapsed="1">
      <c r="A156" s="95">
        <v>45830</v>
      </c>
      <c r="B156" s="25" t="s">
        <v>17</v>
      </c>
      <c r="C156" s="29"/>
      <c r="D156" s="29">
        <f t="shared" si="42"/>
        <v>0</v>
      </c>
      <c r="E156" s="29">
        <f t="shared" si="54"/>
        <v>-1925</v>
      </c>
      <c r="G156" s="64"/>
      <c r="H156" s="63"/>
      <c r="I156" s="53"/>
      <c r="J156" s="26"/>
      <c r="K156" s="26">
        <f t="shared" si="55"/>
        <v>-76</v>
      </c>
      <c r="M156" s="79"/>
      <c r="N156" s="66"/>
      <c r="O156" s="27"/>
      <c r="P156" s="28"/>
      <c r="Q156" s="43"/>
      <c r="R156" s="29">
        <f t="shared" si="57"/>
        <v>0</v>
      </c>
      <c r="S156" s="54">
        <f t="shared" si="58"/>
        <v>0</v>
      </c>
      <c r="T156" s="11"/>
      <c r="U156" s="53"/>
      <c r="V156" s="29"/>
      <c r="W156" s="26">
        <f t="shared" si="60"/>
        <v>-1843</v>
      </c>
      <c r="X156" s="10"/>
      <c r="Y156" s="79"/>
      <c r="Z156" s="63"/>
      <c r="AA156" s="27"/>
      <c r="AB156" s="28"/>
      <c r="AC156" s="43"/>
      <c r="AD156" s="29">
        <f t="shared" si="62"/>
        <v>12</v>
      </c>
      <c r="AE156" s="29">
        <f t="shared" si="63"/>
        <v>12</v>
      </c>
      <c r="AG156" s="54"/>
      <c r="AI156" s="11"/>
    </row>
    <row r="157" spans="1:35" hidden="1" outlineLevel="1">
      <c r="A157" s="96">
        <v>45831</v>
      </c>
      <c r="B157" s="17" t="s">
        <v>18</v>
      </c>
      <c r="C157" s="23">
        <v>45</v>
      </c>
      <c r="D157" s="23">
        <f t="shared" si="42"/>
        <v>0</v>
      </c>
      <c r="E157" s="23">
        <f t="shared" si="54"/>
        <v>-1970</v>
      </c>
      <c r="G157" s="19"/>
      <c r="H157" s="62"/>
      <c r="I157" s="51">
        <f>IF(M159&lt;&gt;"",N159+O159,IF(M161&lt;&gt;"",N161+O161,IF(M409&lt;&gt;"",N409+O409,IF(M410&lt;&gt;"",N410+O410,IF(M411&lt;&gt;"",N411+O411,IF(M412&lt;&gt;"",N412+O412))))))</f>
        <v>0</v>
      </c>
      <c r="J157" s="18"/>
      <c r="K157" s="18">
        <f t="shared" si="55"/>
        <v>-76</v>
      </c>
      <c r="M157" s="203">
        <v>0</v>
      </c>
      <c r="N157" s="65">
        <f t="shared" si="56"/>
        <v>0</v>
      </c>
      <c r="O157" s="20"/>
      <c r="P157" s="21"/>
      <c r="Q157" s="57">
        <v>0</v>
      </c>
      <c r="R157" s="23">
        <f t="shared" si="57"/>
        <v>0</v>
      </c>
      <c r="S157" s="52">
        <f t="shared" si="58"/>
        <v>0</v>
      </c>
      <c r="U157" s="51">
        <f t="shared" si="59"/>
        <v>45</v>
      </c>
      <c r="V157" s="23"/>
      <c r="W157" s="18">
        <f t="shared" si="60"/>
        <v>-1888</v>
      </c>
      <c r="X157" s="2"/>
      <c r="Y157" s="78">
        <v>45</v>
      </c>
      <c r="Z157" s="62">
        <f t="shared" si="61"/>
        <v>42</v>
      </c>
      <c r="AA157" s="20"/>
      <c r="AB157" s="21"/>
      <c r="AC157" s="57">
        <v>42</v>
      </c>
      <c r="AD157" s="23">
        <f t="shared" si="62"/>
        <v>9</v>
      </c>
      <c r="AE157" s="23">
        <f t="shared" si="63"/>
        <v>9</v>
      </c>
      <c r="AG157" s="52"/>
    </row>
    <row r="158" spans="1:35" hidden="1" outlineLevel="1">
      <c r="A158" s="96">
        <v>45832</v>
      </c>
      <c r="B158" s="17" t="s">
        <v>19</v>
      </c>
      <c r="C158" s="23">
        <f>45-18</f>
        <v>27</v>
      </c>
      <c r="D158" s="23">
        <f t="shared" si="42"/>
        <v>0</v>
      </c>
      <c r="E158" s="23">
        <f t="shared" si="54"/>
        <v>-1997</v>
      </c>
      <c r="G158" s="19"/>
      <c r="H158" s="62"/>
      <c r="I158" s="51">
        <f>IF(M160&lt;&gt;"",N160+O160,IF(M162&lt;&gt;"",N162+O162,IF(M410&lt;&gt;"",N410+O410,IF(M411&lt;&gt;"",N411+O411,IF(M412&lt;&gt;"",N412+O412,IF(M413&lt;&gt;"",N413+O413))))))</f>
        <v>0</v>
      </c>
      <c r="J158" s="18"/>
      <c r="K158" s="18">
        <f t="shared" si="55"/>
        <v>-76</v>
      </c>
      <c r="M158" s="78">
        <v>0</v>
      </c>
      <c r="N158" s="65">
        <f t="shared" si="56"/>
        <v>0</v>
      </c>
      <c r="O158" s="20"/>
      <c r="P158" s="21"/>
      <c r="Q158" s="57">
        <v>0</v>
      </c>
      <c r="R158" s="23">
        <f t="shared" si="57"/>
        <v>0</v>
      </c>
      <c r="S158" s="52">
        <f t="shared" si="58"/>
        <v>0</v>
      </c>
      <c r="U158" s="51">
        <f t="shared" si="59"/>
        <v>27</v>
      </c>
      <c r="V158" s="23"/>
      <c r="W158" s="18">
        <f t="shared" si="60"/>
        <v>-1915</v>
      </c>
      <c r="X158" s="2"/>
      <c r="Y158" s="78">
        <v>36</v>
      </c>
      <c r="Z158" s="62">
        <f t="shared" si="61"/>
        <v>42</v>
      </c>
      <c r="AA158" s="20"/>
      <c r="AB158" s="21"/>
      <c r="AC158" s="57">
        <v>42</v>
      </c>
      <c r="AD158" s="23">
        <f t="shared" si="62"/>
        <v>15</v>
      </c>
      <c r="AE158" s="23">
        <f t="shared" si="63"/>
        <v>15</v>
      </c>
      <c r="AG158" s="52"/>
    </row>
    <row r="159" spans="1:35" hidden="1" outlineLevel="1">
      <c r="A159" s="96">
        <v>45833</v>
      </c>
      <c r="B159" s="17" t="s">
        <v>20</v>
      </c>
      <c r="C159" s="23">
        <f>48-9</f>
        <v>39</v>
      </c>
      <c r="D159" s="23">
        <f t="shared" si="42"/>
        <v>0</v>
      </c>
      <c r="E159" s="23">
        <f t="shared" si="54"/>
        <v>-2036</v>
      </c>
      <c r="G159" s="19"/>
      <c r="H159" s="62"/>
      <c r="I159" s="51">
        <f>IF(M161&lt;&gt;"",N161+O161,IF(M163&lt;&gt;"",N163+O163,IF(M411&lt;&gt;"",N411+O411,IF(M412&lt;&gt;"",N412+O412,IF(M413&lt;&gt;"",N413+O413,IF(M414&lt;&gt;"",N414+O414))))))</f>
        <v>0</v>
      </c>
      <c r="J159" s="18"/>
      <c r="K159" s="18">
        <f t="shared" si="55"/>
        <v>-76</v>
      </c>
      <c r="M159" s="203">
        <v>0</v>
      </c>
      <c r="N159" s="65">
        <f t="shared" si="56"/>
        <v>0</v>
      </c>
      <c r="O159" s="20"/>
      <c r="P159" s="21"/>
      <c r="Q159" s="57">
        <v>0</v>
      </c>
      <c r="R159" s="23">
        <f t="shared" si="57"/>
        <v>0</v>
      </c>
      <c r="S159" s="52">
        <f t="shared" si="58"/>
        <v>0</v>
      </c>
      <c r="U159" s="51">
        <f t="shared" si="59"/>
        <v>39</v>
      </c>
      <c r="V159" s="23"/>
      <c r="W159" s="18">
        <f t="shared" si="60"/>
        <v>-1954</v>
      </c>
      <c r="X159" s="2"/>
      <c r="Y159" s="78">
        <v>36</v>
      </c>
      <c r="Z159" s="62">
        <f t="shared" si="61"/>
        <v>45</v>
      </c>
      <c r="AA159" s="20"/>
      <c r="AB159" s="21"/>
      <c r="AC159" s="57">
        <v>45</v>
      </c>
      <c r="AD159" s="23">
        <f t="shared" si="62"/>
        <v>24</v>
      </c>
      <c r="AE159" s="23">
        <f t="shared" si="63"/>
        <v>24</v>
      </c>
      <c r="AG159" s="52"/>
    </row>
    <row r="160" spans="1:35" hidden="1" outlineLevel="1">
      <c r="A160" s="96">
        <v>45834</v>
      </c>
      <c r="B160" s="17" t="s">
        <v>14</v>
      </c>
      <c r="C160" s="23">
        <v>48</v>
      </c>
      <c r="D160" s="23">
        <f t="shared" si="42"/>
        <v>0</v>
      </c>
      <c r="E160" s="23">
        <f t="shared" si="54"/>
        <v>-2084</v>
      </c>
      <c r="G160" s="19"/>
      <c r="H160" s="62"/>
      <c r="I160" s="51">
        <f>IF(M162&lt;&gt;"",N162+O162,IF(M164&lt;&gt;"",N164+O164,IF(M412&lt;&gt;"",N412+O412,IF(M413&lt;&gt;"",N413+O413,IF(M414&lt;&gt;"",N414+O414,IF(M415&lt;&gt;"",N415+O415))))))</f>
        <v>0</v>
      </c>
      <c r="J160" s="18"/>
      <c r="K160" s="18">
        <f t="shared" si="55"/>
        <v>-76</v>
      </c>
      <c r="M160" s="203">
        <v>0</v>
      </c>
      <c r="N160" s="65">
        <f t="shared" si="56"/>
        <v>0</v>
      </c>
      <c r="O160" s="20"/>
      <c r="P160" s="21"/>
      <c r="Q160" s="57">
        <v>0</v>
      </c>
      <c r="R160" s="23">
        <f t="shared" si="57"/>
        <v>0</v>
      </c>
      <c r="S160" s="52">
        <f t="shared" si="58"/>
        <v>0</v>
      </c>
      <c r="U160" s="51">
        <f t="shared" si="59"/>
        <v>48</v>
      </c>
      <c r="V160" s="23"/>
      <c r="W160" s="18">
        <f t="shared" si="60"/>
        <v>-2002</v>
      </c>
      <c r="X160" s="2"/>
      <c r="Y160" s="204">
        <f>54-18</f>
        <v>36</v>
      </c>
      <c r="Z160" s="65">
        <f t="shared" si="61"/>
        <v>27</v>
      </c>
      <c r="AA160" s="20"/>
      <c r="AB160" s="21"/>
      <c r="AC160" s="57">
        <v>27</v>
      </c>
      <c r="AD160" s="23">
        <f t="shared" si="62"/>
        <v>15</v>
      </c>
      <c r="AE160" s="23">
        <f t="shared" si="63"/>
        <v>15</v>
      </c>
      <c r="AG160" s="52"/>
    </row>
    <row r="161" spans="1:43" hidden="1" outlineLevel="1">
      <c r="A161" s="96">
        <v>45835</v>
      </c>
      <c r="B161" s="17" t="s">
        <v>15</v>
      </c>
      <c r="C161" s="23">
        <v>48</v>
      </c>
      <c r="D161" s="23">
        <f t="shared" si="42"/>
        <v>0</v>
      </c>
      <c r="E161" s="23">
        <f t="shared" si="54"/>
        <v>-2132</v>
      </c>
      <c r="G161" s="19"/>
      <c r="H161" s="62"/>
      <c r="I161" s="51">
        <f>IF(M163&lt;&gt;"",N163+O163,IF(M165&lt;&gt;"",N165+O165,IF(M413&lt;&gt;"",N413+O413,IF(M414&lt;&gt;"",N414+O414,IF(M415&lt;&gt;"",N415+O415,IF(M416&lt;&gt;"",N416+O416))))))</f>
        <v>3</v>
      </c>
      <c r="J161" s="18"/>
      <c r="K161" s="18">
        <f t="shared" si="55"/>
        <v>-79</v>
      </c>
      <c r="M161" s="204">
        <f>6-6</f>
        <v>0</v>
      </c>
      <c r="N161" s="175">
        <f t="shared" si="56"/>
        <v>0</v>
      </c>
      <c r="O161" s="20"/>
      <c r="P161" s="21"/>
      <c r="Q161" s="57">
        <v>0</v>
      </c>
      <c r="R161" s="23">
        <f t="shared" si="57"/>
        <v>0</v>
      </c>
      <c r="S161" s="52">
        <f t="shared" si="58"/>
        <v>0</v>
      </c>
      <c r="U161" s="51">
        <f t="shared" si="59"/>
        <v>45</v>
      </c>
      <c r="V161" s="23"/>
      <c r="W161" s="18">
        <f t="shared" si="60"/>
        <v>-2047</v>
      </c>
      <c r="X161" s="2"/>
      <c r="Y161" s="204">
        <f>51-9</f>
        <v>42</v>
      </c>
      <c r="Z161" s="65">
        <f t="shared" si="61"/>
        <v>39</v>
      </c>
      <c r="AA161" s="20"/>
      <c r="AB161" s="21"/>
      <c r="AC161" s="57">
        <v>39</v>
      </c>
      <c r="AD161" s="23">
        <f t="shared" si="62"/>
        <v>12</v>
      </c>
      <c r="AE161" s="23">
        <f t="shared" si="63"/>
        <v>12</v>
      </c>
      <c r="AG161" s="52"/>
      <c r="AI161">
        <f>SUM(M157:M161,Y157:Y161)/COUNT(Y157:Y161)</f>
        <v>39</v>
      </c>
    </row>
    <row r="162" spans="1:43" s="12" customFormat="1" hidden="1" outlineLevel="1">
      <c r="A162" s="95">
        <v>45836</v>
      </c>
      <c r="B162" s="25" t="s">
        <v>16</v>
      </c>
      <c r="C162" s="29"/>
      <c r="D162" s="29">
        <f t="shared" si="42"/>
        <v>0</v>
      </c>
      <c r="E162" s="29">
        <f t="shared" si="54"/>
        <v>-2132</v>
      </c>
      <c r="G162" s="64"/>
      <c r="H162" s="63"/>
      <c r="I162" s="53"/>
      <c r="J162" s="26"/>
      <c r="K162" s="26">
        <f t="shared" si="55"/>
        <v>-79</v>
      </c>
      <c r="M162" s="300"/>
      <c r="N162" s="66"/>
      <c r="O162" s="27"/>
      <c r="P162" s="28"/>
      <c r="Q162" s="43"/>
      <c r="R162" s="29">
        <f t="shared" si="57"/>
        <v>0</v>
      </c>
      <c r="S162" s="54">
        <f t="shared" si="58"/>
        <v>0</v>
      </c>
      <c r="T162" s="11"/>
      <c r="U162" s="53"/>
      <c r="V162" s="29"/>
      <c r="W162" s="26">
        <f t="shared" si="60"/>
        <v>-2047</v>
      </c>
      <c r="X162" s="10"/>
      <c r="Y162" s="300"/>
      <c r="Z162" s="63"/>
      <c r="AA162" s="27"/>
      <c r="AB162" s="28"/>
      <c r="AC162" s="43"/>
      <c r="AD162" s="29">
        <f t="shared" si="62"/>
        <v>12</v>
      </c>
      <c r="AE162" s="29">
        <f t="shared" si="63"/>
        <v>12</v>
      </c>
      <c r="AG162" s="54"/>
      <c r="AI162" s="11"/>
    </row>
    <row r="163" spans="1:43" s="12" customFormat="1" hidden="1" outlineLevel="1" collapsed="1">
      <c r="A163" s="95">
        <v>45837</v>
      </c>
      <c r="B163" s="25" t="s">
        <v>17</v>
      </c>
      <c r="C163" s="29"/>
      <c r="D163" s="29">
        <f t="shared" si="42"/>
        <v>0</v>
      </c>
      <c r="E163" s="29">
        <f t="shared" si="54"/>
        <v>-2132</v>
      </c>
      <c r="G163" s="64"/>
      <c r="H163" s="63"/>
      <c r="I163" s="53"/>
      <c r="J163" s="26"/>
      <c r="K163" s="26">
        <f t="shared" si="55"/>
        <v>-79</v>
      </c>
      <c r="M163" s="300"/>
      <c r="N163" s="66"/>
      <c r="O163" s="27"/>
      <c r="P163" s="28"/>
      <c r="Q163" s="43"/>
      <c r="R163" s="29">
        <f t="shared" si="57"/>
        <v>0</v>
      </c>
      <c r="S163" s="54">
        <f t="shared" si="58"/>
        <v>0</v>
      </c>
      <c r="T163" s="11"/>
      <c r="U163" s="53"/>
      <c r="V163" s="29"/>
      <c r="W163" s="26">
        <f t="shared" si="60"/>
        <v>-2047</v>
      </c>
      <c r="X163" s="10"/>
      <c r="Y163" s="300"/>
      <c r="Z163" s="63"/>
      <c r="AA163" s="27"/>
      <c r="AB163" s="28"/>
      <c r="AC163" s="43"/>
      <c r="AD163" s="29">
        <f t="shared" si="62"/>
        <v>12</v>
      </c>
      <c r="AE163" s="29">
        <f t="shared" si="63"/>
        <v>12</v>
      </c>
      <c r="AG163" s="54"/>
      <c r="AI163" s="11"/>
    </row>
    <row r="164" spans="1:43" hidden="1" outlineLevel="1">
      <c r="A164" s="96">
        <v>45838</v>
      </c>
      <c r="B164" s="17" t="s">
        <v>18</v>
      </c>
      <c r="C164" s="23">
        <f>15+9</f>
        <v>24</v>
      </c>
      <c r="D164" s="23">
        <f t="shared" si="42"/>
        <v>0</v>
      </c>
      <c r="E164" s="23">
        <f t="shared" si="54"/>
        <v>-2156</v>
      </c>
      <c r="G164" s="19"/>
      <c r="H164" s="62"/>
      <c r="I164" s="51">
        <f>IF(M166&lt;&gt;"",N166+O166,IF(M168&lt;&gt;"",N168+O168,IF(M416&lt;&gt;"",N416+O416,IF(M417&lt;&gt;"",N417+O417,IF(M418&lt;&gt;"",N418+O418,IF(M419&lt;&gt;"",N419+O419))))))</f>
        <v>3</v>
      </c>
      <c r="J164" s="18"/>
      <c r="K164" s="18">
        <f t="shared" si="55"/>
        <v>-82</v>
      </c>
      <c r="M164" s="203">
        <v>0</v>
      </c>
      <c r="N164" s="65">
        <f t="shared" si="56"/>
        <v>0</v>
      </c>
      <c r="O164" s="20"/>
      <c r="P164" s="21"/>
      <c r="Q164" s="57">
        <v>0</v>
      </c>
      <c r="R164" s="23">
        <f t="shared" si="57"/>
        <v>0</v>
      </c>
      <c r="S164" s="52">
        <f t="shared" si="58"/>
        <v>0</v>
      </c>
      <c r="U164" s="51">
        <f t="shared" si="59"/>
        <v>21</v>
      </c>
      <c r="V164" s="23"/>
      <c r="W164" s="18">
        <f t="shared" si="60"/>
        <v>-2068</v>
      </c>
      <c r="X164" s="2"/>
      <c r="Y164" s="203">
        <v>45</v>
      </c>
      <c r="Z164" s="62">
        <f t="shared" si="61"/>
        <v>48</v>
      </c>
      <c r="AA164" s="20"/>
      <c r="AB164" s="21"/>
      <c r="AC164" s="57">
        <v>48</v>
      </c>
      <c r="AD164" s="23">
        <f t="shared" si="62"/>
        <v>15</v>
      </c>
      <c r="AE164" s="23">
        <f t="shared" si="63"/>
        <v>15</v>
      </c>
      <c r="AG164" s="52"/>
    </row>
    <row r="165" spans="1:43" hidden="1" outlineLevel="1">
      <c r="A165" s="96">
        <v>45839</v>
      </c>
      <c r="B165" s="17" t="s">
        <v>19</v>
      </c>
      <c r="C165" s="23">
        <f>18+9</f>
        <v>27</v>
      </c>
      <c r="D165" s="23">
        <f t="shared" si="42"/>
        <v>0</v>
      </c>
      <c r="E165" s="23">
        <f t="shared" si="54"/>
        <v>-2183</v>
      </c>
      <c r="G165" s="19"/>
      <c r="H165" s="62"/>
      <c r="I165" s="51">
        <f>IF(M167&lt;&gt;"",N167+O167,IF(M169&lt;&gt;"",N169+O169,IF(M417&lt;&gt;"",N417+O417,IF(M418&lt;&gt;"",N418+O418,IF(M419&lt;&gt;"",N419+O419,IF(M420&lt;&gt;"",N420+O420))))))</f>
        <v>0</v>
      </c>
      <c r="J165" s="18"/>
      <c r="K165" s="18">
        <f t="shared" si="55"/>
        <v>-82</v>
      </c>
      <c r="M165" s="203">
        <v>3</v>
      </c>
      <c r="N165" s="65">
        <f t="shared" si="56"/>
        <v>3</v>
      </c>
      <c r="O165" s="20"/>
      <c r="P165" s="21"/>
      <c r="Q165" s="57">
        <v>3</v>
      </c>
      <c r="R165" s="23">
        <f t="shared" si="57"/>
        <v>0</v>
      </c>
      <c r="S165" s="52">
        <f t="shared" si="58"/>
        <v>0</v>
      </c>
      <c r="U165" s="51">
        <f t="shared" si="59"/>
        <v>27</v>
      </c>
      <c r="V165" s="23"/>
      <c r="W165" s="18">
        <f t="shared" si="60"/>
        <v>-2095</v>
      </c>
      <c r="X165" s="2"/>
      <c r="Y165" s="203">
        <v>12</v>
      </c>
      <c r="Z165" s="62">
        <f t="shared" si="61"/>
        <v>45</v>
      </c>
      <c r="AA165" s="20"/>
      <c r="AB165" s="21"/>
      <c r="AC165" s="57">
        <v>45</v>
      </c>
      <c r="AD165" s="23">
        <f t="shared" si="62"/>
        <v>48</v>
      </c>
      <c r="AE165" s="23">
        <f t="shared" si="63"/>
        <v>48</v>
      </c>
      <c r="AG165" s="52"/>
    </row>
    <row r="166" spans="1:43" hidden="1" outlineLevel="1">
      <c r="A166" s="96">
        <v>45840</v>
      </c>
      <c r="B166" s="17" t="s">
        <v>20</v>
      </c>
      <c r="C166" s="23">
        <v>0</v>
      </c>
      <c r="D166" s="23">
        <f t="shared" si="42"/>
        <v>0</v>
      </c>
      <c r="E166" s="23">
        <f t="shared" si="54"/>
        <v>-2183</v>
      </c>
      <c r="G166" s="19"/>
      <c r="H166" s="62"/>
      <c r="I166" s="51">
        <f>IF(M168&lt;&gt;"",N168+O168,IF(M170&lt;&gt;"",N170+O170,IF(M418&lt;&gt;"",N418+O418,IF(M419&lt;&gt;"",N419+O419,IF(M420&lt;&gt;"",N420+O420,IF(M421&lt;&gt;"",N421+O421))))))</f>
        <v>0</v>
      </c>
      <c r="J166" s="18"/>
      <c r="K166" s="18">
        <f t="shared" si="55"/>
        <v>-82</v>
      </c>
      <c r="M166" s="203">
        <v>3</v>
      </c>
      <c r="N166" s="65">
        <f t="shared" si="56"/>
        <v>3</v>
      </c>
      <c r="O166" s="20"/>
      <c r="P166" s="21"/>
      <c r="Q166" s="57">
        <v>3</v>
      </c>
      <c r="R166" s="23">
        <f t="shared" si="57"/>
        <v>0</v>
      </c>
      <c r="S166" s="52">
        <f t="shared" si="58"/>
        <v>0</v>
      </c>
      <c r="U166" s="51">
        <f t="shared" si="59"/>
        <v>0</v>
      </c>
      <c r="V166" s="23"/>
      <c r="W166" s="18">
        <f t="shared" si="60"/>
        <v>-2095</v>
      </c>
      <c r="X166" s="2"/>
      <c r="Y166" s="78">
        <v>33</v>
      </c>
      <c r="Z166" s="62">
        <f t="shared" si="61"/>
        <v>21</v>
      </c>
      <c r="AA166" s="20"/>
      <c r="AB166" s="21"/>
      <c r="AC166" s="57">
        <v>21</v>
      </c>
      <c r="AD166" s="23">
        <f t="shared" si="62"/>
        <v>36</v>
      </c>
      <c r="AE166" s="23">
        <f t="shared" si="63"/>
        <v>36</v>
      </c>
      <c r="AG166" s="52"/>
    </row>
    <row r="167" spans="1:43" hidden="1" outlineLevel="1">
      <c r="A167" s="96">
        <v>45841</v>
      </c>
      <c r="B167" s="17" t="s">
        <v>14</v>
      </c>
      <c r="C167" s="23">
        <v>21</v>
      </c>
      <c r="D167" s="23">
        <f t="shared" si="42"/>
        <v>0</v>
      </c>
      <c r="E167" s="23">
        <f t="shared" si="54"/>
        <v>-2204</v>
      </c>
      <c r="G167" s="19"/>
      <c r="H167" s="62"/>
      <c r="I167" s="51">
        <f>IF(M169&lt;&gt;"",N169+O169,IF(M171&lt;&gt;"",N171+O171,IF(M419&lt;&gt;"",N419+O419,IF(M420&lt;&gt;"",N420+O420,IF(M421&lt;&gt;"",N421+O421,IF(M422&lt;&gt;"",N422+O422))))))</f>
        <v>3</v>
      </c>
      <c r="J167" s="18"/>
      <c r="K167" s="18">
        <f t="shared" si="55"/>
        <v>-85</v>
      </c>
      <c r="M167" s="203">
        <v>0</v>
      </c>
      <c r="N167" s="65">
        <f t="shared" si="56"/>
        <v>0</v>
      </c>
      <c r="O167" s="20"/>
      <c r="P167" s="21"/>
      <c r="Q167" s="57">
        <v>0</v>
      </c>
      <c r="R167" s="23">
        <f t="shared" si="57"/>
        <v>0</v>
      </c>
      <c r="S167" s="52">
        <f t="shared" si="58"/>
        <v>0</v>
      </c>
      <c r="U167" s="51">
        <f t="shared" si="59"/>
        <v>18</v>
      </c>
      <c r="V167" s="23"/>
      <c r="W167" s="18">
        <f t="shared" si="60"/>
        <v>-2113</v>
      </c>
      <c r="X167" s="2"/>
      <c r="Y167" s="78">
        <v>27</v>
      </c>
      <c r="Z167" s="62">
        <f t="shared" si="61"/>
        <v>27</v>
      </c>
      <c r="AA167" s="20"/>
      <c r="AB167" s="21"/>
      <c r="AC167" s="57">
        <v>27</v>
      </c>
      <c r="AD167" s="23">
        <f t="shared" si="62"/>
        <v>36</v>
      </c>
      <c r="AE167" s="23">
        <f t="shared" si="63"/>
        <v>36</v>
      </c>
      <c r="AG167" s="52"/>
    </row>
    <row r="168" spans="1:43" s="12" customFormat="1" hidden="1" outlineLevel="1">
      <c r="A168" s="96">
        <v>45842</v>
      </c>
      <c r="B168" s="17" t="s">
        <v>15</v>
      </c>
      <c r="C168" s="23">
        <v>21</v>
      </c>
      <c r="D168" s="23">
        <f t="shared" ref="D168:D323" si="64">J168+V168</f>
        <v>0</v>
      </c>
      <c r="E168" s="23">
        <f t="shared" si="54"/>
        <v>-2225</v>
      </c>
      <c r="F168" s="1"/>
      <c r="G168" s="19"/>
      <c r="H168" s="62"/>
      <c r="I168" s="51">
        <f>IF(M170&lt;&gt;"",N170+O170,IF(M172&lt;&gt;"",N172+O172,IF(M420&lt;&gt;"",N420+O420,IF(M421&lt;&gt;"",N421+O421,IF(M422&lt;&gt;"",N422+O422,IF(M423&lt;&gt;"",N423+O423))))))</f>
        <v>0</v>
      </c>
      <c r="J168" s="18"/>
      <c r="K168" s="18">
        <f t="shared" si="55"/>
        <v>-85</v>
      </c>
      <c r="L168" s="1"/>
      <c r="M168" s="203">
        <v>0</v>
      </c>
      <c r="N168" s="65">
        <f t="shared" si="56"/>
        <v>0</v>
      </c>
      <c r="O168" s="20"/>
      <c r="P168" s="21"/>
      <c r="Q168" s="42"/>
      <c r="R168" s="23">
        <f t="shared" si="57"/>
        <v>0</v>
      </c>
      <c r="S168" s="52">
        <f t="shared" si="58"/>
        <v>0</v>
      </c>
      <c r="T168"/>
      <c r="U168" s="51">
        <f t="shared" si="59"/>
        <v>21</v>
      </c>
      <c r="V168" s="23"/>
      <c r="W168" s="18">
        <f t="shared" si="60"/>
        <v>-2134</v>
      </c>
      <c r="X168" s="2"/>
      <c r="Y168" s="78">
        <v>0</v>
      </c>
      <c r="Z168" s="62">
        <f t="shared" si="61"/>
        <v>0</v>
      </c>
      <c r="AA168" s="20"/>
      <c r="AB168" s="21"/>
      <c r="AC168" s="42"/>
      <c r="AD168" s="23">
        <f t="shared" si="62"/>
        <v>36</v>
      </c>
      <c r="AE168" s="23">
        <f t="shared" si="63"/>
        <v>36</v>
      </c>
      <c r="AF168" s="1"/>
      <c r="AG168" s="52"/>
      <c r="AH168" s="1"/>
      <c r="AI168">
        <f>SUM(M164:M168,Y164:Y168)/COUNT(Y164:Y168)</f>
        <v>24.6</v>
      </c>
      <c r="AJ168" s="1"/>
      <c r="AK168" s="1"/>
      <c r="AL168" s="1"/>
      <c r="AM168" s="1"/>
      <c r="AN168" s="1"/>
      <c r="AO168" s="1"/>
      <c r="AP168" s="1"/>
      <c r="AQ168" s="1"/>
    </row>
    <row r="169" spans="1:43" s="12" customFormat="1" hidden="1" outlineLevel="1">
      <c r="A169" s="95">
        <v>45843</v>
      </c>
      <c r="B169" s="25" t="s">
        <v>16</v>
      </c>
      <c r="C169" s="29"/>
      <c r="D169" s="29">
        <f t="shared" si="64"/>
        <v>0</v>
      </c>
      <c r="E169" s="29">
        <f t="shared" si="54"/>
        <v>-2225</v>
      </c>
      <c r="G169" s="64"/>
      <c r="H169" s="63"/>
      <c r="I169" s="53"/>
      <c r="J169" s="26"/>
      <c r="K169" s="26">
        <f t="shared" si="55"/>
        <v>-85</v>
      </c>
      <c r="M169" s="300"/>
      <c r="N169" s="66"/>
      <c r="O169" s="27"/>
      <c r="P169" s="28"/>
      <c r="Q169" s="43"/>
      <c r="R169" s="29">
        <f t="shared" si="57"/>
        <v>0</v>
      </c>
      <c r="S169" s="54">
        <f t="shared" si="58"/>
        <v>0</v>
      </c>
      <c r="T169" s="11"/>
      <c r="U169" s="53"/>
      <c r="V169" s="29"/>
      <c r="W169" s="26">
        <f t="shared" si="60"/>
        <v>-2134</v>
      </c>
      <c r="X169" s="10"/>
      <c r="Y169" s="79"/>
      <c r="Z169" s="63"/>
      <c r="AA169" s="27"/>
      <c r="AB169" s="28"/>
      <c r="AC169" s="43"/>
      <c r="AD169" s="29">
        <f t="shared" si="62"/>
        <v>36</v>
      </c>
      <c r="AE169" s="29">
        <f t="shared" si="63"/>
        <v>36</v>
      </c>
      <c r="AG169" s="54"/>
      <c r="AI169" s="11"/>
    </row>
    <row r="170" spans="1:43" s="12" customFormat="1" hidden="1" outlineLevel="1" collapsed="1">
      <c r="A170" s="95">
        <v>45844</v>
      </c>
      <c r="B170" s="25" t="s">
        <v>17</v>
      </c>
      <c r="C170" s="29"/>
      <c r="D170" s="29">
        <f t="shared" ref="D170:D201" si="65">J170+V170</f>
        <v>0</v>
      </c>
      <c r="E170" s="29">
        <f t="shared" ref="E170:E201" si="66">E169-C170+D170</f>
        <v>-2225</v>
      </c>
      <c r="G170" s="64"/>
      <c r="H170" s="63"/>
      <c r="I170" s="53"/>
      <c r="J170" s="26"/>
      <c r="K170" s="26">
        <f t="shared" ref="K170:K201" si="67">J170-I170+K169</f>
        <v>-85</v>
      </c>
      <c r="M170" s="300"/>
      <c r="N170" s="66"/>
      <c r="O170" s="27"/>
      <c r="P170" s="28"/>
      <c r="Q170" s="43"/>
      <c r="R170" s="29">
        <f t="shared" ref="R170:R201" si="68">R169-M170+Q170</f>
        <v>0</v>
      </c>
      <c r="S170" s="54">
        <f t="shared" ref="S170:S201" si="69">S169-M170+N170</f>
        <v>0</v>
      </c>
      <c r="T170" s="11"/>
      <c r="U170" s="53"/>
      <c r="V170" s="29"/>
      <c r="W170" s="26">
        <f t="shared" ref="W170:W201" si="70">V170-U170+W169</f>
        <v>-2134</v>
      </c>
      <c r="X170" s="10"/>
      <c r="Y170" s="79"/>
      <c r="Z170" s="63"/>
      <c r="AA170" s="27"/>
      <c r="AB170" s="28"/>
      <c r="AC170" s="43"/>
      <c r="AD170" s="29">
        <f t="shared" ref="AD170:AD201" si="71">AD169-Y170+AC170</f>
        <v>36</v>
      </c>
      <c r="AE170" s="29">
        <f t="shared" ref="AE170:AE201" si="72">AE169-Y170+Z170</f>
        <v>36</v>
      </c>
      <c r="AG170" s="54"/>
      <c r="AI170" s="11"/>
    </row>
    <row r="171" spans="1:43" hidden="1" outlineLevel="1">
      <c r="A171" s="96">
        <v>45845</v>
      </c>
      <c r="B171" s="17" t="s">
        <v>18</v>
      </c>
      <c r="C171" s="23">
        <v>48</v>
      </c>
      <c r="D171" s="23">
        <f t="shared" si="65"/>
        <v>0</v>
      </c>
      <c r="E171" s="23">
        <f t="shared" si="66"/>
        <v>-2273</v>
      </c>
      <c r="G171" s="19"/>
      <c r="H171" s="62"/>
      <c r="I171" s="51">
        <f>IF(M173&lt;&gt;"",N173+O173,IF(M175&lt;&gt;"",N175+O175,IF(M423&lt;&gt;"",N423+O423,IF(M424&lt;&gt;"",N424+O424,IF(M425&lt;&gt;"",N425+O425,IF(M426&lt;&gt;"",N426+O426))))))</f>
        <v>3</v>
      </c>
      <c r="J171" s="18"/>
      <c r="K171" s="18">
        <f t="shared" si="67"/>
        <v>-88</v>
      </c>
      <c r="M171" s="203">
        <v>3</v>
      </c>
      <c r="N171" s="65">
        <f t="shared" ref="N171:N175" si="73">M171</f>
        <v>3</v>
      </c>
      <c r="O171" s="20"/>
      <c r="P171" s="21"/>
      <c r="Q171" s="57">
        <v>3</v>
      </c>
      <c r="R171" s="23">
        <f t="shared" si="68"/>
        <v>0</v>
      </c>
      <c r="S171" s="52">
        <f t="shared" si="69"/>
        <v>0</v>
      </c>
      <c r="U171" s="51">
        <f t="shared" ref="U171:U201" si="74">C171-I171</f>
        <v>45</v>
      </c>
      <c r="V171" s="23"/>
      <c r="W171" s="18">
        <f t="shared" si="70"/>
        <v>-2179</v>
      </c>
      <c r="X171" s="2"/>
      <c r="Y171" s="78">
        <v>33</v>
      </c>
      <c r="Z171" s="62">
        <f t="shared" ref="Z171:Z201" si="75">IF(U169&lt;&gt;"",U169+AA171,IF(U167&lt;&gt;"",U167+AA171,IF(U166&lt;&gt;"",U166+AA171,IF(U165&lt;&gt;"",U165+AA171,IF(U164&lt;&gt;"",U164+AA171,IF(U163&lt;&gt;"",U163+AA171))))))</f>
        <v>18</v>
      </c>
      <c r="AA171" s="20"/>
      <c r="AB171" s="21"/>
      <c r="AC171" s="57">
        <v>18</v>
      </c>
      <c r="AD171" s="23">
        <f t="shared" si="71"/>
        <v>21</v>
      </c>
      <c r="AE171" s="23">
        <f t="shared" si="72"/>
        <v>21</v>
      </c>
      <c r="AG171" s="52"/>
    </row>
    <row r="172" spans="1:43" hidden="1" outlineLevel="1">
      <c r="A172" s="96">
        <v>45846</v>
      </c>
      <c r="B172" s="17" t="s">
        <v>19</v>
      </c>
      <c r="C172" s="23">
        <v>45</v>
      </c>
      <c r="D172" s="23">
        <f t="shared" si="65"/>
        <v>0</v>
      </c>
      <c r="E172" s="23">
        <f t="shared" si="66"/>
        <v>-2318</v>
      </c>
      <c r="G172" s="19"/>
      <c r="H172" s="62"/>
      <c r="I172" s="51">
        <f>IF(M174&lt;&gt;"",N174+O174,IF(M176&lt;&gt;"",N176+O176,IF(M424&lt;&gt;"",N424+O424,IF(M425&lt;&gt;"",N425+O425,IF(M426&lt;&gt;"",N426+O426,IF(M427&lt;&gt;"",N427+O427))))))</f>
        <v>0</v>
      </c>
      <c r="J172" s="18"/>
      <c r="K172" s="18">
        <f t="shared" si="67"/>
        <v>-88</v>
      </c>
      <c r="M172" s="203">
        <v>0</v>
      </c>
      <c r="N172" s="65">
        <f t="shared" si="73"/>
        <v>0</v>
      </c>
      <c r="O172" s="20"/>
      <c r="P172" s="21"/>
      <c r="Q172" s="57">
        <v>0</v>
      </c>
      <c r="R172" s="23">
        <f t="shared" si="68"/>
        <v>0</v>
      </c>
      <c r="S172" s="52">
        <f t="shared" si="69"/>
        <v>0</v>
      </c>
      <c r="U172" s="51">
        <f t="shared" si="74"/>
        <v>45</v>
      </c>
      <c r="V172" s="23"/>
      <c r="W172" s="18">
        <f t="shared" si="70"/>
        <v>-2224</v>
      </c>
      <c r="X172" s="2"/>
      <c r="Y172" s="78">
        <v>42</v>
      </c>
      <c r="Z172" s="62">
        <f t="shared" si="75"/>
        <v>21</v>
      </c>
      <c r="AA172" s="20"/>
      <c r="AB172" s="21"/>
      <c r="AC172" s="57">
        <v>21</v>
      </c>
      <c r="AD172" s="23">
        <f t="shared" si="71"/>
        <v>0</v>
      </c>
      <c r="AE172" s="23">
        <f t="shared" si="72"/>
        <v>0</v>
      </c>
      <c r="AG172" s="52"/>
    </row>
    <row r="173" spans="1:43" hidden="1" outlineLevel="1">
      <c r="A173" s="96">
        <v>45847</v>
      </c>
      <c r="B173" s="17" t="s">
        <v>20</v>
      </c>
      <c r="C173" s="23">
        <v>42</v>
      </c>
      <c r="D173" s="23">
        <f t="shared" si="65"/>
        <v>0</v>
      </c>
      <c r="E173" s="23">
        <f t="shared" si="66"/>
        <v>-2360</v>
      </c>
      <c r="G173" s="19"/>
      <c r="H173" s="62"/>
      <c r="I173" s="51">
        <f>IF(M175&lt;&gt;"",N175+O175,IF(M177&lt;&gt;"",N177+O177,IF(M425&lt;&gt;"",N425+O425,IF(M426&lt;&gt;"",N426+O426,IF(M427&lt;&gt;"",N427+O427,IF(M428&lt;&gt;"",N428+O428))))))</f>
        <v>0</v>
      </c>
      <c r="J173" s="18"/>
      <c r="K173" s="18">
        <f t="shared" si="67"/>
        <v>-88</v>
      </c>
      <c r="M173" s="203">
        <v>3</v>
      </c>
      <c r="N173" s="65">
        <f t="shared" si="73"/>
        <v>3</v>
      </c>
      <c r="O173" s="20"/>
      <c r="P173" s="21"/>
      <c r="Q173" s="57">
        <v>3</v>
      </c>
      <c r="R173" s="23">
        <f t="shared" si="68"/>
        <v>0</v>
      </c>
      <c r="S173" s="52">
        <f t="shared" si="69"/>
        <v>0</v>
      </c>
      <c r="U173" s="51">
        <f t="shared" si="74"/>
        <v>42</v>
      </c>
      <c r="V173" s="23"/>
      <c r="W173" s="18">
        <f t="shared" si="70"/>
        <v>-2266</v>
      </c>
      <c r="X173" s="2"/>
      <c r="Y173" s="78">
        <v>42</v>
      </c>
      <c r="Z173" s="62">
        <f t="shared" si="75"/>
        <v>45</v>
      </c>
      <c r="AA173" s="20"/>
      <c r="AB173" s="21"/>
      <c r="AC173" s="57">
        <v>45</v>
      </c>
      <c r="AD173" s="23">
        <f t="shared" si="71"/>
        <v>3</v>
      </c>
      <c r="AE173" s="23">
        <f t="shared" si="72"/>
        <v>3</v>
      </c>
      <c r="AG173" s="52"/>
    </row>
    <row r="174" spans="1:43" hidden="1" outlineLevel="1">
      <c r="A174" s="96">
        <v>45848</v>
      </c>
      <c r="B174" s="17" t="s">
        <v>14</v>
      </c>
      <c r="C174" s="23">
        <v>45</v>
      </c>
      <c r="D174" s="23">
        <f t="shared" si="65"/>
        <v>0</v>
      </c>
      <c r="E174" s="23">
        <f t="shared" si="66"/>
        <v>-2405</v>
      </c>
      <c r="G174" s="19"/>
      <c r="H174" s="62"/>
      <c r="I174" s="51">
        <f>IF(M176&lt;&gt;"",N176+O176,IF(M178&lt;&gt;"",N178+O178,IF(M426&lt;&gt;"",N426+O426,IF(M427&lt;&gt;"",N427+O427,IF(M428&lt;&gt;"",N428+O428,IF(M429&lt;&gt;"",N429+O429))))))</f>
        <v>3</v>
      </c>
      <c r="J174" s="18"/>
      <c r="K174" s="18">
        <f t="shared" si="67"/>
        <v>-91</v>
      </c>
      <c r="M174" s="203">
        <v>0</v>
      </c>
      <c r="N174" s="65">
        <f t="shared" si="73"/>
        <v>0</v>
      </c>
      <c r="O174" s="20"/>
      <c r="P174" s="21"/>
      <c r="Q174" s="57">
        <v>0</v>
      </c>
      <c r="R174" s="23">
        <f t="shared" si="68"/>
        <v>0</v>
      </c>
      <c r="S174" s="52">
        <f t="shared" si="69"/>
        <v>0</v>
      </c>
      <c r="U174" s="51">
        <f t="shared" si="74"/>
        <v>42</v>
      </c>
      <c r="V174" s="23"/>
      <c r="W174" s="18">
        <f t="shared" si="70"/>
        <v>-2308</v>
      </c>
      <c r="X174" s="2"/>
      <c r="Y174" s="78">
        <v>39</v>
      </c>
      <c r="Z174" s="62">
        <f t="shared" si="75"/>
        <v>45</v>
      </c>
      <c r="AA174" s="20"/>
      <c r="AB174" s="21"/>
      <c r="AC174" s="57">
        <v>45</v>
      </c>
      <c r="AD174" s="23">
        <f t="shared" si="71"/>
        <v>9</v>
      </c>
      <c r="AE174" s="23">
        <f t="shared" si="72"/>
        <v>9</v>
      </c>
      <c r="AG174" s="52"/>
    </row>
    <row r="175" spans="1:43" hidden="1" outlineLevel="1">
      <c r="A175" s="96">
        <v>45849</v>
      </c>
      <c r="B175" s="17" t="s">
        <v>15</v>
      </c>
      <c r="C175" s="23">
        <v>42</v>
      </c>
      <c r="D175" s="23">
        <f t="shared" si="65"/>
        <v>0</v>
      </c>
      <c r="E175" s="23">
        <f t="shared" si="66"/>
        <v>-2447</v>
      </c>
      <c r="G175" s="19"/>
      <c r="H175" s="62"/>
      <c r="I175" s="51">
        <f>IF(M177&lt;&gt;"",N177+O177,IF(M179&lt;&gt;"",N179+O179,IF(M427&lt;&gt;"",N427+O427,IF(M428&lt;&gt;"",N428+O428,IF(M429&lt;&gt;"",N429+O429,IF(M430&lt;&gt;"",N430+O430))))))</f>
        <v>0</v>
      </c>
      <c r="J175" s="18"/>
      <c r="K175" s="18">
        <f t="shared" si="67"/>
        <v>-91</v>
      </c>
      <c r="M175" s="203">
        <v>0</v>
      </c>
      <c r="N175" s="65">
        <f t="shared" si="73"/>
        <v>0</v>
      </c>
      <c r="O175" s="20"/>
      <c r="P175" s="21"/>
      <c r="Q175" s="57">
        <v>0</v>
      </c>
      <c r="R175" s="23">
        <f t="shared" si="68"/>
        <v>0</v>
      </c>
      <c r="S175" s="52">
        <f t="shared" si="69"/>
        <v>0</v>
      </c>
      <c r="U175" s="51">
        <f t="shared" si="74"/>
        <v>42</v>
      </c>
      <c r="V175" s="23"/>
      <c r="W175" s="18">
        <f t="shared" si="70"/>
        <v>-2350</v>
      </c>
      <c r="X175" s="2"/>
      <c r="Y175" s="78">
        <v>42</v>
      </c>
      <c r="Z175" s="62">
        <f t="shared" si="75"/>
        <v>42</v>
      </c>
      <c r="AA175" s="20"/>
      <c r="AB175" s="21"/>
      <c r="AC175" s="57">
        <v>42</v>
      </c>
      <c r="AD175" s="23">
        <f t="shared" si="71"/>
        <v>9</v>
      </c>
      <c r="AE175" s="23">
        <f t="shared" si="72"/>
        <v>9</v>
      </c>
      <c r="AG175" s="52"/>
      <c r="AI175">
        <f>SUM(M171:M175,Y171:Y175)/COUNT(Y171:Y175)</f>
        <v>40.799999999999997</v>
      </c>
    </row>
    <row r="176" spans="1:43" s="12" customFormat="1" hidden="1" outlineLevel="1">
      <c r="A176" s="95">
        <v>45850</v>
      </c>
      <c r="B176" s="25" t="s">
        <v>16</v>
      </c>
      <c r="C176" s="29"/>
      <c r="D176" s="29">
        <f t="shared" si="65"/>
        <v>0</v>
      </c>
      <c r="E176" s="29">
        <f t="shared" si="66"/>
        <v>-2447</v>
      </c>
      <c r="G176" s="64"/>
      <c r="H176" s="63"/>
      <c r="I176" s="53"/>
      <c r="J176" s="26"/>
      <c r="K176" s="26">
        <f t="shared" si="67"/>
        <v>-91</v>
      </c>
      <c r="M176" s="300"/>
      <c r="N176" s="66"/>
      <c r="O176" s="27"/>
      <c r="P176" s="28"/>
      <c r="Q176" s="43"/>
      <c r="R176" s="29">
        <f t="shared" si="68"/>
        <v>0</v>
      </c>
      <c r="S176" s="54">
        <f t="shared" si="69"/>
        <v>0</v>
      </c>
      <c r="T176" s="11"/>
      <c r="U176" s="53"/>
      <c r="V176" s="29"/>
      <c r="W176" s="26">
        <f t="shared" si="70"/>
        <v>-2350</v>
      </c>
      <c r="X176" s="10"/>
      <c r="Y176" s="79"/>
      <c r="Z176" s="63"/>
      <c r="AA176" s="27"/>
      <c r="AB176" s="28"/>
      <c r="AC176" s="43"/>
      <c r="AD176" s="29">
        <f t="shared" si="71"/>
        <v>9</v>
      </c>
      <c r="AE176" s="29">
        <f t="shared" si="72"/>
        <v>9</v>
      </c>
      <c r="AG176" s="54"/>
      <c r="AI176" s="11"/>
    </row>
    <row r="177" spans="1:35" s="12" customFormat="1" hidden="1" outlineLevel="1" collapsed="1">
      <c r="A177" s="95">
        <v>45851</v>
      </c>
      <c r="B177" s="25" t="s">
        <v>17</v>
      </c>
      <c r="C177" s="29"/>
      <c r="D177" s="29">
        <f t="shared" si="65"/>
        <v>0</v>
      </c>
      <c r="E177" s="29">
        <f t="shared" si="66"/>
        <v>-2447</v>
      </c>
      <c r="G177" s="64"/>
      <c r="H177" s="63"/>
      <c r="I177" s="53"/>
      <c r="J177" s="26"/>
      <c r="K177" s="26">
        <f t="shared" si="67"/>
        <v>-91</v>
      </c>
      <c r="M177" s="300"/>
      <c r="N177" s="66"/>
      <c r="O177" s="27"/>
      <c r="P177" s="28"/>
      <c r="Q177" s="43"/>
      <c r="R177" s="29">
        <f t="shared" si="68"/>
        <v>0</v>
      </c>
      <c r="S177" s="54">
        <f t="shared" si="69"/>
        <v>0</v>
      </c>
      <c r="T177" s="11"/>
      <c r="U177" s="53"/>
      <c r="V177" s="29"/>
      <c r="W177" s="26">
        <f t="shared" si="70"/>
        <v>-2350</v>
      </c>
      <c r="X177" s="10"/>
      <c r="Y177" s="79"/>
      <c r="Z177" s="63"/>
      <c r="AA177" s="27"/>
      <c r="AB177" s="28"/>
      <c r="AC177" s="43"/>
      <c r="AD177" s="29">
        <f t="shared" si="71"/>
        <v>9</v>
      </c>
      <c r="AE177" s="29">
        <f t="shared" si="72"/>
        <v>9</v>
      </c>
      <c r="AG177" s="54"/>
      <c r="AI177" s="11"/>
    </row>
    <row r="178" spans="1:35" hidden="1" outlineLevel="1">
      <c r="A178" s="96">
        <v>45852</v>
      </c>
      <c r="B178" s="17" t="s">
        <v>18</v>
      </c>
      <c r="C178" s="23">
        <v>45</v>
      </c>
      <c r="D178" s="23">
        <f t="shared" si="65"/>
        <v>0</v>
      </c>
      <c r="E178" s="23">
        <f t="shared" si="66"/>
        <v>-2492</v>
      </c>
      <c r="G178" s="19"/>
      <c r="H178" s="62"/>
      <c r="I178" s="51">
        <f>IF(M180&lt;&gt;"",N180+O180,IF(M182&lt;&gt;"",N182+O182,IF(M430&lt;&gt;"",N430+O430,IF(M431&lt;&gt;"",N431+O431,IF(M432&lt;&gt;"",N432+O432,IF(M433&lt;&gt;"",N433+O433))))))</f>
        <v>0</v>
      </c>
      <c r="J178" s="18"/>
      <c r="K178" s="18">
        <f t="shared" si="67"/>
        <v>-91</v>
      </c>
      <c r="M178" s="203">
        <v>3</v>
      </c>
      <c r="N178" s="65">
        <f t="shared" ref="N178:N182" si="76">M178</f>
        <v>3</v>
      </c>
      <c r="O178" s="20"/>
      <c r="P178" s="21"/>
      <c r="Q178" s="57">
        <v>3</v>
      </c>
      <c r="R178" s="23">
        <f t="shared" si="68"/>
        <v>0</v>
      </c>
      <c r="S178" s="52">
        <f t="shared" si="69"/>
        <v>0</v>
      </c>
      <c r="U178" s="51">
        <f t="shared" si="74"/>
        <v>45</v>
      </c>
      <c r="V178" s="23"/>
      <c r="W178" s="18">
        <f t="shared" si="70"/>
        <v>-2395</v>
      </c>
      <c r="X178" s="2"/>
      <c r="Y178" s="78">
        <v>42</v>
      </c>
      <c r="Z178" s="62">
        <f t="shared" si="75"/>
        <v>42</v>
      </c>
      <c r="AA178" s="20"/>
      <c r="AB178" s="21"/>
      <c r="AC178" s="57">
        <v>42</v>
      </c>
      <c r="AD178" s="23">
        <f t="shared" si="71"/>
        <v>9</v>
      </c>
      <c r="AE178" s="23">
        <f t="shared" si="72"/>
        <v>9</v>
      </c>
      <c r="AG178" s="52"/>
    </row>
    <row r="179" spans="1:35" hidden="1" outlineLevel="1">
      <c r="A179" s="96">
        <v>45853</v>
      </c>
      <c r="B179" s="17" t="s">
        <v>19</v>
      </c>
      <c r="C179" s="23">
        <v>45</v>
      </c>
      <c r="D179" s="23">
        <f t="shared" si="65"/>
        <v>0</v>
      </c>
      <c r="E179" s="23">
        <f t="shared" si="66"/>
        <v>-2537</v>
      </c>
      <c r="G179" s="19"/>
      <c r="H179" s="62"/>
      <c r="I179" s="51">
        <f>IF(M181&lt;&gt;"",N181+O181,IF(M183&lt;&gt;"",N183+O183,IF(M431&lt;&gt;"",N431+O431,IF(M432&lt;&gt;"",N432+O432,IF(M433&lt;&gt;"",N433+O433,IF(M434&lt;&gt;"",N434+O434))))))</f>
        <v>3</v>
      </c>
      <c r="J179" s="18"/>
      <c r="K179" s="18">
        <f t="shared" si="67"/>
        <v>-94</v>
      </c>
      <c r="M179" s="78">
        <v>0</v>
      </c>
      <c r="N179" s="65">
        <f t="shared" si="76"/>
        <v>0</v>
      </c>
      <c r="O179" s="20"/>
      <c r="P179" s="21"/>
      <c r="Q179" s="57">
        <v>0</v>
      </c>
      <c r="R179" s="23">
        <f t="shared" si="68"/>
        <v>0</v>
      </c>
      <c r="S179" s="52">
        <f t="shared" si="69"/>
        <v>0</v>
      </c>
      <c r="U179" s="51">
        <f t="shared" si="74"/>
        <v>42</v>
      </c>
      <c r="V179" s="23"/>
      <c r="W179" s="18">
        <f t="shared" si="70"/>
        <v>-2437</v>
      </c>
      <c r="X179" s="2"/>
      <c r="Y179" s="78">
        <v>42</v>
      </c>
      <c r="Z179" s="62">
        <f t="shared" si="75"/>
        <v>42</v>
      </c>
      <c r="AA179" s="20"/>
      <c r="AB179" s="21"/>
      <c r="AC179" s="57">
        <v>42</v>
      </c>
      <c r="AD179" s="23">
        <f t="shared" si="71"/>
        <v>9</v>
      </c>
      <c r="AE179" s="23">
        <f t="shared" si="72"/>
        <v>9</v>
      </c>
      <c r="AG179" s="52"/>
    </row>
    <row r="180" spans="1:35" hidden="1" outlineLevel="1">
      <c r="A180" s="96">
        <v>45854</v>
      </c>
      <c r="B180" s="17" t="s">
        <v>20</v>
      </c>
      <c r="C180" s="23">
        <v>45</v>
      </c>
      <c r="D180" s="23">
        <f t="shared" si="65"/>
        <v>0</v>
      </c>
      <c r="E180" s="23">
        <f t="shared" si="66"/>
        <v>-2582</v>
      </c>
      <c r="G180" s="19"/>
      <c r="H180" s="62"/>
      <c r="I180" s="51">
        <f>IF(M182&lt;&gt;"",N182+O182,IF(M184&lt;&gt;"",N184+O184,IF(M432&lt;&gt;"",N432+O432,IF(M433&lt;&gt;"",N433+O433,IF(M434&lt;&gt;"",N434+O434,IF(M435&lt;&gt;"",N435+O435))))))</f>
        <v>0</v>
      </c>
      <c r="J180" s="18"/>
      <c r="K180" s="18">
        <f t="shared" si="67"/>
        <v>-94</v>
      </c>
      <c r="M180" s="78">
        <v>0</v>
      </c>
      <c r="N180" s="65">
        <f t="shared" si="76"/>
        <v>0</v>
      </c>
      <c r="O180" s="20"/>
      <c r="P180" s="21"/>
      <c r="Q180" s="57">
        <v>0</v>
      </c>
      <c r="R180" s="23">
        <f t="shared" si="68"/>
        <v>0</v>
      </c>
      <c r="S180" s="52">
        <f t="shared" si="69"/>
        <v>0</v>
      </c>
      <c r="U180" s="51">
        <f t="shared" si="74"/>
        <v>45</v>
      </c>
      <c r="V180" s="23"/>
      <c r="W180" s="18">
        <f t="shared" si="70"/>
        <v>-2482</v>
      </c>
      <c r="X180" s="2"/>
      <c r="Y180" s="78">
        <v>51</v>
      </c>
      <c r="Z180" s="62">
        <f t="shared" si="75"/>
        <v>45</v>
      </c>
      <c r="AA180" s="20"/>
      <c r="AB180" s="21"/>
      <c r="AC180" s="57">
        <f>3+42</f>
        <v>45</v>
      </c>
      <c r="AD180" s="23">
        <f t="shared" si="71"/>
        <v>3</v>
      </c>
      <c r="AE180" s="23">
        <f t="shared" si="72"/>
        <v>3</v>
      </c>
      <c r="AG180" s="52"/>
    </row>
    <row r="181" spans="1:35" hidden="1" outlineLevel="1">
      <c r="A181" s="96">
        <v>45855</v>
      </c>
      <c r="B181" s="17" t="s">
        <v>14</v>
      </c>
      <c r="C181" s="23">
        <v>42</v>
      </c>
      <c r="D181" s="23">
        <f t="shared" si="65"/>
        <v>0</v>
      </c>
      <c r="E181" s="23">
        <f t="shared" si="66"/>
        <v>-2624</v>
      </c>
      <c r="G181" s="19"/>
      <c r="H181" s="62"/>
      <c r="I181" s="51">
        <f>M186</f>
        <v>0</v>
      </c>
      <c r="J181" s="18"/>
      <c r="K181" s="18">
        <f t="shared" si="67"/>
        <v>-94</v>
      </c>
      <c r="M181" s="78">
        <v>3</v>
      </c>
      <c r="N181" s="65">
        <f t="shared" si="76"/>
        <v>3</v>
      </c>
      <c r="O181" s="20"/>
      <c r="P181" s="21"/>
      <c r="Q181" s="57">
        <v>3</v>
      </c>
      <c r="R181" s="23">
        <f t="shared" si="68"/>
        <v>0</v>
      </c>
      <c r="S181" s="52">
        <f t="shared" si="69"/>
        <v>0</v>
      </c>
      <c r="U181" s="51">
        <f t="shared" si="74"/>
        <v>42</v>
      </c>
      <c r="V181" s="23"/>
      <c r="W181" s="18">
        <f t="shared" si="70"/>
        <v>-2524</v>
      </c>
      <c r="X181" s="2"/>
      <c r="Y181" s="78">
        <v>39</v>
      </c>
      <c r="Z181" s="62">
        <f t="shared" si="75"/>
        <v>42</v>
      </c>
      <c r="AA181" s="20"/>
      <c r="AB181" s="21"/>
      <c r="AC181" s="57">
        <f>6+36</f>
        <v>42</v>
      </c>
      <c r="AD181" s="23">
        <f t="shared" si="71"/>
        <v>6</v>
      </c>
      <c r="AE181" s="23">
        <f t="shared" si="72"/>
        <v>6</v>
      </c>
      <c r="AG181" s="52"/>
    </row>
    <row r="182" spans="1:35" hidden="1" outlineLevel="1">
      <c r="A182" s="96">
        <v>45856</v>
      </c>
      <c r="B182" s="17" t="s">
        <v>15</v>
      </c>
      <c r="C182" s="23">
        <v>42</v>
      </c>
      <c r="D182" s="23">
        <f t="shared" si="65"/>
        <v>0</v>
      </c>
      <c r="E182" s="23">
        <f t="shared" si="66"/>
        <v>-2666</v>
      </c>
      <c r="G182" s="19"/>
      <c r="H182" s="62"/>
      <c r="I182" s="51">
        <f>M187</f>
        <v>0</v>
      </c>
      <c r="J182" s="18"/>
      <c r="K182" s="18">
        <f t="shared" si="67"/>
        <v>-94</v>
      </c>
      <c r="M182" s="78">
        <v>0</v>
      </c>
      <c r="N182" s="65">
        <f t="shared" si="76"/>
        <v>0</v>
      </c>
      <c r="O182" s="20"/>
      <c r="P182" s="21"/>
      <c r="Q182" s="57">
        <v>0</v>
      </c>
      <c r="R182" s="23">
        <f t="shared" si="68"/>
        <v>0</v>
      </c>
      <c r="S182" s="52">
        <f t="shared" si="69"/>
        <v>0</v>
      </c>
      <c r="U182" s="51">
        <f t="shared" si="74"/>
        <v>42</v>
      </c>
      <c r="V182" s="23"/>
      <c r="W182" s="18">
        <f t="shared" si="70"/>
        <v>-2566</v>
      </c>
      <c r="X182" s="2"/>
      <c r="Y182" s="78">
        <v>51</v>
      </c>
      <c r="Z182" s="62">
        <f t="shared" si="75"/>
        <v>45</v>
      </c>
      <c r="AA182" s="20"/>
      <c r="AB182" s="21"/>
      <c r="AC182" s="57">
        <v>45</v>
      </c>
      <c r="AD182" s="23">
        <f t="shared" si="71"/>
        <v>0</v>
      </c>
      <c r="AE182" s="23">
        <f t="shared" si="72"/>
        <v>0</v>
      </c>
      <c r="AG182" s="52"/>
      <c r="AI182">
        <f>SUM(M178:M182,Y178:Y182)/COUNT(Y178:Y182)</f>
        <v>46.2</v>
      </c>
    </row>
    <row r="183" spans="1:35" s="12" customFormat="1" hidden="1" outlineLevel="1">
      <c r="A183" s="95">
        <v>45857</v>
      </c>
      <c r="B183" s="25" t="s">
        <v>16</v>
      </c>
      <c r="C183" s="29"/>
      <c r="D183" s="29">
        <f t="shared" si="65"/>
        <v>0</v>
      </c>
      <c r="E183" s="29">
        <f t="shared" si="66"/>
        <v>-2666</v>
      </c>
      <c r="G183" s="64"/>
      <c r="H183" s="63"/>
      <c r="I183" s="53"/>
      <c r="J183" s="26"/>
      <c r="K183" s="26">
        <f t="shared" si="67"/>
        <v>-94</v>
      </c>
      <c r="M183" s="79"/>
      <c r="N183" s="66"/>
      <c r="O183" s="27"/>
      <c r="P183" s="28"/>
      <c r="Q183" s="43"/>
      <c r="R183" s="29">
        <f t="shared" si="68"/>
        <v>0</v>
      </c>
      <c r="S183" s="54">
        <f t="shared" si="69"/>
        <v>0</v>
      </c>
      <c r="T183" s="11"/>
      <c r="U183" s="53"/>
      <c r="V183" s="29"/>
      <c r="W183" s="26">
        <f t="shared" si="70"/>
        <v>-2566</v>
      </c>
      <c r="X183" s="10"/>
      <c r="Y183" s="79"/>
      <c r="Z183" s="63"/>
      <c r="AA183" s="27"/>
      <c r="AB183" s="28"/>
      <c r="AC183" s="43"/>
      <c r="AD183" s="29">
        <f t="shared" si="71"/>
        <v>0</v>
      </c>
      <c r="AE183" s="29">
        <f t="shared" si="72"/>
        <v>0</v>
      </c>
      <c r="AG183" s="54"/>
      <c r="AI183" s="11"/>
    </row>
    <row r="184" spans="1:35" s="12" customFormat="1" hidden="1" outlineLevel="1" collapsed="1">
      <c r="A184" s="95">
        <v>45858</v>
      </c>
      <c r="B184" s="25" t="s">
        <v>17</v>
      </c>
      <c r="C184" s="29"/>
      <c r="D184" s="29">
        <f t="shared" si="65"/>
        <v>0</v>
      </c>
      <c r="E184" s="29">
        <f t="shared" si="66"/>
        <v>-2666</v>
      </c>
      <c r="G184" s="64"/>
      <c r="H184" s="63"/>
      <c r="I184" s="53"/>
      <c r="J184" s="26"/>
      <c r="K184" s="26">
        <f t="shared" si="67"/>
        <v>-94</v>
      </c>
      <c r="M184" s="79"/>
      <c r="N184" s="66"/>
      <c r="O184" s="27"/>
      <c r="P184" s="28"/>
      <c r="Q184" s="43"/>
      <c r="R184" s="29">
        <f t="shared" si="68"/>
        <v>0</v>
      </c>
      <c r="S184" s="54">
        <f t="shared" si="69"/>
        <v>0</v>
      </c>
      <c r="T184" s="11"/>
      <c r="U184" s="53"/>
      <c r="V184" s="29"/>
      <c r="W184" s="26">
        <f t="shared" si="70"/>
        <v>-2566</v>
      </c>
      <c r="X184" s="10"/>
      <c r="Y184" s="79"/>
      <c r="Z184" s="63"/>
      <c r="AA184" s="27"/>
      <c r="AB184" s="28"/>
      <c r="AC184" s="43"/>
      <c r="AD184" s="29">
        <f t="shared" si="71"/>
        <v>0</v>
      </c>
      <c r="AE184" s="29">
        <f t="shared" si="72"/>
        <v>0</v>
      </c>
      <c r="AG184" s="54"/>
      <c r="AI184" s="11"/>
    </row>
    <row r="185" spans="1:35" s="12" customFormat="1" hidden="1" outlineLevel="1">
      <c r="A185" s="95">
        <v>45859</v>
      </c>
      <c r="B185" s="25" t="s">
        <v>18</v>
      </c>
      <c r="C185" s="29"/>
      <c r="D185" s="29">
        <f t="shared" si="65"/>
        <v>0</v>
      </c>
      <c r="E185" s="29">
        <f t="shared" si="66"/>
        <v>-2666</v>
      </c>
      <c r="G185" s="64"/>
      <c r="H185" s="63"/>
      <c r="I185" s="53"/>
      <c r="J185" s="26"/>
      <c r="K185" s="26">
        <f t="shared" si="67"/>
        <v>-94</v>
      </c>
      <c r="M185" s="79"/>
      <c r="N185" s="66"/>
      <c r="O185" s="27"/>
      <c r="P185" s="28"/>
      <c r="Q185" s="43"/>
      <c r="R185" s="29">
        <f t="shared" si="68"/>
        <v>0</v>
      </c>
      <c r="S185" s="54">
        <f t="shared" si="69"/>
        <v>0</v>
      </c>
      <c r="T185" s="11"/>
      <c r="U185" s="53"/>
      <c r="V185" s="29"/>
      <c r="W185" s="26">
        <f t="shared" si="70"/>
        <v>-2566</v>
      </c>
      <c r="X185" s="10"/>
      <c r="Y185" s="79"/>
      <c r="Z185" s="63"/>
      <c r="AA185" s="27"/>
      <c r="AB185" s="28"/>
      <c r="AC185" s="43"/>
      <c r="AD185" s="29">
        <f t="shared" si="71"/>
        <v>0</v>
      </c>
      <c r="AE185" s="29">
        <f t="shared" si="72"/>
        <v>0</v>
      </c>
      <c r="AG185" s="54"/>
      <c r="AI185" s="11"/>
    </row>
    <row r="186" spans="1:35" hidden="1" outlineLevel="1">
      <c r="A186" s="96">
        <v>45860</v>
      </c>
      <c r="B186" s="17" t="s">
        <v>19</v>
      </c>
      <c r="C186" s="23">
        <v>52</v>
      </c>
      <c r="D186" s="23">
        <f t="shared" si="65"/>
        <v>0</v>
      </c>
      <c r="E186" s="23">
        <f t="shared" si="66"/>
        <v>-2718</v>
      </c>
      <c r="G186" s="19"/>
      <c r="H186" s="62"/>
      <c r="I186" s="51">
        <f>IF(M188&lt;&gt;"",N188+O188,IF(M190&lt;&gt;"",N190+O190,IF(M438&lt;&gt;"",N438+O438,IF(M439&lt;&gt;"",N439+O439,IF(M440&lt;&gt;"",N440+O440,IF(M441&lt;&gt;"",N441+O441))))))</f>
        <v>0</v>
      </c>
      <c r="J186" s="18"/>
      <c r="K186" s="18">
        <f t="shared" si="67"/>
        <v>-94</v>
      </c>
      <c r="M186" s="78">
        <v>0</v>
      </c>
      <c r="N186" s="65">
        <f t="shared" ref="N186:N189" si="77">M186</f>
        <v>0</v>
      </c>
      <c r="O186" s="20"/>
      <c r="P186" s="21"/>
      <c r="Q186" s="57">
        <v>0</v>
      </c>
      <c r="R186" s="23">
        <f t="shared" si="68"/>
        <v>0</v>
      </c>
      <c r="S186" s="52">
        <f t="shared" si="69"/>
        <v>0</v>
      </c>
      <c r="U186" s="51">
        <f t="shared" si="74"/>
        <v>52</v>
      </c>
      <c r="V186" s="23"/>
      <c r="W186" s="18">
        <f t="shared" si="70"/>
        <v>-2618</v>
      </c>
      <c r="X186" s="2"/>
      <c r="Y186" s="78">
        <v>30</v>
      </c>
      <c r="Z186" s="62">
        <f>U181</f>
        <v>42</v>
      </c>
      <c r="AA186" s="20"/>
      <c r="AB186" s="21"/>
      <c r="AC186" s="57">
        <v>42</v>
      </c>
      <c r="AD186" s="23">
        <f t="shared" si="71"/>
        <v>12</v>
      </c>
      <c r="AE186" s="23">
        <f t="shared" si="72"/>
        <v>12</v>
      </c>
      <c r="AG186" s="52"/>
    </row>
    <row r="187" spans="1:35" hidden="1" outlineLevel="1">
      <c r="A187" s="96">
        <v>45861</v>
      </c>
      <c r="B187" s="17" t="s">
        <v>20</v>
      </c>
      <c r="C187" s="23">
        <v>48</v>
      </c>
      <c r="D187" s="23">
        <f t="shared" si="65"/>
        <v>0</v>
      </c>
      <c r="E187" s="23">
        <f t="shared" si="66"/>
        <v>-2766</v>
      </c>
      <c r="G187" s="19"/>
      <c r="H187" s="62"/>
      <c r="I187" s="51">
        <f>IF(M189&lt;&gt;"",N189+O189,IF(M191&lt;&gt;"",N191+O191,IF(M439&lt;&gt;"",N439+O439,IF(M440&lt;&gt;"",N440+O440,IF(M441&lt;&gt;"",N441+O441,IF(M442&lt;&gt;"",N442+O442))))))</f>
        <v>0</v>
      </c>
      <c r="J187" s="18"/>
      <c r="K187" s="18">
        <f t="shared" si="67"/>
        <v>-94</v>
      </c>
      <c r="M187" s="78">
        <v>0</v>
      </c>
      <c r="N187" s="65">
        <f t="shared" si="77"/>
        <v>0</v>
      </c>
      <c r="O187" s="20"/>
      <c r="P187" s="21"/>
      <c r="Q187" s="57">
        <v>0</v>
      </c>
      <c r="R187" s="23">
        <f t="shared" si="68"/>
        <v>0</v>
      </c>
      <c r="S187" s="52">
        <f t="shared" si="69"/>
        <v>0</v>
      </c>
      <c r="U187" s="51">
        <f t="shared" si="74"/>
        <v>48</v>
      </c>
      <c r="V187" s="23"/>
      <c r="W187" s="18">
        <f t="shared" si="70"/>
        <v>-2666</v>
      </c>
      <c r="X187" s="2"/>
      <c r="Y187" s="78">
        <v>51</v>
      </c>
      <c r="Z187" s="62">
        <f t="shared" si="75"/>
        <v>42</v>
      </c>
      <c r="AA187" s="20"/>
      <c r="AB187" s="21"/>
      <c r="AC187" s="57">
        <v>42</v>
      </c>
      <c r="AD187" s="23">
        <f t="shared" si="71"/>
        <v>3</v>
      </c>
      <c r="AE187" s="23">
        <f t="shared" si="72"/>
        <v>3</v>
      </c>
      <c r="AG187" s="52"/>
    </row>
    <row r="188" spans="1:35" hidden="1" outlineLevel="1">
      <c r="A188" s="96">
        <v>45862</v>
      </c>
      <c r="B188" s="17" t="s">
        <v>14</v>
      </c>
      <c r="C188" s="23">
        <v>48</v>
      </c>
      <c r="D188" s="23">
        <f t="shared" si="65"/>
        <v>0</v>
      </c>
      <c r="E188" s="23">
        <f t="shared" si="66"/>
        <v>-2814</v>
      </c>
      <c r="G188" s="19"/>
      <c r="H188" s="62"/>
      <c r="I188" s="51">
        <f>IF(M190&lt;&gt;"",N190+O190,IF(M192&lt;&gt;"",N192+O192,IF(M440&lt;&gt;"",N440+O440,IF(M441&lt;&gt;"",N441+O441,IF(M442&lt;&gt;"",N442+O442,IF(M443&lt;&gt;"",N443+O443))))))</f>
        <v>6</v>
      </c>
      <c r="J188" s="18"/>
      <c r="K188" s="18">
        <f t="shared" si="67"/>
        <v>-100</v>
      </c>
      <c r="M188" s="78">
        <v>0</v>
      </c>
      <c r="N188" s="65">
        <f t="shared" si="77"/>
        <v>0</v>
      </c>
      <c r="O188" s="20"/>
      <c r="P188" s="21"/>
      <c r="Q188" s="57">
        <v>0</v>
      </c>
      <c r="R188" s="23">
        <f t="shared" si="68"/>
        <v>0</v>
      </c>
      <c r="S188" s="52">
        <f t="shared" si="69"/>
        <v>0</v>
      </c>
      <c r="U188" s="51">
        <f t="shared" si="74"/>
        <v>42</v>
      </c>
      <c r="V188" s="23"/>
      <c r="W188" s="18">
        <f t="shared" si="70"/>
        <v>-2708</v>
      </c>
      <c r="X188" s="2"/>
      <c r="Y188" s="78">
        <v>55</v>
      </c>
      <c r="Z188" s="62">
        <f t="shared" si="75"/>
        <v>52</v>
      </c>
      <c r="AA188" s="20"/>
      <c r="AB188" s="21"/>
      <c r="AC188" s="57">
        <v>52</v>
      </c>
      <c r="AD188" s="23">
        <f t="shared" si="71"/>
        <v>0</v>
      </c>
      <c r="AE188" s="23">
        <f t="shared" si="72"/>
        <v>0</v>
      </c>
      <c r="AG188" s="52"/>
    </row>
    <row r="189" spans="1:35" hidden="1" outlineLevel="1">
      <c r="A189" s="96">
        <v>45863</v>
      </c>
      <c r="B189" s="17" t="s">
        <v>15</v>
      </c>
      <c r="C189" s="23">
        <v>48</v>
      </c>
      <c r="D189" s="23">
        <f t="shared" si="65"/>
        <v>0</v>
      </c>
      <c r="E189" s="23">
        <f t="shared" si="66"/>
        <v>-2862</v>
      </c>
      <c r="G189" s="19"/>
      <c r="H189" s="62"/>
      <c r="I189" s="51">
        <f>IF(M191&lt;&gt;"",N191+O191,IF(M193&lt;&gt;"",N193+O193,IF(M441&lt;&gt;"",N441+O441,IF(M442&lt;&gt;"",N442+O442,IF(M443&lt;&gt;"",N443+O443,IF(M444&lt;&gt;"",N444+O444))))))</f>
        <v>6</v>
      </c>
      <c r="J189" s="18"/>
      <c r="K189" s="18">
        <f t="shared" si="67"/>
        <v>-106</v>
      </c>
      <c r="M189" s="78">
        <v>0</v>
      </c>
      <c r="N189" s="65">
        <f t="shared" si="77"/>
        <v>0</v>
      </c>
      <c r="O189" s="20"/>
      <c r="P189" s="21"/>
      <c r="Q189" s="57">
        <v>0</v>
      </c>
      <c r="R189" s="23">
        <f t="shared" si="68"/>
        <v>0</v>
      </c>
      <c r="S189" s="52">
        <f t="shared" si="69"/>
        <v>0</v>
      </c>
      <c r="U189" s="51">
        <f t="shared" si="74"/>
        <v>42</v>
      </c>
      <c r="V189" s="23"/>
      <c r="W189" s="18">
        <f t="shared" si="70"/>
        <v>-2750</v>
      </c>
      <c r="X189" s="2"/>
      <c r="Y189" s="78">
        <v>39</v>
      </c>
      <c r="Z189" s="62">
        <f t="shared" si="75"/>
        <v>48</v>
      </c>
      <c r="AA189" s="20"/>
      <c r="AB189" s="21"/>
      <c r="AC189" s="57">
        <v>48</v>
      </c>
      <c r="AD189" s="23">
        <f t="shared" si="71"/>
        <v>9</v>
      </c>
      <c r="AE189" s="23">
        <f t="shared" si="72"/>
        <v>9</v>
      </c>
      <c r="AG189" s="52"/>
      <c r="AI189">
        <f>SUM(M185:M189,Y185:Y189)/COUNT(Y185:Y189)</f>
        <v>43.75</v>
      </c>
    </row>
    <row r="190" spans="1:35" s="12" customFormat="1" hidden="1" outlineLevel="1">
      <c r="A190" s="95">
        <v>45864</v>
      </c>
      <c r="B190" s="25" t="s">
        <v>16</v>
      </c>
      <c r="C190" s="29"/>
      <c r="D190" s="29">
        <f t="shared" si="65"/>
        <v>0</v>
      </c>
      <c r="E190" s="29">
        <f t="shared" si="66"/>
        <v>-2862</v>
      </c>
      <c r="G190" s="64"/>
      <c r="H190" s="63"/>
      <c r="I190" s="53"/>
      <c r="J190" s="26"/>
      <c r="K190" s="26">
        <f t="shared" si="67"/>
        <v>-106</v>
      </c>
      <c r="M190" s="79"/>
      <c r="N190" s="66"/>
      <c r="O190" s="27"/>
      <c r="P190" s="28"/>
      <c r="Q190" s="43"/>
      <c r="R190" s="29">
        <f t="shared" si="68"/>
        <v>0</v>
      </c>
      <c r="S190" s="54">
        <f t="shared" si="69"/>
        <v>0</v>
      </c>
      <c r="T190" s="11"/>
      <c r="U190" s="53"/>
      <c r="V190" s="29"/>
      <c r="W190" s="26">
        <f t="shared" si="70"/>
        <v>-2750</v>
      </c>
      <c r="X190" s="10"/>
      <c r="Y190" s="79"/>
      <c r="Z190" s="63"/>
      <c r="AA190" s="27"/>
      <c r="AB190" s="28"/>
      <c r="AC190" s="43"/>
      <c r="AD190" s="29">
        <f t="shared" si="71"/>
        <v>9</v>
      </c>
      <c r="AE190" s="29">
        <f t="shared" si="72"/>
        <v>9</v>
      </c>
      <c r="AG190" s="54"/>
      <c r="AI190" s="11"/>
    </row>
    <row r="191" spans="1:35" s="12" customFormat="1" hidden="1" outlineLevel="1" collapsed="1">
      <c r="A191" s="95">
        <v>45865</v>
      </c>
      <c r="B191" s="25" t="s">
        <v>17</v>
      </c>
      <c r="C191" s="29"/>
      <c r="D191" s="29">
        <f t="shared" si="65"/>
        <v>0</v>
      </c>
      <c r="E191" s="29">
        <f t="shared" si="66"/>
        <v>-2862</v>
      </c>
      <c r="G191" s="64"/>
      <c r="H191" s="63"/>
      <c r="I191" s="53"/>
      <c r="J191" s="26"/>
      <c r="K191" s="26">
        <f t="shared" si="67"/>
        <v>-106</v>
      </c>
      <c r="M191" s="79"/>
      <c r="N191" s="66"/>
      <c r="O191" s="27"/>
      <c r="P191" s="28"/>
      <c r="Q191" s="43"/>
      <c r="R191" s="29">
        <f t="shared" si="68"/>
        <v>0</v>
      </c>
      <c r="S191" s="54">
        <f t="shared" si="69"/>
        <v>0</v>
      </c>
      <c r="T191" s="11"/>
      <c r="U191" s="53"/>
      <c r="V191" s="29"/>
      <c r="W191" s="26">
        <f t="shared" si="70"/>
        <v>-2750</v>
      </c>
      <c r="X191" s="10"/>
      <c r="Y191" s="79"/>
      <c r="Z191" s="63"/>
      <c r="AA191" s="27"/>
      <c r="AB191" s="28"/>
      <c r="AC191" s="43"/>
      <c r="AD191" s="29">
        <f t="shared" si="71"/>
        <v>9</v>
      </c>
      <c r="AE191" s="29">
        <f t="shared" si="72"/>
        <v>9</v>
      </c>
      <c r="AG191" s="54"/>
      <c r="AI191" s="11"/>
    </row>
    <row r="192" spans="1:35" hidden="1" outlineLevel="1">
      <c r="A192" s="96">
        <v>45866</v>
      </c>
      <c r="B192" s="17" t="s">
        <v>18</v>
      </c>
      <c r="C192" s="302">
        <v>51</v>
      </c>
      <c r="D192" s="23">
        <f t="shared" si="65"/>
        <v>0</v>
      </c>
      <c r="E192" s="23">
        <f t="shared" si="66"/>
        <v>-2913</v>
      </c>
      <c r="G192" s="19"/>
      <c r="H192" s="62"/>
      <c r="I192" s="51">
        <f>IF(M194&lt;&gt;"",N194+O194,IF(M196&lt;&gt;"",N196+O196,IF(M444&lt;&gt;"",N444+O444,IF(M445&lt;&gt;"",N445+O445,IF(M446&lt;&gt;"",N446+O446,IF(M447&lt;&gt;"",N447+O447))))))</f>
        <v>6</v>
      </c>
      <c r="J192" s="18"/>
      <c r="K192" s="18">
        <f t="shared" si="67"/>
        <v>-112</v>
      </c>
      <c r="M192" s="78">
        <v>6</v>
      </c>
      <c r="N192" s="65">
        <f t="shared" ref="N192:N196" si="78">M192</f>
        <v>6</v>
      </c>
      <c r="O192" s="20"/>
      <c r="P192" s="21"/>
      <c r="Q192" s="57">
        <v>6</v>
      </c>
      <c r="R192" s="23">
        <f t="shared" si="68"/>
        <v>0</v>
      </c>
      <c r="S192" s="52">
        <f t="shared" si="69"/>
        <v>0</v>
      </c>
      <c r="U192" s="51">
        <f t="shared" si="74"/>
        <v>45</v>
      </c>
      <c r="V192" s="23"/>
      <c r="W192" s="18">
        <f t="shared" si="70"/>
        <v>-2795</v>
      </c>
      <c r="X192" s="2"/>
      <c r="Y192" s="78">
        <v>51</v>
      </c>
      <c r="Z192" s="62">
        <f t="shared" si="75"/>
        <v>42</v>
      </c>
      <c r="AA192" s="20"/>
      <c r="AB192" s="21"/>
      <c r="AC192" s="57">
        <v>42</v>
      </c>
      <c r="AD192" s="23">
        <f t="shared" si="71"/>
        <v>0</v>
      </c>
      <c r="AE192" s="23">
        <f t="shared" si="72"/>
        <v>0</v>
      </c>
      <c r="AG192" s="52"/>
    </row>
    <row r="193" spans="1:35" hidden="1" outlineLevel="1">
      <c r="A193" s="96">
        <v>45867</v>
      </c>
      <c r="B193" s="17" t="s">
        <v>19</v>
      </c>
      <c r="C193" s="302">
        <v>51</v>
      </c>
      <c r="D193" s="23">
        <f t="shared" si="65"/>
        <v>0</v>
      </c>
      <c r="E193" s="23">
        <f t="shared" si="66"/>
        <v>-2964</v>
      </c>
      <c r="G193" s="19"/>
      <c r="H193" s="62"/>
      <c r="I193" s="51">
        <f>IF(M195&lt;&gt;"",N195+O195,IF(M197&lt;&gt;"",N197+O197,IF(M445&lt;&gt;"",N445+O445,IF(M446&lt;&gt;"",N446+O446,IF(M447&lt;&gt;"",N447+O447,IF(M448&lt;&gt;"",N448+O448))))))</f>
        <v>6</v>
      </c>
      <c r="J193" s="18"/>
      <c r="K193" s="18">
        <f t="shared" si="67"/>
        <v>-118</v>
      </c>
      <c r="M193" s="78">
        <v>6</v>
      </c>
      <c r="N193" s="65">
        <f t="shared" si="78"/>
        <v>6</v>
      </c>
      <c r="O193" s="20"/>
      <c r="P193" s="21"/>
      <c r="Q193" s="57">
        <v>6</v>
      </c>
      <c r="R193" s="23">
        <f t="shared" si="68"/>
        <v>0</v>
      </c>
      <c r="S193" s="52">
        <f t="shared" si="69"/>
        <v>0</v>
      </c>
      <c r="U193" s="51">
        <f t="shared" si="74"/>
        <v>45</v>
      </c>
      <c r="V193" s="23"/>
      <c r="W193" s="18">
        <f t="shared" si="70"/>
        <v>-2840</v>
      </c>
      <c r="X193" s="2"/>
      <c r="Y193" s="78">
        <v>36</v>
      </c>
      <c r="Z193" s="62">
        <f t="shared" si="75"/>
        <v>42</v>
      </c>
      <c r="AA193" s="20"/>
      <c r="AB193" s="21"/>
      <c r="AC193" s="57">
        <v>42</v>
      </c>
      <c r="AD193" s="23">
        <f t="shared" si="71"/>
        <v>6</v>
      </c>
      <c r="AE193" s="23">
        <f t="shared" si="72"/>
        <v>6</v>
      </c>
      <c r="AG193" s="52"/>
    </row>
    <row r="194" spans="1:35" hidden="1" outlineLevel="1">
      <c r="A194" s="96">
        <v>45868</v>
      </c>
      <c r="B194" s="17" t="s">
        <v>20</v>
      </c>
      <c r="C194" s="302">
        <v>51</v>
      </c>
      <c r="D194" s="23">
        <f t="shared" si="65"/>
        <v>0</v>
      </c>
      <c r="E194" s="23">
        <f t="shared" si="66"/>
        <v>-3015</v>
      </c>
      <c r="G194" s="19"/>
      <c r="H194" s="62"/>
      <c r="I194" s="51">
        <f>IF(M196&lt;&gt;"",N196+O196,IF(M198&lt;&gt;"",N198+O198,IF(M446&lt;&gt;"",N446+O446,IF(M447&lt;&gt;"",N447+O447,IF(M448&lt;&gt;"",N448+O448,IF(M449&lt;&gt;"",N449+O449))))))</f>
        <v>6</v>
      </c>
      <c r="J194" s="18"/>
      <c r="K194" s="18">
        <f t="shared" si="67"/>
        <v>-124</v>
      </c>
      <c r="M194" s="78">
        <v>6</v>
      </c>
      <c r="N194" s="65">
        <f t="shared" si="78"/>
        <v>6</v>
      </c>
      <c r="O194" s="20"/>
      <c r="P194" s="21"/>
      <c r="Q194" s="57">
        <v>6</v>
      </c>
      <c r="R194" s="23">
        <f t="shared" si="68"/>
        <v>0</v>
      </c>
      <c r="S194" s="52">
        <f t="shared" si="69"/>
        <v>0</v>
      </c>
      <c r="U194" s="51">
        <f t="shared" si="74"/>
        <v>45</v>
      </c>
      <c r="V194" s="23"/>
      <c r="W194" s="18">
        <f t="shared" si="70"/>
        <v>-2885</v>
      </c>
      <c r="X194" s="2"/>
      <c r="Y194" s="78">
        <v>48</v>
      </c>
      <c r="Z194" s="62">
        <f t="shared" si="75"/>
        <v>45</v>
      </c>
      <c r="AA194" s="20"/>
      <c r="AB194" s="21"/>
      <c r="AC194" s="57">
        <v>45</v>
      </c>
      <c r="AD194" s="23">
        <f t="shared" si="71"/>
        <v>3</v>
      </c>
      <c r="AE194" s="23">
        <f t="shared" si="72"/>
        <v>3</v>
      </c>
      <c r="AG194" s="52"/>
    </row>
    <row r="195" spans="1:35" hidden="1" outlineLevel="1">
      <c r="A195" s="96">
        <v>45869</v>
      </c>
      <c r="B195" s="17" t="s">
        <v>14</v>
      </c>
      <c r="C195" s="195">
        <v>30</v>
      </c>
      <c r="D195" s="23">
        <f t="shared" si="65"/>
        <v>0</v>
      </c>
      <c r="E195" s="23">
        <f t="shared" si="66"/>
        <v>-3045</v>
      </c>
      <c r="G195" s="19"/>
      <c r="H195" s="62"/>
      <c r="I195" s="51">
        <f>IF(M197&lt;&gt;"",N197+O197,IF(M199&lt;&gt;"",N199+O199,IF(M447&lt;&gt;"",N447+O447,IF(M448&lt;&gt;"",N448+O448,IF(M449&lt;&gt;"",N449+O449,IF(M450&lt;&gt;"",N450+O450))))))</f>
        <v>0</v>
      </c>
      <c r="J195" s="18"/>
      <c r="K195" s="18">
        <f t="shared" si="67"/>
        <v>-124</v>
      </c>
      <c r="M195" s="78">
        <v>6</v>
      </c>
      <c r="N195" s="65">
        <f t="shared" si="78"/>
        <v>6</v>
      </c>
      <c r="O195" s="20"/>
      <c r="P195" s="21"/>
      <c r="Q195" s="57">
        <v>6</v>
      </c>
      <c r="R195" s="23">
        <f t="shared" si="68"/>
        <v>0</v>
      </c>
      <c r="S195" s="52">
        <f t="shared" si="69"/>
        <v>0</v>
      </c>
      <c r="U195" s="51">
        <f t="shared" si="74"/>
        <v>30</v>
      </c>
      <c r="V195" s="23"/>
      <c r="W195" s="18">
        <f t="shared" si="70"/>
        <v>-2915</v>
      </c>
      <c r="X195" s="2"/>
      <c r="Y195" s="78">
        <v>48</v>
      </c>
      <c r="Z195" s="62">
        <f t="shared" si="75"/>
        <v>45</v>
      </c>
      <c r="AA195" s="20"/>
      <c r="AB195" s="21"/>
      <c r="AC195" s="57">
        <v>45</v>
      </c>
      <c r="AD195" s="23">
        <f t="shared" si="71"/>
        <v>0</v>
      </c>
      <c r="AE195" s="23">
        <f t="shared" si="72"/>
        <v>0</v>
      </c>
      <c r="AG195" s="52"/>
    </row>
    <row r="196" spans="1:35" hidden="1" outlineLevel="1">
      <c r="A196" s="96">
        <v>45870</v>
      </c>
      <c r="B196" s="17" t="s">
        <v>15</v>
      </c>
      <c r="C196" s="195">
        <v>30</v>
      </c>
      <c r="D196" s="23">
        <f t="shared" si="65"/>
        <v>0</v>
      </c>
      <c r="E196" s="23">
        <f t="shared" si="66"/>
        <v>-3075</v>
      </c>
      <c r="G196" s="19"/>
      <c r="H196" s="62"/>
      <c r="I196" s="51">
        <f>IF(M198&lt;&gt;"",N198+O198,IF(M200&lt;&gt;"",N200+O200,IF(M448&lt;&gt;"",N448+O448,IF(M449&lt;&gt;"",N449+O449,IF(M450&lt;&gt;"",N450+O450,IF(M451&lt;&gt;"",N451+O451))))))</f>
        <v>0</v>
      </c>
      <c r="J196" s="18"/>
      <c r="K196" s="18">
        <f t="shared" si="67"/>
        <v>-124</v>
      </c>
      <c r="M196" s="78">
        <v>6</v>
      </c>
      <c r="N196" s="65">
        <f t="shared" si="78"/>
        <v>6</v>
      </c>
      <c r="O196" s="20"/>
      <c r="P196" s="21"/>
      <c r="Q196" s="57">
        <v>6</v>
      </c>
      <c r="R196" s="23">
        <f t="shared" si="68"/>
        <v>0</v>
      </c>
      <c r="S196" s="52">
        <f t="shared" si="69"/>
        <v>0</v>
      </c>
      <c r="U196" s="51">
        <f t="shared" si="74"/>
        <v>30</v>
      </c>
      <c r="V196" s="23"/>
      <c r="W196" s="18">
        <f t="shared" si="70"/>
        <v>-2945</v>
      </c>
      <c r="X196" s="2"/>
      <c r="Y196" s="78">
        <v>39</v>
      </c>
      <c r="Z196" s="62">
        <f t="shared" si="75"/>
        <v>45</v>
      </c>
      <c r="AA196" s="20"/>
      <c r="AB196" s="21"/>
      <c r="AC196" s="57">
        <v>45</v>
      </c>
      <c r="AD196" s="23">
        <f t="shared" si="71"/>
        <v>6</v>
      </c>
      <c r="AE196" s="23">
        <f t="shared" si="72"/>
        <v>6</v>
      </c>
      <c r="AG196" s="52"/>
      <c r="AI196">
        <f>SUM(M192:M196,Y192:Y196)/COUNT(Y192:Y196)</f>
        <v>50.4</v>
      </c>
    </row>
    <row r="197" spans="1:35" s="12" customFormat="1" hidden="1" outlineLevel="1">
      <c r="A197" s="95">
        <v>45871</v>
      </c>
      <c r="B197" s="25" t="s">
        <v>16</v>
      </c>
      <c r="C197" s="29"/>
      <c r="D197" s="29">
        <f t="shared" si="65"/>
        <v>0</v>
      </c>
      <c r="E197" s="29">
        <f t="shared" si="66"/>
        <v>-3075</v>
      </c>
      <c r="G197" s="64"/>
      <c r="H197" s="63"/>
      <c r="I197" s="53"/>
      <c r="J197" s="26"/>
      <c r="K197" s="26">
        <f t="shared" si="67"/>
        <v>-124</v>
      </c>
      <c r="M197" s="79"/>
      <c r="N197" s="66"/>
      <c r="O197" s="27"/>
      <c r="P197" s="28"/>
      <c r="Q197" s="43"/>
      <c r="R197" s="29">
        <f t="shared" si="68"/>
        <v>0</v>
      </c>
      <c r="S197" s="54">
        <f t="shared" si="69"/>
        <v>0</v>
      </c>
      <c r="T197" s="11"/>
      <c r="U197" s="53"/>
      <c r="V197" s="29"/>
      <c r="W197" s="26">
        <f t="shared" si="70"/>
        <v>-2945</v>
      </c>
      <c r="X197" s="10"/>
      <c r="Y197" s="79"/>
      <c r="Z197" s="63"/>
      <c r="AA197" s="27"/>
      <c r="AB197" s="28"/>
      <c r="AC197" s="43"/>
      <c r="AD197" s="29">
        <f t="shared" si="71"/>
        <v>6</v>
      </c>
      <c r="AE197" s="29">
        <f t="shared" si="72"/>
        <v>6</v>
      </c>
      <c r="AG197" s="54"/>
      <c r="AI197" s="11"/>
    </row>
    <row r="198" spans="1:35" s="12" customFormat="1" hidden="1" outlineLevel="1">
      <c r="A198" s="95">
        <v>45872</v>
      </c>
      <c r="B198" s="25" t="s">
        <v>17</v>
      </c>
      <c r="C198" s="29"/>
      <c r="D198" s="29">
        <f t="shared" si="65"/>
        <v>0</v>
      </c>
      <c r="E198" s="29">
        <f t="shared" si="66"/>
        <v>-3075</v>
      </c>
      <c r="G198" s="64"/>
      <c r="H198" s="63"/>
      <c r="I198" s="53"/>
      <c r="J198" s="26"/>
      <c r="K198" s="26">
        <f t="shared" si="67"/>
        <v>-124</v>
      </c>
      <c r="M198" s="79"/>
      <c r="N198" s="66"/>
      <c r="O198" s="27"/>
      <c r="P198" s="28"/>
      <c r="Q198" s="43"/>
      <c r="R198" s="29">
        <f t="shared" si="68"/>
        <v>0</v>
      </c>
      <c r="S198" s="54">
        <f t="shared" si="69"/>
        <v>0</v>
      </c>
      <c r="T198" s="11"/>
      <c r="U198" s="53"/>
      <c r="V198" s="29"/>
      <c r="W198" s="26">
        <f t="shared" si="70"/>
        <v>-2945</v>
      </c>
      <c r="X198" s="10"/>
      <c r="Y198" s="79"/>
      <c r="Z198" s="63"/>
      <c r="AA198" s="27"/>
      <c r="AB198" s="28"/>
      <c r="AC198" s="43"/>
      <c r="AD198" s="29">
        <f t="shared" si="71"/>
        <v>6</v>
      </c>
      <c r="AE198" s="29">
        <f t="shared" si="72"/>
        <v>6</v>
      </c>
      <c r="AG198" s="54"/>
      <c r="AI198" s="11"/>
    </row>
    <row r="199" spans="1:35" hidden="1" outlineLevel="1">
      <c r="A199" s="96">
        <v>45873</v>
      </c>
      <c r="B199" s="17" t="s">
        <v>18</v>
      </c>
      <c r="C199" s="195">
        <v>30</v>
      </c>
      <c r="D199" s="23">
        <f t="shared" si="65"/>
        <v>0</v>
      </c>
      <c r="E199" s="23">
        <f t="shared" si="66"/>
        <v>-3105</v>
      </c>
      <c r="G199" s="19"/>
      <c r="H199" s="62"/>
      <c r="I199" s="51">
        <f>IF(M201&lt;&gt;"",N201+O201,IF(M203&lt;&gt;"",N203+O203,IF(M451&lt;&gt;"",N451+O451,IF(M452&lt;&gt;"",N452+O452,IF(M453&lt;&gt;"",N453+O453,IF(M454&lt;&gt;"",N454+O454))))))</f>
        <v>0</v>
      </c>
      <c r="J199" s="18"/>
      <c r="K199" s="18">
        <f t="shared" si="67"/>
        <v>-124</v>
      </c>
      <c r="M199" s="78">
        <v>0</v>
      </c>
      <c r="N199" s="175">
        <f t="shared" ref="N199:N203" si="79">M199</f>
        <v>0</v>
      </c>
      <c r="O199" s="20"/>
      <c r="P199" s="21"/>
      <c r="Q199" s="57">
        <v>0</v>
      </c>
      <c r="R199" s="23">
        <f t="shared" si="68"/>
        <v>0</v>
      </c>
      <c r="S199" s="52">
        <f t="shared" si="69"/>
        <v>0</v>
      </c>
      <c r="U199" s="51">
        <f t="shared" si="74"/>
        <v>30</v>
      </c>
      <c r="V199" s="23"/>
      <c r="W199" s="18">
        <f t="shared" si="70"/>
        <v>-2975</v>
      </c>
      <c r="X199" s="2"/>
      <c r="Y199" s="78">
        <v>0</v>
      </c>
      <c r="Z199" s="175">
        <f t="shared" si="75"/>
        <v>30</v>
      </c>
      <c r="AA199" s="20"/>
      <c r="AB199" s="21"/>
      <c r="AC199" s="57">
        <v>30</v>
      </c>
      <c r="AD199" s="23">
        <f t="shared" si="71"/>
        <v>36</v>
      </c>
      <c r="AE199" s="23">
        <f t="shared" si="72"/>
        <v>36</v>
      </c>
      <c r="AG199" s="52"/>
    </row>
    <row r="200" spans="1:35" hidden="1" outlineLevel="1">
      <c r="A200" s="96">
        <v>45874</v>
      </c>
      <c r="B200" s="17" t="s">
        <v>19</v>
      </c>
      <c r="C200" s="23">
        <v>30</v>
      </c>
      <c r="D200" s="23">
        <f t="shared" si="65"/>
        <v>0</v>
      </c>
      <c r="E200" s="23">
        <f t="shared" si="66"/>
        <v>-3135</v>
      </c>
      <c r="G200" s="19"/>
      <c r="H200" s="62"/>
      <c r="I200" s="51">
        <f>IF(M202&lt;&gt;"",N202+O202,IF(M204&lt;&gt;"",N204+O204,IF(M452&lt;&gt;"",N452+O452,IF(M453&lt;&gt;"",N453+O453,IF(M454&lt;&gt;"",N454+O454,IF(M455&lt;&gt;"",N455+O455))))))</f>
        <v>0</v>
      </c>
      <c r="J200" s="18"/>
      <c r="K200" s="18">
        <f t="shared" si="67"/>
        <v>-124</v>
      </c>
      <c r="M200" s="78">
        <v>0</v>
      </c>
      <c r="N200" s="175">
        <f t="shared" si="79"/>
        <v>0</v>
      </c>
      <c r="O200" s="20"/>
      <c r="P200" s="21"/>
      <c r="Q200" s="57">
        <v>0</v>
      </c>
      <c r="R200" s="23">
        <f t="shared" si="68"/>
        <v>0</v>
      </c>
      <c r="S200" s="52">
        <f t="shared" si="69"/>
        <v>0</v>
      </c>
      <c r="U200" s="51">
        <f t="shared" si="74"/>
        <v>30</v>
      </c>
      <c r="V200" s="23"/>
      <c r="W200" s="18">
        <f t="shared" si="70"/>
        <v>-3005</v>
      </c>
      <c r="X200" s="2"/>
      <c r="Y200" s="78">
        <v>0</v>
      </c>
      <c r="Z200" s="175">
        <f t="shared" si="75"/>
        <v>30</v>
      </c>
      <c r="AA200" s="20"/>
      <c r="AB200" s="21"/>
      <c r="AC200" s="57">
        <f>6+24</f>
        <v>30</v>
      </c>
      <c r="AD200" s="23">
        <f t="shared" si="71"/>
        <v>66</v>
      </c>
      <c r="AE200" s="23">
        <f t="shared" si="72"/>
        <v>66</v>
      </c>
      <c r="AG200" s="52"/>
    </row>
    <row r="201" spans="1:35" hidden="1" outlineLevel="1">
      <c r="A201" s="96">
        <v>45875</v>
      </c>
      <c r="B201" s="17" t="s">
        <v>20</v>
      </c>
      <c r="C201" s="23">
        <v>30</v>
      </c>
      <c r="D201" s="23">
        <f t="shared" si="65"/>
        <v>0</v>
      </c>
      <c r="E201" s="23">
        <f t="shared" si="66"/>
        <v>-3165</v>
      </c>
      <c r="G201" s="19"/>
      <c r="H201" s="62"/>
      <c r="I201" s="51">
        <f>IF(M203&lt;&gt;"",N203+O203,IF(M205&lt;&gt;"",N205+O205,IF(M453&lt;&gt;"",N453+O453,IF(M454&lt;&gt;"",N454+O454,IF(M455&lt;&gt;"",N455+O455,IF(M456&lt;&gt;"",N456+O456))))))</f>
        <v>3</v>
      </c>
      <c r="J201" s="18"/>
      <c r="K201" s="18">
        <f t="shared" si="67"/>
        <v>-127</v>
      </c>
      <c r="M201" s="78">
        <v>0</v>
      </c>
      <c r="N201" s="175">
        <f t="shared" si="79"/>
        <v>0</v>
      </c>
      <c r="O201" s="20"/>
      <c r="P201" s="21"/>
      <c r="Q201" s="57">
        <v>0</v>
      </c>
      <c r="R201" s="23">
        <f t="shared" si="68"/>
        <v>0</v>
      </c>
      <c r="S201" s="52">
        <f t="shared" si="69"/>
        <v>0</v>
      </c>
      <c r="U201" s="51">
        <f t="shared" si="74"/>
        <v>27</v>
      </c>
      <c r="V201" s="23"/>
      <c r="W201" s="18">
        <f t="shared" si="70"/>
        <v>-3032</v>
      </c>
      <c r="X201" s="2"/>
      <c r="Y201" s="78">
        <v>6</v>
      </c>
      <c r="Z201" s="175">
        <f t="shared" si="75"/>
        <v>30</v>
      </c>
      <c r="AA201" s="20"/>
      <c r="AB201" s="21"/>
      <c r="AC201" s="57">
        <f>9+21</f>
        <v>30</v>
      </c>
      <c r="AD201" s="23">
        <f t="shared" si="71"/>
        <v>90</v>
      </c>
      <c r="AE201" s="23">
        <f t="shared" si="72"/>
        <v>90</v>
      </c>
      <c r="AG201" s="52"/>
    </row>
    <row r="202" spans="1:35" hidden="1" outlineLevel="1">
      <c r="A202" s="96">
        <v>45876</v>
      </c>
      <c r="B202" s="17" t="s">
        <v>14</v>
      </c>
      <c r="C202" s="23">
        <v>30</v>
      </c>
      <c r="D202" s="23">
        <f t="shared" ref="D202:D233" si="80">J202+V202</f>
        <v>0</v>
      </c>
      <c r="E202" s="23">
        <f t="shared" ref="E202:E233" si="81">E201-C202+D202</f>
        <v>-3195</v>
      </c>
      <c r="G202" s="19"/>
      <c r="H202" s="62"/>
      <c r="I202" s="51">
        <f>M213</f>
        <v>3</v>
      </c>
      <c r="J202" s="18"/>
      <c r="K202" s="18">
        <f t="shared" ref="K202:K233" si="82">J202-I202+K201</f>
        <v>-130</v>
      </c>
      <c r="M202" s="78">
        <v>0</v>
      </c>
      <c r="N202" s="65">
        <f t="shared" si="79"/>
        <v>0</v>
      </c>
      <c r="O202" s="20"/>
      <c r="P202" s="21"/>
      <c r="Q202" s="57">
        <v>0</v>
      </c>
      <c r="R202" s="23">
        <f t="shared" ref="R202:R233" si="83">R201-M202+Q202</f>
        <v>0</v>
      </c>
      <c r="S202" s="52">
        <f t="shared" ref="S202:S233" si="84">S201-M202+N202</f>
        <v>0</v>
      </c>
      <c r="U202" s="51">
        <f t="shared" ref="U202:U231" si="85">C202-I202</f>
        <v>27</v>
      </c>
      <c r="V202" s="23"/>
      <c r="W202" s="18">
        <f t="shared" ref="W202:W233" si="86">V202-U202+W201</f>
        <v>-3059</v>
      </c>
      <c r="X202" s="2"/>
      <c r="Y202" s="78">
        <v>54</v>
      </c>
      <c r="Z202" s="62">
        <f t="shared" ref="Z202:Z231" si="87">IF(U200&lt;&gt;"",U200+AA202,IF(U198&lt;&gt;"",U198+AA202,IF(U197&lt;&gt;"",U197+AA202,IF(U196&lt;&gt;"",U196+AA202,IF(U195&lt;&gt;"",U195+AA202,IF(U194&lt;&gt;"",U194+AA202))))))</f>
        <v>30</v>
      </c>
      <c r="AA202" s="20"/>
      <c r="AB202" s="21"/>
      <c r="AC202" s="57">
        <v>30</v>
      </c>
      <c r="AD202" s="23">
        <f t="shared" ref="AD202:AD233" si="88">AD201-Y202+AC202</f>
        <v>66</v>
      </c>
      <c r="AE202" s="23">
        <f t="shared" ref="AE202:AE233" si="89">AE201-Y202+Z202</f>
        <v>66</v>
      </c>
      <c r="AG202" s="52"/>
    </row>
    <row r="203" spans="1:35" hidden="1" outlineLevel="1">
      <c r="A203" s="96">
        <v>45877</v>
      </c>
      <c r="B203" s="17" t="s">
        <v>15</v>
      </c>
      <c r="C203" s="23">
        <v>30</v>
      </c>
      <c r="D203" s="23">
        <f t="shared" si="80"/>
        <v>0</v>
      </c>
      <c r="E203" s="23">
        <f t="shared" si="81"/>
        <v>-3225</v>
      </c>
      <c r="G203" s="19"/>
      <c r="H203" s="62"/>
      <c r="I203" s="51">
        <f>M214</f>
        <v>3</v>
      </c>
      <c r="J203" s="18"/>
      <c r="K203" s="18">
        <f t="shared" si="82"/>
        <v>-133</v>
      </c>
      <c r="M203" s="78">
        <v>3</v>
      </c>
      <c r="N203" s="65">
        <f t="shared" si="79"/>
        <v>3</v>
      </c>
      <c r="O203" s="20"/>
      <c r="P203" s="21"/>
      <c r="Q203" s="57">
        <v>3</v>
      </c>
      <c r="R203" s="23">
        <f t="shared" si="83"/>
        <v>0</v>
      </c>
      <c r="S203" s="52">
        <f t="shared" si="84"/>
        <v>0</v>
      </c>
      <c r="U203" s="51">
        <f t="shared" si="85"/>
        <v>27</v>
      </c>
      <c r="V203" s="23"/>
      <c r="W203" s="18">
        <f t="shared" si="86"/>
        <v>-3086</v>
      </c>
      <c r="X203" s="2"/>
      <c r="Y203" s="78">
        <v>39</v>
      </c>
      <c r="Z203" s="62">
        <f t="shared" si="87"/>
        <v>27</v>
      </c>
      <c r="AA203" s="20"/>
      <c r="AB203" s="21"/>
      <c r="AC203" s="57">
        <v>27</v>
      </c>
      <c r="AD203" s="23">
        <f t="shared" si="88"/>
        <v>54</v>
      </c>
      <c r="AE203" s="23">
        <f t="shared" si="89"/>
        <v>54</v>
      </c>
      <c r="AG203" s="52"/>
      <c r="AI203">
        <f>SUM(M199:M203,Y199:Y203)/COUNT(Y199:Y203)</f>
        <v>20.399999999999999</v>
      </c>
    </row>
    <row r="204" spans="1:35" s="12" customFormat="1" hidden="1" outlineLevel="1">
      <c r="A204" s="95">
        <v>45878</v>
      </c>
      <c r="B204" s="25" t="s">
        <v>16</v>
      </c>
      <c r="C204" s="29"/>
      <c r="D204" s="29">
        <f t="shared" si="80"/>
        <v>0</v>
      </c>
      <c r="E204" s="29">
        <f t="shared" si="81"/>
        <v>-3225</v>
      </c>
      <c r="G204" s="64"/>
      <c r="H204" s="63"/>
      <c r="I204" s="53"/>
      <c r="J204" s="26"/>
      <c r="K204" s="26">
        <f t="shared" si="82"/>
        <v>-133</v>
      </c>
      <c r="M204" s="79"/>
      <c r="N204" s="66"/>
      <c r="O204" s="27"/>
      <c r="P204" s="28"/>
      <c r="Q204" s="43"/>
      <c r="R204" s="29">
        <f t="shared" si="83"/>
        <v>0</v>
      </c>
      <c r="S204" s="54">
        <f t="shared" si="84"/>
        <v>0</v>
      </c>
      <c r="T204" s="11"/>
      <c r="U204" s="53"/>
      <c r="V204" s="29"/>
      <c r="W204" s="26">
        <f t="shared" si="86"/>
        <v>-3086</v>
      </c>
      <c r="X204" s="10"/>
      <c r="Y204" s="79"/>
      <c r="Z204" s="63"/>
      <c r="AA204" s="27"/>
      <c r="AB204" s="28"/>
      <c r="AC204" s="43"/>
      <c r="AD204" s="29">
        <f t="shared" si="88"/>
        <v>54</v>
      </c>
      <c r="AE204" s="29">
        <f t="shared" si="89"/>
        <v>54</v>
      </c>
      <c r="AG204" s="54"/>
      <c r="AI204" s="11"/>
    </row>
    <row r="205" spans="1:35" s="12" customFormat="1" hidden="1" outlineLevel="1">
      <c r="A205" s="95">
        <v>45879</v>
      </c>
      <c r="B205" s="25" t="s">
        <v>17</v>
      </c>
      <c r="C205" s="29"/>
      <c r="D205" s="29">
        <f t="shared" si="80"/>
        <v>0</v>
      </c>
      <c r="E205" s="29">
        <f t="shared" si="81"/>
        <v>-3225</v>
      </c>
      <c r="G205" s="64"/>
      <c r="H205" s="63"/>
      <c r="I205" s="53"/>
      <c r="J205" s="26"/>
      <c r="K205" s="26">
        <f t="shared" si="82"/>
        <v>-133</v>
      </c>
      <c r="M205" s="79"/>
      <c r="N205" s="66"/>
      <c r="O205" s="27"/>
      <c r="P205" s="28"/>
      <c r="Q205" s="43"/>
      <c r="R205" s="29">
        <f t="shared" si="83"/>
        <v>0</v>
      </c>
      <c r="S205" s="54">
        <f t="shared" si="84"/>
        <v>0</v>
      </c>
      <c r="T205" s="11"/>
      <c r="U205" s="53"/>
      <c r="V205" s="29"/>
      <c r="W205" s="26">
        <f t="shared" si="86"/>
        <v>-3086</v>
      </c>
      <c r="X205" s="10"/>
      <c r="Y205" s="79"/>
      <c r="Z205" s="63"/>
      <c r="AA205" s="27"/>
      <c r="AB205" s="28"/>
      <c r="AC205" s="43"/>
      <c r="AD205" s="29">
        <f t="shared" si="88"/>
        <v>54</v>
      </c>
      <c r="AE205" s="29">
        <f t="shared" si="89"/>
        <v>54</v>
      </c>
      <c r="AG205" s="54"/>
      <c r="AI205" s="11"/>
    </row>
    <row r="206" spans="1:35" s="12" customFormat="1" hidden="1" outlineLevel="1">
      <c r="A206" s="95">
        <v>45880</v>
      </c>
      <c r="B206" s="25" t="s">
        <v>18</v>
      </c>
      <c r="C206" s="29"/>
      <c r="D206" s="29">
        <f t="shared" si="80"/>
        <v>0</v>
      </c>
      <c r="E206" s="29">
        <f t="shared" si="81"/>
        <v>-3225</v>
      </c>
      <c r="G206" s="64"/>
      <c r="H206" s="63"/>
      <c r="I206" s="53"/>
      <c r="J206" s="26"/>
      <c r="K206" s="26">
        <f t="shared" si="82"/>
        <v>-133</v>
      </c>
      <c r="M206" s="79"/>
      <c r="N206" s="66"/>
      <c r="O206" s="27"/>
      <c r="P206" s="28"/>
      <c r="Q206" s="43"/>
      <c r="R206" s="29">
        <f t="shared" si="83"/>
        <v>0</v>
      </c>
      <c r="S206" s="54">
        <f t="shared" si="84"/>
        <v>0</v>
      </c>
      <c r="T206" s="11"/>
      <c r="U206" s="53"/>
      <c r="V206" s="29"/>
      <c r="W206" s="26">
        <f t="shared" si="86"/>
        <v>-3086</v>
      </c>
      <c r="X206" s="10"/>
      <c r="Y206" s="79"/>
      <c r="Z206" s="63"/>
      <c r="AA206" s="27"/>
      <c r="AB206" s="28"/>
      <c r="AC206" s="43"/>
      <c r="AD206" s="29">
        <f t="shared" si="88"/>
        <v>54</v>
      </c>
      <c r="AE206" s="29">
        <f t="shared" si="89"/>
        <v>54</v>
      </c>
      <c r="AG206" s="54"/>
      <c r="AI206" s="11"/>
    </row>
    <row r="207" spans="1:35" s="12" customFormat="1" hidden="1" outlineLevel="1">
      <c r="A207" s="95">
        <v>45881</v>
      </c>
      <c r="B207" s="25" t="s">
        <v>19</v>
      </c>
      <c r="C207" s="29"/>
      <c r="D207" s="29">
        <f t="shared" si="80"/>
        <v>0</v>
      </c>
      <c r="E207" s="29">
        <f t="shared" si="81"/>
        <v>-3225</v>
      </c>
      <c r="G207" s="64"/>
      <c r="H207" s="63"/>
      <c r="I207" s="53"/>
      <c r="J207" s="26"/>
      <c r="K207" s="26">
        <f t="shared" si="82"/>
        <v>-133</v>
      </c>
      <c r="M207" s="79"/>
      <c r="N207" s="66"/>
      <c r="O207" s="27"/>
      <c r="P207" s="28"/>
      <c r="Q207" s="43"/>
      <c r="R207" s="29">
        <f t="shared" si="83"/>
        <v>0</v>
      </c>
      <c r="S207" s="54">
        <f t="shared" si="84"/>
        <v>0</v>
      </c>
      <c r="T207" s="11"/>
      <c r="U207" s="53"/>
      <c r="V207" s="29"/>
      <c r="W207" s="26">
        <f t="shared" si="86"/>
        <v>-3086</v>
      </c>
      <c r="X207" s="10"/>
      <c r="Y207" s="79"/>
      <c r="Z207" s="63"/>
      <c r="AA207" s="27"/>
      <c r="AB207" s="28"/>
      <c r="AC207" s="43"/>
      <c r="AD207" s="29">
        <f t="shared" si="88"/>
        <v>54</v>
      </c>
      <c r="AE207" s="29">
        <f t="shared" si="89"/>
        <v>54</v>
      </c>
      <c r="AG207" s="54"/>
      <c r="AI207" s="11"/>
    </row>
    <row r="208" spans="1:35" s="12" customFormat="1" hidden="1" outlineLevel="1">
      <c r="A208" s="95">
        <v>45882</v>
      </c>
      <c r="B208" s="25" t="s">
        <v>20</v>
      </c>
      <c r="C208" s="29"/>
      <c r="D208" s="29">
        <f t="shared" si="80"/>
        <v>0</v>
      </c>
      <c r="E208" s="29">
        <f t="shared" si="81"/>
        <v>-3225</v>
      </c>
      <c r="G208" s="64"/>
      <c r="H208" s="63"/>
      <c r="I208" s="53"/>
      <c r="J208" s="26"/>
      <c r="K208" s="26">
        <f t="shared" si="82"/>
        <v>-133</v>
      </c>
      <c r="M208" s="79"/>
      <c r="N208" s="66"/>
      <c r="O208" s="27"/>
      <c r="P208" s="28"/>
      <c r="Q208" s="43"/>
      <c r="R208" s="29">
        <f t="shared" si="83"/>
        <v>0</v>
      </c>
      <c r="S208" s="54">
        <f t="shared" si="84"/>
        <v>0</v>
      </c>
      <c r="T208" s="11"/>
      <c r="U208" s="53"/>
      <c r="V208" s="29"/>
      <c r="W208" s="26">
        <f t="shared" si="86"/>
        <v>-3086</v>
      </c>
      <c r="X208" s="10"/>
      <c r="Y208" s="79"/>
      <c r="Z208" s="63"/>
      <c r="AA208" s="27"/>
      <c r="AB208" s="28"/>
      <c r="AC208" s="43"/>
      <c r="AD208" s="29">
        <f t="shared" si="88"/>
        <v>54</v>
      </c>
      <c r="AE208" s="29">
        <f t="shared" si="89"/>
        <v>54</v>
      </c>
      <c r="AG208" s="54"/>
      <c r="AI208" s="11"/>
    </row>
    <row r="209" spans="1:35" s="12" customFormat="1" hidden="1" outlineLevel="1" collapsed="1">
      <c r="A209" s="95">
        <v>45883</v>
      </c>
      <c r="B209" s="25" t="s">
        <v>14</v>
      </c>
      <c r="C209" s="29"/>
      <c r="D209" s="29">
        <f t="shared" si="80"/>
        <v>0</v>
      </c>
      <c r="E209" s="29">
        <f t="shared" si="81"/>
        <v>-3225</v>
      </c>
      <c r="G209" s="64"/>
      <c r="H209" s="63"/>
      <c r="I209" s="53"/>
      <c r="J209" s="26"/>
      <c r="K209" s="26">
        <f t="shared" si="82"/>
        <v>-133</v>
      </c>
      <c r="M209" s="79"/>
      <c r="N209" s="66"/>
      <c r="O209" s="27"/>
      <c r="P209" s="28"/>
      <c r="Q209" s="43"/>
      <c r="R209" s="29">
        <f t="shared" si="83"/>
        <v>0</v>
      </c>
      <c r="S209" s="54">
        <f t="shared" si="84"/>
        <v>0</v>
      </c>
      <c r="T209" s="11"/>
      <c r="U209" s="53"/>
      <c r="V209" s="29"/>
      <c r="W209" s="26">
        <f t="shared" si="86"/>
        <v>-3086</v>
      </c>
      <c r="X209" s="10"/>
      <c r="Y209" s="79"/>
      <c r="Z209" s="63"/>
      <c r="AA209" s="27"/>
      <c r="AB209" s="28"/>
      <c r="AC209" s="43"/>
      <c r="AD209" s="29">
        <f t="shared" si="88"/>
        <v>54</v>
      </c>
      <c r="AE209" s="29">
        <f t="shared" si="89"/>
        <v>54</v>
      </c>
      <c r="AG209" s="54"/>
      <c r="AI209" s="11"/>
    </row>
    <row r="210" spans="1:35" s="12" customFormat="1" hidden="1" outlineLevel="1">
      <c r="A210" s="95">
        <v>45884</v>
      </c>
      <c r="B210" s="25" t="s">
        <v>15</v>
      </c>
      <c r="C210" s="29"/>
      <c r="D210" s="29">
        <f t="shared" si="80"/>
        <v>0</v>
      </c>
      <c r="E210" s="29">
        <f t="shared" si="81"/>
        <v>-3225</v>
      </c>
      <c r="G210" s="64"/>
      <c r="H210" s="63"/>
      <c r="I210" s="53"/>
      <c r="J210" s="26"/>
      <c r="K210" s="26">
        <f t="shared" si="82"/>
        <v>-133</v>
      </c>
      <c r="M210" s="79"/>
      <c r="N210" s="66"/>
      <c r="O210" s="27"/>
      <c r="P210" s="28"/>
      <c r="Q210" s="43"/>
      <c r="R210" s="29">
        <f t="shared" si="83"/>
        <v>0</v>
      </c>
      <c r="S210" s="54">
        <f t="shared" si="84"/>
        <v>0</v>
      </c>
      <c r="T210" s="11"/>
      <c r="U210" s="53"/>
      <c r="V210" s="29"/>
      <c r="W210" s="26">
        <f t="shared" si="86"/>
        <v>-3086</v>
      </c>
      <c r="X210" s="10"/>
      <c r="Y210" s="79"/>
      <c r="Z210" s="63"/>
      <c r="AA210" s="27"/>
      <c r="AB210" s="28"/>
      <c r="AC210" s="43"/>
      <c r="AD210" s="29">
        <f t="shared" si="88"/>
        <v>54</v>
      </c>
      <c r="AE210" s="29">
        <f t="shared" si="89"/>
        <v>54</v>
      </c>
      <c r="AG210" s="54"/>
      <c r="AI210" s="11"/>
    </row>
    <row r="211" spans="1:35" s="12" customFormat="1" hidden="1" outlineLevel="1">
      <c r="A211" s="95">
        <v>45885</v>
      </c>
      <c r="B211" s="25" t="s">
        <v>16</v>
      </c>
      <c r="C211" s="29"/>
      <c r="D211" s="29">
        <f t="shared" si="80"/>
        <v>0</v>
      </c>
      <c r="E211" s="29">
        <f t="shared" si="81"/>
        <v>-3225</v>
      </c>
      <c r="G211" s="64"/>
      <c r="H211" s="63"/>
      <c r="I211" s="53"/>
      <c r="J211" s="26"/>
      <c r="K211" s="26">
        <f t="shared" si="82"/>
        <v>-133</v>
      </c>
      <c r="M211" s="79"/>
      <c r="N211" s="66"/>
      <c r="O211" s="27"/>
      <c r="P211" s="28"/>
      <c r="Q211" s="43"/>
      <c r="R211" s="29">
        <f t="shared" si="83"/>
        <v>0</v>
      </c>
      <c r="S211" s="54">
        <f t="shared" si="84"/>
        <v>0</v>
      </c>
      <c r="T211" s="11"/>
      <c r="U211" s="53"/>
      <c r="V211" s="29"/>
      <c r="W211" s="26">
        <f t="shared" si="86"/>
        <v>-3086</v>
      </c>
      <c r="X211" s="10"/>
      <c r="Y211" s="79"/>
      <c r="Z211" s="63"/>
      <c r="AA211" s="27"/>
      <c r="AB211" s="28"/>
      <c r="AC211" s="43"/>
      <c r="AD211" s="29">
        <f t="shared" si="88"/>
        <v>54</v>
      </c>
      <c r="AE211" s="29">
        <f t="shared" si="89"/>
        <v>54</v>
      </c>
      <c r="AG211" s="54"/>
      <c r="AI211" s="11"/>
    </row>
    <row r="212" spans="1:35" s="12" customFormat="1" hidden="1" outlineLevel="1">
      <c r="A212" s="95">
        <v>45886</v>
      </c>
      <c r="B212" s="25" t="s">
        <v>17</v>
      </c>
      <c r="C212" s="29"/>
      <c r="D212" s="29">
        <f t="shared" si="80"/>
        <v>0</v>
      </c>
      <c r="E212" s="29">
        <f t="shared" si="81"/>
        <v>-3225</v>
      </c>
      <c r="G212" s="64"/>
      <c r="H212" s="63"/>
      <c r="I212" s="53"/>
      <c r="J212" s="26"/>
      <c r="K212" s="26">
        <f t="shared" si="82"/>
        <v>-133</v>
      </c>
      <c r="M212" s="79"/>
      <c r="N212" s="66"/>
      <c r="O212" s="27"/>
      <c r="P212" s="28"/>
      <c r="Q212" s="43"/>
      <c r="R212" s="29">
        <f t="shared" si="83"/>
        <v>0</v>
      </c>
      <c r="S212" s="54">
        <f t="shared" si="84"/>
        <v>0</v>
      </c>
      <c r="T212" s="11"/>
      <c r="U212" s="53"/>
      <c r="V212" s="29"/>
      <c r="W212" s="26">
        <f t="shared" si="86"/>
        <v>-3086</v>
      </c>
      <c r="X212" s="10"/>
      <c r="Y212" s="79"/>
      <c r="Z212" s="63"/>
      <c r="AA212" s="27"/>
      <c r="AB212" s="28"/>
      <c r="AC212" s="43"/>
      <c r="AD212" s="29">
        <f t="shared" si="88"/>
        <v>54</v>
      </c>
      <c r="AE212" s="29">
        <f t="shared" si="89"/>
        <v>54</v>
      </c>
      <c r="AG212" s="54"/>
      <c r="AI212" s="11"/>
    </row>
    <row r="213" spans="1:35" hidden="1" outlineLevel="1">
      <c r="A213" s="96">
        <v>45887</v>
      </c>
      <c r="B213" s="17" t="s">
        <v>18</v>
      </c>
      <c r="C213" s="23">
        <v>45</v>
      </c>
      <c r="D213" s="23">
        <f t="shared" si="80"/>
        <v>0</v>
      </c>
      <c r="E213" s="23">
        <f t="shared" si="81"/>
        <v>-3270</v>
      </c>
      <c r="G213" s="19"/>
      <c r="H213" s="62"/>
      <c r="I213" s="51">
        <f>IF(M215&lt;&gt;"",N215+O215,IF(M217&lt;&gt;"",N217+O217,IF(M465&lt;&gt;"",N465+O465,IF(M466&lt;&gt;"",N466+O466,IF(M467&lt;&gt;"",N467+O467,IF(M468&lt;&gt;"",N468+O468))))))</f>
        <v>6</v>
      </c>
      <c r="J213" s="18"/>
      <c r="K213" s="18">
        <f t="shared" si="82"/>
        <v>-139</v>
      </c>
      <c r="M213" s="78">
        <v>3</v>
      </c>
      <c r="N213" s="65">
        <f t="shared" ref="N213:N217" si="90">M213</f>
        <v>3</v>
      </c>
      <c r="O213" s="20"/>
      <c r="P213" s="21"/>
      <c r="Q213" s="57">
        <v>3</v>
      </c>
      <c r="R213" s="23">
        <f t="shared" si="83"/>
        <v>0</v>
      </c>
      <c r="S213" s="52">
        <f t="shared" si="84"/>
        <v>0</v>
      </c>
      <c r="U213" s="51">
        <f t="shared" si="85"/>
        <v>39</v>
      </c>
      <c r="V213" s="23"/>
      <c r="W213" s="18">
        <f t="shared" si="86"/>
        <v>-3125</v>
      </c>
      <c r="X213" s="2"/>
      <c r="Y213" s="78">
        <v>54</v>
      </c>
      <c r="Z213" s="62">
        <f>U202</f>
        <v>27</v>
      </c>
      <c r="AA213" s="20"/>
      <c r="AB213" s="21"/>
      <c r="AC213" s="57">
        <v>27</v>
      </c>
      <c r="AD213" s="23">
        <f t="shared" si="88"/>
        <v>27</v>
      </c>
      <c r="AE213" s="23">
        <f t="shared" si="89"/>
        <v>27</v>
      </c>
      <c r="AG213" s="52"/>
    </row>
    <row r="214" spans="1:35" hidden="1" outlineLevel="1">
      <c r="A214" s="96">
        <v>45888</v>
      </c>
      <c r="B214" s="17" t="s">
        <v>19</v>
      </c>
      <c r="C214" s="23">
        <v>48</v>
      </c>
      <c r="D214" s="23">
        <f t="shared" si="80"/>
        <v>0</v>
      </c>
      <c r="E214" s="23">
        <f t="shared" si="81"/>
        <v>-3318</v>
      </c>
      <c r="G214" s="19"/>
      <c r="H214" s="62"/>
      <c r="I214" s="51">
        <f>IF(M216&lt;&gt;"",N216+O216,IF(M218&lt;&gt;"",N218+O218,IF(M466&lt;&gt;"",N466+O466,IF(M467&lt;&gt;"",N467+O467,IF(M468&lt;&gt;"",N468+O468,IF(M469&lt;&gt;"",N469+O469))))))</f>
        <v>3</v>
      </c>
      <c r="J214" s="18"/>
      <c r="K214" s="18">
        <f t="shared" si="82"/>
        <v>-142</v>
      </c>
      <c r="M214" s="78">
        <v>3</v>
      </c>
      <c r="N214" s="65">
        <f t="shared" si="90"/>
        <v>3</v>
      </c>
      <c r="O214" s="20"/>
      <c r="P214" s="21"/>
      <c r="Q214" s="57">
        <v>3</v>
      </c>
      <c r="R214" s="23">
        <f t="shared" si="83"/>
        <v>0</v>
      </c>
      <c r="S214" s="52">
        <f t="shared" si="84"/>
        <v>0</v>
      </c>
      <c r="U214" s="51">
        <f t="shared" si="85"/>
        <v>45</v>
      </c>
      <c r="V214" s="23"/>
      <c r="W214" s="18">
        <f t="shared" si="86"/>
        <v>-3170</v>
      </c>
      <c r="X214" s="2"/>
      <c r="Y214" s="78">
        <v>39</v>
      </c>
      <c r="Z214" s="62">
        <f>U203</f>
        <v>27</v>
      </c>
      <c r="AA214" s="20"/>
      <c r="AB214" s="21"/>
      <c r="AC214" s="57">
        <v>27</v>
      </c>
      <c r="AD214" s="23">
        <f t="shared" si="88"/>
        <v>15</v>
      </c>
      <c r="AE214" s="23">
        <f t="shared" si="89"/>
        <v>15</v>
      </c>
      <c r="AG214" s="52"/>
    </row>
    <row r="215" spans="1:35" hidden="1" outlineLevel="1">
      <c r="A215" s="96">
        <v>45889</v>
      </c>
      <c r="B215" s="17" t="s">
        <v>20</v>
      </c>
      <c r="C215" s="23">
        <v>48</v>
      </c>
      <c r="D215" s="23">
        <f t="shared" si="80"/>
        <v>0</v>
      </c>
      <c r="E215" s="23">
        <f t="shared" si="81"/>
        <v>-3366</v>
      </c>
      <c r="G215" s="19"/>
      <c r="H215" s="62"/>
      <c r="I215" s="51">
        <f>IF(M217&lt;&gt;"",N217+O217,IF(M219&lt;&gt;"",N219+O219,IF(M467&lt;&gt;"",N467+O467,IF(M468&lt;&gt;"",N468+O468,IF(M469&lt;&gt;"",N469+O469,IF(M470&lt;&gt;"",N470+O470))))))</f>
        <v>0</v>
      </c>
      <c r="J215" s="18"/>
      <c r="K215" s="18">
        <f t="shared" si="82"/>
        <v>-142</v>
      </c>
      <c r="M215" s="78">
        <v>6</v>
      </c>
      <c r="N215" s="65">
        <f t="shared" si="90"/>
        <v>6</v>
      </c>
      <c r="O215" s="20"/>
      <c r="P215" s="21"/>
      <c r="Q215" s="57">
        <v>6</v>
      </c>
      <c r="R215" s="23">
        <f t="shared" si="83"/>
        <v>0</v>
      </c>
      <c r="S215" s="52">
        <f t="shared" si="84"/>
        <v>0</v>
      </c>
      <c r="U215" s="51">
        <f t="shared" si="85"/>
        <v>48</v>
      </c>
      <c r="V215" s="23"/>
      <c r="W215" s="18">
        <f t="shared" si="86"/>
        <v>-3218</v>
      </c>
      <c r="X215" s="2"/>
      <c r="Y215" s="78">
        <v>51</v>
      </c>
      <c r="Z215" s="62">
        <f t="shared" si="87"/>
        <v>39</v>
      </c>
      <c r="AA215" s="20"/>
      <c r="AB215" s="21"/>
      <c r="AC215" s="57">
        <v>39</v>
      </c>
      <c r="AD215" s="23">
        <f t="shared" si="88"/>
        <v>3</v>
      </c>
      <c r="AE215" s="23">
        <f t="shared" si="89"/>
        <v>3</v>
      </c>
      <c r="AG215" s="52"/>
    </row>
    <row r="216" spans="1:35" hidden="1" outlineLevel="1">
      <c r="A216" s="96">
        <v>45890</v>
      </c>
      <c r="B216" s="17" t="s">
        <v>14</v>
      </c>
      <c r="C216" s="23">
        <v>48</v>
      </c>
      <c r="D216" s="23">
        <f t="shared" si="80"/>
        <v>0</v>
      </c>
      <c r="E216" s="23">
        <f t="shared" si="81"/>
        <v>-3414</v>
      </c>
      <c r="G216" s="19"/>
      <c r="H216" s="62"/>
      <c r="I216" s="51">
        <f>IF(M218&lt;&gt;"",N218+O218,IF(M220&lt;&gt;"",N220+O220,IF(M468&lt;&gt;"",N468+O468,IF(M469&lt;&gt;"",N469+O469,IF(M470&lt;&gt;"",N470+O470,IF(M471&lt;&gt;"",N471+O471))))))</f>
        <v>0</v>
      </c>
      <c r="J216" s="18"/>
      <c r="K216" s="18">
        <f t="shared" si="82"/>
        <v>-142</v>
      </c>
      <c r="M216" s="78">
        <v>3</v>
      </c>
      <c r="N216" s="65">
        <f t="shared" si="90"/>
        <v>3</v>
      </c>
      <c r="O216" s="20"/>
      <c r="P216" s="21"/>
      <c r="Q216" s="57">
        <v>3</v>
      </c>
      <c r="R216" s="23">
        <f t="shared" si="83"/>
        <v>0</v>
      </c>
      <c r="S216" s="52">
        <f t="shared" si="84"/>
        <v>0</v>
      </c>
      <c r="U216" s="51">
        <f t="shared" si="85"/>
        <v>48</v>
      </c>
      <c r="V216" s="23"/>
      <c r="W216" s="18">
        <f t="shared" si="86"/>
        <v>-3266</v>
      </c>
      <c r="X216" s="2"/>
      <c r="Y216" s="78">
        <v>42</v>
      </c>
      <c r="Z216" s="62">
        <f t="shared" si="87"/>
        <v>45</v>
      </c>
      <c r="AA216" s="20"/>
      <c r="AB216" s="21"/>
      <c r="AC216" s="57">
        <v>45</v>
      </c>
      <c r="AD216" s="23">
        <f t="shared" si="88"/>
        <v>6</v>
      </c>
      <c r="AE216" s="23">
        <f t="shared" si="89"/>
        <v>6</v>
      </c>
      <c r="AG216" s="52"/>
    </row>
    <row r="217" spans="1:35" hidden="1" outlineLevel="1">
      <c r="A217" s="96">
        <v>45891</v>
      </c>
      <c r="B217" s="17" t="s">
        <v>15</v>
      </c>
      <c r="C217" s="23">
        <v>45</v>
      </c>
      <c r="D217" s="23">
        <f t="shared" si="80"/>
        <v>0</v>
      </c>
      <c r="E217" s="23">
        <f t="shared" si="81"/>
        <v>-3459</v>
      </c>
      <c r="G217" s="19"/>
      <c r="H217" s="62"/>
      <c r="I217" s="51">
        <f>IF(M219&lt;&gt;"",N219+O219,IF(M221&lt;&gt;"",N221+O221,IF(M469&lt;&gt;"",N469+O469,IF(M470&lt;&gt;"",N470+O470,IF(M471&lt;&gt;"",N471+O471,IF(M472&lt;&gt;"",N472+O472))))))</f>
        <v>3</v>
      </c>
      <c r="J217" s="18"/>
      <c r="K217" s="18">
        <f t="shared" si="82"/>
        <v>-145</v>
      </c>
      <c r="M217" s="78">
        <v>0</v>
      </c>
      <c r="N217" s="65">
        <f t="shared" si="90"/>
        <v>0</v>
      </c>
      <c r="O217" s="20"/>
      <c r="P217" s="21"/>
      <c r="Q217" s="57">
        <v>0</v>
      </c>
      <c r="R217" s="23">
        <f t="shared" si="83"/>
        <v>0</v>
      </c>
      <c r="S217" s="52">
        <f t="shared" si="84"/>
        <v>0</v>
      </c>
      <c r="U217" s="51">
        <f t="shared" si="85"/>
        <v>42</v>
      </c>
      <c r="V217" s="23"/>
      <c r="W217" s="18">
        <f t="shared" si="86"/>
        <v>-3308</v>
      </c>
      <c r="X217" s="2"/>
      <c r="Y217" s="78">
        <v>42</v>
      </c>
      <c r="Z217" s="62">
        <f t="shared" si="87"/>
        <v>48</v>
      </c>
      <c r="AA217" s="20"/>
      <c r="AB217" s="21"/>
      <c r="AC217" s="57">
        <v>48</v>
      </c>
      <c r="AD217" s="23">
        <f t="shared" si="88"/>
        <v>12</v>
      </c>
      <c r="AE217" s="23">
        <f t="shared" si="89"/>
        <v>12</v>
      </c>
      <c r="AG217" s="52"/>
      <c r="AI217">
        <f>SUM(M213:M217,Y213:Y217)/COUNT(Y213:Y217)</f>
        <v>48.6</v>
      </c>
    </row>
    <row r="218" spans="1:35" s="12" customFormat="1" hidden="1" outlineLevel="1">
      <c r="A218" s="95">
        <v>45892</v>
      </c>
      <c r="B218" s="25" t="s">
        <v>16</v>
      </c>
      <c r="C218" s="29"/>
      <c r="D218" s="29">
        <f t="shared" si="80"/>
        <v>0</v>
      </c>
      <c r="E218" s="29">
        <f t="shared" si="81"/>
        <v>-3459</v>
      </c>
      <c r="G218" s="64"/>
      <c r="H218" s="63"/>
      <c r="I218" s="53"/>
      <c r="J218" s="26"/>
      <c r="K218" s="26">
        <f t="shared" si="82"/>
        <v>-145</v>
      </c>
      <c r="M218" s="79"/>
      <c r="N218" s="66"/>
      <c r="O218" s="27"/>
      <c r="P218" s="28"/>
      <c r="Q218" s="43"/>
      <c r="R218" s="29">
        <f t="shared" si="83"/>
        <v>0</v>
      </c>
      <c r="S218" s="54">
        <f t="shared" si="84"/>
        <v>0</v>
      </c>
      <c r="T218" s="11"/>
      <c r="U218" s="53"/>
      <c r="V218" s="29"/>
      <c r="W218" s="26">
        <f t="shared" si="86"/>
        <v>-3308</v>
      </c>
      <c r="X218" s="10"/>
      <c r="Y218" s="79"/>
      <c r="Z218" s="63"/>
      <c r="AA218" s="27"/>
      <c r="AB218" s="28"/>
      <c r="AC218" s="43"/>
      <c r="AD218" s="29">
        <f t="shared" si="88"/>
        <v>12</v>
      </c>
      <c r="AE218" s="29">
        <f t="shared" si="89"/>
        <v>12</v>
      </c>
      <c r="AG218" s="54"/>
      <c r="AI218" s="11"/>
    </row>
    <row r="219" spans="1:35" s="12" customFormat="1" hidden="1" outlineLevel="1" collapsed="1">
      <c r="A219" s="95">
        <v>45893</v>
      </c>
      <c r="B219" s="25" t="s">
        <v>17</v>
      </c>
      <c r="C219" s="29"/>
      <c r="D219" s="29">
        <f t="shared" si="80"/>
        <v>0</v>
      </c>
      <c r="E219" s="29">
        <f t="shared" si="81"/>
        <v>-3459</v>
      </c>
      <c r="G219" s="64"/>
      <c r="H219" s="63"/>
      <c r="I219" s="53"/>
      <c r="J219" s="26"/>
      <c r="K219" s="26">
        <f t="shared" si="82"/>
        <v>-145</v>
      </c>
      <c r="M219" s="79"/>
      <c r="N219" s="66"/>
      <c r="O219" s="27"/>
      <c r="P219" s="28"/>
      <c r="Q219" s="43"/>
      <c r="R219" s="29">
        <f t="shared" si="83"/>
        <v>0</v>
      </c>
      <c r="S219" s="54">
        <f t="shared" si="84"/>
        <v>0</v>
      </c>
      <c r="T219" s="11"/>
      <c r="U219" s="53"/>
      <c r="V219" s="29"/>
      <c r="W219" s="26">
        <f t="shared" si="86"/>
        <v>-3308</v>
      </c>
      <c r="X219" s="10"/>
      <c r="Y219" s="79"/>
      <c r="Z219" s="63"/>
      <c r="AA219" s="27"/>
      <c r="AB219" s="28"/>
      <c r="AC219" s="43"/>
      <c r="AD219" s="29">
        <f t="shared" si="88"/>
        <v>12</v>
      </c>
      <c r="AE219" s="29">
        <f t="shared" si="89"/>
        <v>12</v>
      </c>
      <c r="AG219" s="54"/>
      <c r="AI219" s="11"/>
    </row>
    <row r="220" spans="1:35" hidden="1" outlineLevel="1">
      <c r="A220" s="96">
        <v>45894</v>
      </c>
      <c r="B220" s="17" t="s">
        <v>18</v>
      </c>
      <c r="C220" s="23">
        <v>42</v>
      </c>
      <c r="D220" s="23">
        <f t="shared" si="80"/>
        <v>0</v>
      </c>
      <c r="E220" s="23">
        <f t="shared" si="81"/>
        <v>-3501</v>
      </c>
      <c r="G220" s="19"/>
      <c r="H220" s="62"/>
      <c r="I220" s="51">
        <f>IF(M222&lt;&gt;"",N222+O222,IF(M224&lt;&gt;"",N224+O224,IF(M472&lt;&gt;"",N472+O472,IF(M473&lt;&gt;"",N473+O473,IF(M474&lt;&gt;"",N474+O474,IF(M475&lt;&gt;"",N475+O475))))))</f>
        <v>6</v>
      </c>
      <c r="J220" s="18"/>
      <c r="K220" s="18">
        <f t="shared" si="82"/>
        <v>-151</v>
      </c>
      <c r="M220" s="78">
        <v>0</v>
      </c>
      <c r="N220" s="65">
        <f t="shared" ref="N220:N224" si="91">M220</f>
        <v>0</v>
      </c>
      <c r="O220" s="20"/>
      <c r="P220" s="21"/>
      <c r="Q220" s="57">
        <v>0</v>
      </c>
      <c r="R220" s="23">
        <f t="shared" si="83"/>
        <v>0</v>
      </c>
      <c r="S220" s="52">
        <f t="shared" si="84"/>
        <v>0</v>
      </c>
      <c r="U220" s="51">
        <f t="shared" si="85"/>
        <v>36</v>
      </c>
      <c r="V220" s="23"/>
      <c r="W220" s="18">
        <f t="shared" si="86"/>
        <v>-3344</v>
      </c>
      <c r="X220" s="2"/>
      <c r="Y220" s="78">
        <f>3+6</f>
        <v>9</v>
      </c>
      <c r="Z220" s="62">
        <f t="shared" si="87"/>
        <v>48</v>
      </c>
      <c r="AA220" s="20"/>
      <c r="AB220" s="21"/>
      <c r="AC220" s="57">
        <v>48</v>
      </c>
      <c r="AD220" s="23">
        <f t="shared" si="88"/>
        <v>51</v>
      </c>
      <c r="AE220" s="23">
        <f t="shared" si="89"/>
        <v>51</v>
      </c>
      <c r="AG220" s="52"/>
    </row>
    <row r="221" spans="1:35" hidden="1" outlineLevel="1">
      <c r="A221" s="96">
        <v>45895</v>
      </c>
      <c r="B221" s="17" t="s">
        <v>19</v>
      </c>
      <c r="C221" s="23">
        <v>42</v>
      </c>
      <c r="D221" s="23">
        <f t="shared" si="80"/>
        <v>0</v>
      </c>
      <c r="E221" s="23">
        <f t="shared" si="81"/>
        <v>-3543</v>
      </c>
      <c r="G221" s="19"/>
      <c r="H221" s="62"/>
      <c r="I221" s="51">
        <f>IF(M223&lt;&gt;"",N223+O223,IF(M225&lt;&gt;"",N225+O225,IF(M473&lt;&gt;"",N473+O473,IF(M474&lt;&gt;"",N474+O474,IF(M475&lt;&gt;"",N475+O475,IF(M476&lt;&gt;"",N476+O476))))))</f>
        <v>3</v>
      </c>
      <c r="J221" s="18"/>
      <c r="K221" s="18">
        <f t="shared" si="82"/>
        <v>-154</v>
      </c>
      <c r="M221" s="78">
        <v>3</v>
      </c>
      <c r="N221" s="65">
        <f t="shared" si="91"/>
        <v>3</v>
      </c>
      <c r="O221" s="20"/>
      <c r="P221" s="21"/>
      <c r="Q221" s="57">
        <v>3</v>
      </c>
      <c r="R221" s="23">
        <f t="shared" si="83"/>
        <v>0</v>
      </c>
      <c r="S221" s="52">
        <f t="shared" si="84"/>
        <v>0</v>
      </c>
      <c r="U221" s="51">
        <f t="shared" si="85"/>
        <v>39</v>
      </c>
      <c r="V221" s="23"/>
      <c r="W221" s="18">
        <f t="shared" si="86"/>
        <v>-3383</v>
      </c>
      <c r="X221" s="2"/>
      <c r="Y221" s="78">
        <v>42</v>
      </c>
      <c r="Z221" s="62">
        <f t="shared" si="87"/>
        <v>42</v>
      </c>
      <c r="AA221" s="20"/>
      <c r="AB221" s="21"/>
      <c r="AC221" s="57">
        <v>42</v>
      </c>
      <c r="AD221" s="23">
        <f t="shared" si="88"/>
        <v>51</v>
      </c>
      <c r="AE221" s="23">
        <f t="shared" si="89"/>
        <v>51</v>
      </c>
      <c r="AG221" s="52"/>
    </row>
    <row r="222" spans="1:35" hidden="1" outlineLevel="1">
      <c r="A222" s="96">
        <v>45896</v>
      </c>
      <c r="B222" s="17" t="s">
        <v>20</v>
      </c>
      <c r="C222" s="23">
        <v>42</v>
      </c>
      <c r="D222" s="23">
        <f t="shared" si="80"/>
        <v>0</v>
      </c>
      <c r="E222" s="23">
        <f t="shared" si="81"/>
        <v>-3585</v>
      </c>
      <c r="G222" s="19"/>
      <c r="H222" s="62"/>
      <c r="I222" s="51">
        <f>IF(M224&lt;&gt;"",N224+O224,IF(M226&lt;&gt;"",N226+O226,IF(M474&lt;&gt;"",N474+O474,IF(M475&lt;&gt;"",N475+O475,IF(M476&lt;&gt;"",N476+O476,IF(M477&lt;&gt;"",N477+O477))))))</f>
        <v>6</v>
      </c>
      <c r="J222" s="18"/>
      <c r="K222" s="18">
        <f t="shared" si="82"/>
        <v>-160</v>
      </c>
      <c r="M222" s="78">
        <v>6</v>
      </c>
      <c r="N222" s="65">
        <f t="shared" si="91"/>
        <v>6</v>
      </c>
      <c r="O222" s="20"/>
      <c r="P222" s="21"/>
      <c r="Q222" s="57">
        <v>6</v>
      </c>
      <c r="R222" s="23">
        <f t="shared" si="83"/>
        <v>0</v>
      </c>
      <c r="S222" s="52">
        <f t="shared" si="84"/>
        <v>0</v>
      </c>
      <c r="U222" s="51">
        <f t="shared" si="85"/>
        <v>36</v>
      </c>
      <c r="V222" s="23"/>
      <c r="W222" s="18">
        <f t="shared" si="86"/>
        <v>-3419</v>
      </c>
      <c r="X222" s="2"/>
      <c r="Y222" s="78">
        <v>51</v>
      </c>
      <c r="Z222" s="62">
        <f t="shared" si="87"/>
        <v>36</v>
      </c>
      <c r="AA222" s="20"/>
      <c r="AB222" s="21"/>
      <c r="AC222" s="57">
        <v>36</v>
      </c>
      <c r="AD222" s="23">
        <f t="shared" si="88"/>
        <v>36</v>
      </c>
      <c r="AE222" s="23">
        <f t="shared" si="89"/>
        <v>36</v>
      </c>
      <c r="AG222" s="52"/>
    </row>
    <row r="223" spans="1:35" hidden="1" outlineLevel="1">
      <c r="A223" s="96">
        <v>45897</v>
      </c>
      <c r="B223" s="17" t="s">
        <v>14</v>
      </c>
      <c r="C223" s="23">
        <v>42</v>
      </c>
      <c r="D223" s="23">
        <f t="shared" si="80"/>
        <v>0</v>
      </c>
      <c r="E223" s="23">
        <f t="shared" si="81"/>
        <v>-3627</v>
      </c>
      <c r="G223" s="19"/>
      <c r="H223" s="62"/>
      <c r="I223" s="51">
        <f>IF(M225&lt;&gt;"",N225+O225,IF(M227&lt;&gt;"",N227+O227,IF(M475&lt;&gt;"",N475+O475,IF(M476&lt;&gt;"",N476+O476,IF(M477&lt;&gt;"",N477+O477,IF(M478&lt;&gt;"",N478+O478))))))</f>
        <v>3</v>
      </c>
      <c r="J223" s="18"/>
      <c r="K223" s="18">
        <f t="shared" si="82"/>
        <v>-163</v>
      </c>
      <c r="M223" s="78">
        <v>3</v>
      </c>
      <c r="N223" s="65">
        <f t="shared" si="91"/>
        <v>3</v>
      </c>
      <c r="O223" s="20"/>
      <c r="P223" s="21"/>
      <c r="Q223" s="57">
        <v>3</v>
      </c>
      <c r="R223" s="23">
        <f t="shared" si="83"/>
        <v>0</v>
      </c>
      <c r="S223" s="52">
        <f t="shared" si="84"/>
        <v>0</v>
      </c>
      <c r="U223" s="51">
        <f t="shared" si="85"/>
        <v>39</v>
      </c>
      <c r="V223" s="23"/>
      <c r="W223" s="18">
        <f t="shared" si="86"/>
        <v>-3458</v>
      </c>
      <c r="X223" s="2"/>
      <c r="Y223" s="78">
        <v>54</v>
      </c>
      <c r="Z223" s="62">
        <f t="shared" si="87"/>
        <v>39</v>
      </c>
      <c r="AA223" s="20"/>
      <c r="AB223" s="21"/>
      <c r="AC223" s="57">
        <v>39</v>
      </c>
      <c r="AD223" s="23">
        <f t="shared" si="88"/>
        <v>21</v>
      </c>
      <c r="AE223" s="23">
        <f t="shared" si="89"/>
        <v>21</v>
      </c>
      <c r="AG223" s="52"/>
    </row>
    <row r="224" spans="1:35" hidden="1" outlineLevel="1">
      <c r="A224" s="96">
        <v>45898</v>
      </c>
      <c r="B224" s="17" t="s">
        <v>15</v>
      </c>
      <c r="C224" s="23">
        <v>45</v>
      </c>
      <c r="D224" s="23">
        <f t="shared" si="80"/>
        <v>0</v>
      </c>
      <c r="E224" s="23">
        <f t="shared" si="81"/>
        <v>-3672</v>
      </c>
      <c r="G224" s="19"/>
      <c r="H224" s="62"/>
      <c r="I224" s="51">
        <f>IF(M226&lt;&gt;"",N226+O226,IF(M228&lt;&gt;"",N228+O228,IF(M476&lt;&gt;"",N476+O476,IF(M477&lt;&gt;"",N477+O477,IF(M478&lt;&gt;"",N478+O478,IF(M479&lt;&gt;"",N479+O479))))))</f>
        <v>0</v>
      </c>
      <c r="J224" s="18"/>
      <c r="K224" s="18">
        <f t="shared" si="82"/>
        <v>-163</v>
      </c>
      <c r="M224" s="78">
        <v>6</v>
      </c>
      <c r="N224" s="65">
        <f t="shared" si="91"/>
        <v>6</v>
      </c>
      <c r="O224" s="20"/>
      <c r="P224" s="21"/>
      <c r="Q224" s="57">
        <v>6</v>
      </c>
      <c r="R224" s="23">
        <f t="shared" si="83"/>
        <v>0</v>
      </c>
      <c r="S224" s="52">
        <f t="shared" si="84"/>
        <v>0</v>
      </c>
      <c r="U224" s="51">
        <f t="shared" si="85"/>
        <v>45</v>
      </c>
      <c r="V224" s="23"/>
      <c r="W224" s="18">
        <f t="shared" si="86"/>
        <v>-3503</v>
      </c>
      <c r="X224" s="2"/>
      <c r="Y224" s="78">
        <v>39</v>
      </c>
      <c r="Z224" s="62">
        <f t="shared" si="87"/>
        <v>36</v>
      </c>
      <c r="AA224" s="20"/>
      <c r="AB224" s="21"/>
      <c r="AC224" s="57">
        <v>36</v>
      </c>
      <c r="AD224" s="23">
        <f t="shared" si="88"/>
        <v>18</v>
      </c>
      <c r="AE224" s="23">
        <f t="shared" si="89"/>
        <v>18</v>
      </c>
      <c r="AG224" s="52"/>
      <c r="AI224">
        <f>SUM(M220:M224,Y220:Y224)/COUNT(Y220:Y224)</f>
        <v>42.6</v>
      </c>
    </row>
    <row r="225" spans="1:35" s="12" customFormat="1" hidden="1" outlineLevel="1">
      <c r="A225" s="95">
        <v>45899</v>
      </c>
      <c r="B225" s="25" t="s">
        <v>16</v>
      </c>
      <c r="C225" s="29"/>
      <c r="D225" s="29">
        <f t="shared" si="80"/>
        <v>0</v>
      </c>
      <c r="E225" s="29">
        <f t="shared" si="81"/>
        <v>-3672</v>
      </c>
      <c r="G225" s="64"/>
      <c r="H225" s="63"/>
      <c r="I225" s="53"/>
      <c r="J225" s="26"/>
      <c r="K225" s="26">
        <f t="shared" si="82"/>
        <v>-163</v>
      </c>
      <c r="M225" s="64"/>
      <c r="N225" s="66"/>
      <c r="O225" s="27"/>
      <c r="P225" s="28"/>
      <c r="Q225" s="43"/>
      <c r="R225" s="29">
        <f t="shared" si="83"/>
        <v>0</v>
      </c>
      <c r="S225" s="54">
        <f t="shared" si="84"/>
        <v>0</v>
      </c>
      <c r="T225" s="11"/>
      <c r="U225" s="53"/>
      <c r="V225" s="29"/>
      <c r="W225" s="26">
        <f t="shared" si="86"/>
        <v>-3503</v>
      </c>
      <c r="X225" s="10"/>
      <c r="Y225" s="64"/>
      <c r="Z225" s="63"/>
      <c r="AA225" s="27"/>
      <c r="AB225" s="28"/>
      <c r="AC225" s="43"/>
      <c r="AD225" s="29">
        <f t="shared" si="88"/>
        <v>18</v>
      </c>
      <c r="AE225" s="29">
        <f t="shared" si="89"/>
        <v>18</v>
      </c>
      <c r="AG225" s="54"/>
      <c r="AI225" s="11"/>
    </row>
    <row r="226" spans="1:35" s="12" customFormat="1" hidden="1" outlineLevel="1" collapsed="1">
      <c r="A226" s="95">
        <v>45900</v>
      </c>
      <c r="B226" s="25" t="s">
        <v>17</v>
      </c>
      <c r="C226" s="29"/>
      <c r="D226" s="29">
        <f t="shared" si="80"/>
        <v>0</v>
      </c>
      <c r="E226" s="29">
        <f t="shared" si="81"/>
        <v>-3672</v>
      </c>
      <c r="G226" s="64"/>
      <c r="H226" s="63"/>
      <c r="I226" s="53"/>
      <c r="J226" s="26"/>
      <c r="K226" s="26">
        <f t="shared" si="82"/>
        <v>-163</v>
      </c>
      <c r="M226" s="64"/>
      <c r="N226" s="66"/>
      <c r="O226" s="27"/>
      <c r="P226" s="28"/>
      <c r="Q226" s="43"/>
      <c r="R226" s="29">
        <f t="shared" si="83"/>
        <v>0</v>
      </c>
      <c r="S226" s="54">
        <f t="shared" si="84"/>
        <v>0</v>
      </c>
      <c r="T226" s="11"/>
      <c r="U226" s="53"/>
      <c r="V226" s="29"/>
      <c r="W226" s="26">
        <f t="shared" si="86"/>
        <v>-3503</v>
      </c>
      <c r="X226" s="10"/>
      <c r="Y226" s="64"/>
      <c r="Z226" s="63"/>
      <c r="AA226" s="27"/>
      <c r="AB226" s="28"/>
      <c r="AC226" s="43"/>
      <c r="AD226" s="29">
        <f t="shared" si="88"/>
        <v>18</v>
      </c>
      <c r="AE226" s="29">
        <f t="shared" si="89"/>
        <v>18</v>
      </c>
      <c r="AG226" s="54"/>
      <c r="AI226" s="11"/>
    </row>
    <row r="227" spans="1:35" hidden="1" outlineLevel="1">
      <c r="A227" s="96">
        <v>45901</v>
      </c>
      <c r="B227" s="17" t="s">
        <v>18</v>
      </c>
      <c r="C227" s="23">
        <v>60</v>
      </c>
      <c r="D227" s="23">
        <f t="shared" si="80"/>
        <v>0</v>
      </c>
      <c r="E227" s="23">
        <f t="shared" si="81"/>
        <v>-3732</v>
      </c>
      <c r="G227" s="19"/>
      <c r="H227" s="62"/>
      <c r="I227" s="51">
        <f t="shared" ref="I227:I236" si="92">IF(M229&lt;&gt;"",N229+O229,IF(M231&lt;&gt;"",N231+O231,IF(M479&lt;&gt;"",N479+O479,IF(M480&lt;&gt;"",N480+O480,IF(M481&lt;&gt;"",N481+O481,IF(M482&lt;&gt;"",N482+O482))))))</f>
        <v>3</v>
      </c>
      <c r="J227" s="18"/>
      <c r="K227" s="18">
        <f t="shared" si="82"/>
        <v>-166</v>
      </c>
      <c r="M227" s="78">
        <v>3</v>
      </c>
      <c r="N227" s="65">
        <f t="shared" ref="N227:N231" si="93">M227</f>
        <v>3</v>
      </c>
      <c r="O227" s="20"/>
      <c r="P227" s="21"/>
      <c r="Q227" s="57">
        <v>3</v>
      </c>
      <c r="R227" s="23">
        <f t="shared" si="83"/>
        <v>0</v>
      </c>
      <c r="S227" s="52">
        <f t="shared" si="84"/>
        <v>0</v>
      </c>
      <c r="U227" s="51">
        <f t="shared" si="85"/>
        <v>57</v>
      </c>
      <c r="V227" s="23"/>
      <c r="W227" s="18">
        <f t="shared" si="86"/>
        <v>-3560</v>
      </c>
      <c r="X227" s="2"/>
      <c r="Y227" s="78">
        <v>54</v>
      </c>
      <c r="Z227" s="62">
        <f t="shared" si="87"/>
        <v>39</v>
      </c>
      <c r="AA227" s="20"/>
      <c r="AB227" s="21"/>
      <c r="AC227" s="57">
        <v>39</v>
      </c>
      <c r="AD227" s="23">
        <f t="shared" si="88"/>
        <v>3</v>
      </c>
      <c r="AE227" s="23">
        <f t="shared" si="89"/>
        <v>3</v>
      </c>
      <c r="AG227" s="52"/>
    </row>
    <row r="228" spans="1:35" hidden="1" outlineLevel="1">
      <c r="A228" s="96">
        <v>45902</v>
      </c>
      <c r="B228" s="17" t="s">
        <v>19</v>
      </c>
      <c r="C228" s="23">
        <v>60</v>
      </c>
      <c r="D228" s="23">
        <f t="shared" si="80"/>
        <v>0</v>
      </c>
      <c r="E228" s="23">
        <f t="shared" si="81"/>
        <v>-3792</v>
      </c>
      <c r="G228" s="19"/>
      <c r="H228" s="62"/>
      <c r="I228" s="51">
        <f t="shared" si="92"/>
        <v>3</v>
      </c>
      <c r="J228" s="18"/>
      <c r="K228" s="18">
        <f t="shared" si="82"/>
        <v>-169</v>
      </c>
      <c r="M228" s="78">
        <v>0</v>
      </c>
      <c r="N228" s="65">
        <f t="shared" si="93"/>
        <v>0</v>
      </c>
      <c r="O228" s="20"/>
      <c r="P228" s="21"/>
      <c r="Q228" s="57">
        <v>0</v>
      </c>
      <c r="R228" s="23">
        <f t="shared" si="83"/>
        <v>0</v>
      </c>
      <c r="S228" s="52">
        <f t="shared" si="84"/>
        <v>0</v>
      </c>
      <c r="U228" s="51">
        <f t="shared" si="85"/>
        <v>57</v>
      </c>
      <c r="V228" s="23"/>
      <c r="W228" s="18">
        <f t="shared" si="86"/>
        <v>-3617</v>
      </c>
      <c r="X228" s="2"/>
      <c r="Y228" s="78">
        <v>42</v>
      </c>
      <c r="Z228" s="62">
        <f t="shared" si="87"/>
        <v>45</v>
      </c>
      <c r="AA228" s="20"/>
      <c r="AB228" s="21"/>
      <c r="AC228" s="57">
        <v>45</v>
      </c>
      <c r="AD228" s="23">
        <f t="shared" si="88"/>
        <v>6</v>
      </c>
      <c r="AE228" s="23">
        <f t="shared" si="89"/>
        <v>6</v>
      </c>
      <c r="AG228" s="52"/>
    </row>
    <row r="229" spans="1:35" hidden="1" outlineLevel="1">
      <c r="A229" s="96">
        <v>45903</v>
      </c>
      <c r="B229" s="17" t="s">
        <v>20</v>
      </c>
      <c r="C229" s="23">
        <v>60</v>
      </c>
      <c r="D229" s="23">
        <f t="shared" si="80"/>
        <v>0</v>
      </c>
      <c r="E229" s="23">
        <f t="shared" si="81"/>
        <v>-3852</v>
      </c>
      <c r="G229" s="19"/>
      <c r="H229" s="62"/>
      <c r="I229" s="51">
        <f t="shared" si="92"/>
        <v>0</v>
      </c>
      <c r="J229" s="18"/>
      <c r="K229" s="18">
        <f t="shared" si="82"/>
        <v>-169</v>
      </c>
      <c r="M229" s="78">
        <v>3</v>
      </c>
      <c r="N229" s="65">
        <f t="shared" si="93"/>
        <v>3</v>
      </c>
      <c r="O229" s="20"/>
      <c r="P229" s="21"/>
      <c r="Q229" s="57">
        <v>3</v>
      </c>
      <c r="R229" s="23">
        <f t="shared" si="83"/>
        <v>0</v>
      </c>
      <c r="S229" s="52">
        <f t="shared" si="84"/>
        <v>0</v>
      </c>
      <c r="U229" s="51">
        <f t="shared" si="85"/>
        <v>60</v>
      </c>
      <c r="V229" s="23"/>
      <c r="W229" s="18">
        <f t="shared" si="86"/>
        <v>-3677</v>
      </c>
      <c r="X229" s="2"/>
      <c r="Y229" s="78">
        <v>60</v>
      </c>
      <c r="Z229" s="62">
        <f t="shared" si="87"/>
        <v>57</v>
      </c>
      <c r="AA229" s="20"/>
      <c r="AB229" s="21"/>
      <c r="AC229" s="57">
        <v>57</v>
      </c>
      <c r="AD229" s="23">
        <f t="shared" si="88"/>
        <v>3</v>
      </c>
      <c r="AE229" s="23">
        <f t="shared" si="89"/>
        <v>3</v>
      </c>
      <c r="AG229" s="52"/>
    </row>
    <row r="230" spans="1:35" hidden="1" outlineLevel="1">
      <c r="A230" s="96">
        <v>45904</v>
      </c>
      <c r="B230" s="17" t="s">
        <v>14</v>
      </c>
      <c r="C230" s="23">
        <v>60</v>
      </c>
      <c r="D230" s="23">
        <f t="shared" si="80"/>
        <v>0</v>
      </c>
      <c r="E230" s="23">
        <f t="shared" si="81"/>
        <v>-3912</v>
      </c>
      <c r="G230" s="19"/>
      <c r="H230" s="62"/>
      <c r="I230" s="51">
        <f t="shared" si="92"/>
        <v>3</v>
      </c>
      <c r="J230" s="18"/>
      <c r="K230" s="18">
        <f t="shared" si="82"/>
        <v>-172</v>
      </c>
      <c r="M230" s="78">
        <v>3</v>
      </c>
      <c r="N230" s="65">
        <f t="shared" si="93"/>
        <v>3</v>
      </c>
      <c r="O230" s="20"/>
      <c r="P230" s="21"/>
      <c r="Q230" s="57">
        <v>3</v>
      </c>
      <c r="R230" s="23">
        <f t="shared" si="83"/>
        <v>0</v>
      </c>
      <c r="S230" s="52">
        <f t="shared" si="84"/>
        <v>0</v>
      </c>
      <c r="U230" s="51">
        <f t="shared" si="85"/>
        <v>57</v>
      </c>
      <c r="V230" s="23"/>
      <c r="W230" s="18">
        <f t="shared" si="86"/>
        <v>-3734</v>
      </c>
      <c r="X230" s="2"/>
      <c r="Y230" s="78">
        <v>51</v>
      </c>
      <c r="Z230" s="62">
        <f t="shared" si="87"/>
        <v>57</v>
      </c>
      <c r="AA230" s="20"/>
      <c r="AB230" s="21"/>
      <c r="AC230" s="57">
        <v>57</v>
      </c>
      <c r="AD230" s="23">
        <f t="shared" si="88"/>
        <v>9</v>
      </c>
      <c r="AE230" s="23">
        <f t="shared" si="89"/>
        <v>9</v>
      </c>
      <c r="AG230" s="52"/>
    </row>
    <row r="231" spans="1:35" hidden="1" outlineLevel="1">
      <c r="A231" s="96">
        <v>45905</v>
      </c>
      <c r="B231" s="17" t="s">
        <v>15</v>
      </c>
      <c r="C231" s="23">
        <f>63-33</f>
        <v>30</v>
      </c>
      <c r="D231" s="23">
        <f t="shared" si="80"/>
        <v>0</v>
      </c>
      <c r="E231" s="23">
        <f t="shared" si="81"/>
        <v>-3942</v>
      </c>
      <c r="G231" s="19"/>
      <c r="H231" s="62"/>
      <c r="I231" s="51">
        <f t="shared" si="92"/>
        <v>3</v>
      </c>
      <c r="J231" s="18"/>
      <c r="K231" s="18">
        <f t="shared" si="82"/>
        <v>-175</v>
      </c>
      <c r="M231" s="78">
        <v>0</v>
      </c>
      <c r="N231" s="65">
        <f t="shared" si="93"/>
        <v>0</v>
      </c>
      <c r="O231" s="20"/>
      <c r="P231" s="21"/>
      <c r="Q231" s="57">
        <v>0</v>
      </c>
      <c r="R231" s="23">
        <f t="shared" si="83"/>
        <v>0</v>
      </c>
      <c r="S231" s="52">
        <f t="shared" si="84"/>
        <v>0</v>
      </c>
      <c r="U231" s="51">
        <f t="shared" si="85"/>
        <v>27</v>
      </c>
      <c r="V231" s="23"/>
      <c r="W231" s="18">
        <f t="shared" si="86"/>
        <v>-3761</v>
      </c>
      <c r="X231" s="2"/>
      <c r="Y231" s="78">
        <v>42</v>
      </c>
      <c r="Z231" s="62">
        <f t="shared" si="87"/>
        <v>60</v>
      </c>
      <c r="AA231" s="20"/>
      <c r="AB231" s="21"/>
      <c r="AC231" s="57">
        <v>60</v>
      </c>
      <c r="AD231" s="23">
        <f t="shared" si="88"/>
        <v>27</v>
      </c>
      <c r="AE231" s="23">
        <f t="shared" si="89"/>
        <v>27</v>
      </c>
      <c r="AG231" s="52"/>
      <c r="AI231">
        <f>SUM(M227:M231,Y227:Y231)/COUNT(Y227:Y231)</f>
        <v>51.6</v>
      </c>
    </row>
    <row r="232" spans="1:35" s="12" customFormat="1" hidden="1" outlineLevel="1">
      <c r="A232" s="95">
        <v>45906</v>
      </c>
      <c r="B232" s="25" t="s">
        <v>16</v>
      </c>
      <c r="C232" s="29"/>
      <c r="D232" s="29">
        <f t="shared" si="80"/>
        <v>0</v>
      </c>
      <c r="E232" s="29">
        <f t="shared" si="81"/>
        <v>-3942</v>
      </c>
      <c r="G232" s="64"/>
      <c r="H232" s="63"/>
      <c r="I232" s="53">
        <f t="shared" si="92"/>
        <v>3</v>
      </c>
      <c r="J232" s="26"/>
      <c r="K232" s="26">
        <f t="shared" si="82"/>
        <v>-178</v>
      </c>
      <c r="M232" s="79"/>
      <c r="N232" s="66"/>
      <c r="O232" s="27"/>
      <c r="P232" s="28"/>
      <c r="Q232" s="43"/>
      <c r="R232" s="29">
        <f t="shared" si="83"/>
        <v>0</v>
      </c>
      <c r="S232" s="54">
        <f t="shared" si="84"/>
        <v>0</v>
      </c>
      <c r="T232" s="11"/>
      <c r="U232" s="53"/>
      <c r="V232" s="29"/>
      <c r="W232" s="26">
        <f t="shared" si="86"/>
        <v>-3761</v>
      </c>
      <c r="X232" s="10"/>
      <c r="Y232" s="79"/>
      <c r="Z232" s="63"/>
      <c r="AA232" s="27"/>
      <c r="AB232" s="28"/>
      <c r="AC232" s="43"/>
      <c r="AD232" s="29">
        <f t="shared" si="88"/>
        <v>27</v>
      </c>
      <c r="AE232" s="29">
        <f t="shared" si="89"/>
        <v>27</v>
      </c>
      <c r="AG232" s="54"/>
      <c r="AI232" s="11"/>
    </row>
    <row r="233" spans="1:35" s="12" customFormat="1" hidden="1" outlineLevel="1" collapsed="1">
      <c r="A233" s="95">
        <v>45907</v>
      </c>
      <c r="B233" s="25" t="s">
        <v>17</v>
      </c>
      <c r="C233" s="29"/>
      <c r="D233" s="29">
        <f t="shared" si="80"/>
        <v>0</v>
      </c>
      <c r="E233" s="29">
        <f t="shared" si="81"/>
        <v>-3942</v>
      </c>
      <c r="G233" s="64"/>
      <c r="H233" s="63"/>
      <c r="I233" s="53">
        <f t="shared" si="92"/>
        <v>3</v>
      </c>
      <c r="J233" s="26"/>
      <c r="K233" s="26">
        <f t="shared" si="82"/>
        <v>-181</v>
      </c>
      <c r="M233" s="79"/>
      <c r="N233" s="66"/>
      <c r="O233" s="27"/>
      <c r="P233" s="28"/>
      <c r="Q233" s="43"/>
      <c r="R233" s="29">
        <f t="shared" si="83"/>
        <v>0</v>
      </c>
      <c r="S233" s="54">
        <f t="shared" si="84"/>
        <v>0</v>
      </c>
      <c r="T233" s="11"/>
      <c r="U233" s="53"/>
      <c r="V233" s="29"/>
      <c r="W233" s="26">
        <f t="shared" si="86"/>
        <v>-3761</v>
      </c>
      <c r="X233" s="10"/>
      <c r="Y233" s="79"/>
      <c r="Z233" s="63"/>
      <c r="AA233" s="27"/>
      <c r="AB233" s="28"/>
      <c r="AC233" s="43"/>
      <c r="AD233" s="29">
        <f t="shared" si="88"/>
        <v>27</v>
      </c>
      <c r="AE233" s="29">
        <f t="shared" si="89"/>
        <v>27</v>
      </c>
      <c r="AG233" s="54"/>
      <c r="AI233" s="11"/>
    </row>
    <row r="234" spans="1:35" hidden="1" outlineLevel="1">
      <c r="A234" s="96">
        <v>45908</v>
      </c>
      <c r="B234" s="17" t="s">
        <v>18</v>
      </c>
      <c r="C234" s="23">
        <f>57-57</f>
        <v>0</v>
      </c>
      <c r="D234" s="23">
        <f t="shared" ref="D234:D259" si="94">J234+V234</f>
        <v>0</v>
      </c>
      <c r="E234" s="23">
        <f t="shared" ref="E234:E259" si="95">E233-C234+D234</f>
        <v>-3942</v>
      </c>
      <c r="G234" s="19"/>
      <c r="H234" s="62"/>
      <c r="I234" s="51">
        <f t="shared" si="92"/>
        <v>3</v>
      </c>
      <c r="J234" s="18"/>
      <c r="K234" s="18">
        <f t="shared" ref="K234:K259" si="96">J234-I234+K233</f>
        <v>-184</v>
      </c>
      <c r="M234" s="78">
        <v>3</v>
      </c>
      <c r="N234" s="65">
        <f t="shared" ref="N234:N238" si="97">M234</f>
        <v>3</v>
      </c>
      <c r="O234" s="20"/>
      <c r="P234" s="21"/>
      <c r="Q234" s="57">
        <v>3</v>
      </c>
      <c r="R234" s="23">
        <f t="shared" ref="R234:R259" si="98">R233-M234+Q234</f>
        <v>0</v>
      </c>
      <c r="S234" s="52">
        <f t="shared" ref="S234:S259" si="99">S233-M234+N234</f>
        <v>0</v>
      </c>
      <c r="U234" s="51">
        <f t="shared" ref="U234:U259" si="100">C234-I234</f>
        <v>-3</v>
      </c>
      <c r="V234" s="23"/>
      <c r="W234" s="18">
        <f t="shared" ref="W234:W259" si="101">V234-U234+W233</f>
        <v>-3758</v>
      </c>
      <c r="X234" s="2"/>
      <c r="Y234" s="78">
        <v>69</v>
      </c>
      <c r="Z234" s="62">
        <f t="shared" ref="Z234:Z259" si="102">IF(U232&lt;&gt;"",U232+AA234,IF(U230&lt;&gt;"",U230+AA234,IF(U229&lt;&gt;"",U229+AA234,IF(U228&lt;&gt;"",U228+AA234,IF(U227&lt;&gt;"",U227+AA234,IF(U226&lt;&gt;"",U226+AA234))))))</f>
        <v>42</v>
      </c>
      <c r="AA234" s="20">
        <v>-15</v>
      </c>
      <c r="AB234" s="21"/>
      <c r="AC234" s="57">
        <v>42</v>
      </c>
      <c r="AD234" s="23">
        <f t="shared" ref="AD234:AD259" si="103">AD233-Y234+AC234</f>
        <v>0</v>
      </c>
      <c r="AE234" s="23">
        <f t="shared" ref="AE234:AE259" si="104">AE233-Y234+Z234</f>
        <v>0</v>
      </c>
      <c r="AG234" s="52"/>
    </row>
    <row r="235" spans="1:35" hidden="1" outlineLevel="1">
      <c r="A235" s="96">
        <v>45909</v>
      </c>
      <c r="B235" s="17" t="s">
        <v>19</v>
      </c>
      <c r="C235" s="23">
        <v>54</v>
      </c>
      <c r="D235" s="23">
        <f t="shared" si="94"/>
        <v>0</v>
      </c>
      <c r="E235" s="23">
        <f t="shared" si="95"/>
        <v>-3996</v>
      </c>
      <c r="G235" s="19"/>
      <c r="H235" s="62"/>
      <c r="I235" s="51">
        <f t="shared" si="92"/>
        <v>3</v>
      </c>
      <c r="J235" s="18"/>
      <c r="K235" s="18">
        <f t="shared" si="96"/>
        <v>-187</v>
      </c>
      <c r="M235" s="78">
        <v>3</v>
      </c>
      <c r="N235" s="65">
        <f t="shared" si="97"/>
        <v>3</v>
      </c>
      <c r="O235" s="20"/>
      <c r="P235" s="21"/>
      <c r="Q235" s="57">
        <v>3</v>
      </c>
      <c r="R235" s="23">
        <f t="shared" si="98"/>
        <v>0</v>
      </c>
      <c r="S235" s="52">
        <f t="shared" si="99"/>
        <v>0</v>
      </c>
      <c r="U235" s="51">
        <f t="shared" si="100"/>
        <v>51</v>
      </c>
      <c r="V235" s="23"/>
      <c r="W235" s="18">
        <f t="shared" si="101"/>
        <v>-3809</v>
      </c>
      <c r="X235" s="2"/>
      <c r="Y235" s="78">
        <v>0</v>
      </c>
      <c r="Z235" s="62">
        <f t="shared" si="102"/>
        <v>36</v>
      </c>
      <c r="AA235" s="20">
        <v>9</v>
      </c>
      <c r="AB235" s="21"/>
      <c r="AC235" s="57">
        <v>36</v>
      </c>
      <c r="AD235" s="23">
        <f t="shared" si="103"/>
        <v>36</v>
      </c>
      <c r="AE235" s="23">
        <f t="shared" si="104"/>
        <v>36</v>
      </c>
      <c r="AG235" s="52"/>
    </row>
    <row r="236" spans="1:35" hidden="1" outlineLevel="1">
      <c r="A236" s="96">
        <v>45910</v>
      </c>
      <c r="B236" s="17" t="s">
        <v>20</v>
      </c>
      <c r="C236" s="23">
        <v>54</v>
      </c>
      <c r="D236" s="23">
        <f t="shared" si="94"/>
        <v>0</v>
      </c>
      <c r="E236" s="23">
        <f t="shared" si="95"/>
        <v>-4050</v>
      </c>
      <c r="G236" s="19"/>
      <c r="H236" s="62"/>
      <c r="I236" s="51">
        <f t="shared" si="92"/>
        <v>0</v>
      </c>
      <c r="J236" s="18"/>
      <c r="K236" s="18">
        <f t="shared" si="96"/>
        <v>-187</v>
      </c>
      <c r="M236" s="78">
        <v>3</v>
      </c>
      <c r="N236" s="65">
        <f t="shared" si="97"/>
        <v>3</v>
      </c>
      <c r="O236" s="20"/>
      <c r="P236" s="21"/>
      <c r="Q236" s="57">
        <v>3</v>
      </c>
      <c r="R236" s="23">
        <f t="shared" si="98"/>
        <v>0</v>
      </c>
      <c r="S236" s="52">
        <f t="shared" si="99"/>
        <v>0</v>
      </c>
      <c r="U236" s="51">
        <f t="shared" si="100"/>
        <v>54</v>
      </c>
      <c r="V236" s="23"/>
      <c r="W236" s="18">
        <f t="shared" si="101"/>
        <v>-3863</v>
      </c>
      <c r="X236" s="2"/>
      <c r="Y236" s="203">
        <v>33</v>
      </c>
      <c r="Z236" s="62">
        <f t="shared" si="102"/>
        <v>36</v>
      </c>
      <c r="AA236" s="20">
        <v>39</v>
      </c>
      <c r="AB236" s="21"/>
      <c r="AC236" s="57">
        <v>36</v>
      </c>
      <c r="AD236" s="23">
        <f t="shared" si="103"/>
        <v>39</v>
      </c>
      <c r="AE236" s="23">
        <f t="shared" si="104"/>
        <v>39</v>
      </c>
      <c r="AG236" s="52"/>
    </row>
    <row r="237" spans="1:35" hidden="1" outlineLevel="1">
      <c r="A237" s="96">
        <v>45911</v>
      </c>
      <c r="B237" s="17" t="s">
        <v>14</v>
      </c>
      <c r="C237" s="23">
        <v>48</v>
      </c>
      <c r="D237" s="23">
        <f t="shared" si="94"/>
        <v>0</v>
      </c>
      <c r="E237" s="23">
        <f t="shared" si="95"/>
        <v>-4098</v>
      </c>
      <c r="G237" s="19"/>
      <c r="H237" s="62"/>
      <c r="I237" s="51">
        <f>M242</f>
        <v>3</v>
      </c>
      <c r="J237" s="18"/>
      <c r="K237" s="18">
        <f t="shared" si="96"/>
        <v>-190</v>
      </c>
      <c r="M237" s="78">
        <v>3</v>
      </c>
      <c r="N237" s="65">
        <f t="shared" si="97"/>
        <v>3</v>
      </c>
      <c r="O237" s="20"/>
      <c r="P237" s="21"/>
      <c r="Q237" s="57">
        <v>3</v>
      </c>
      <c r="R237" s="23">
        <f t="shared" si="98"/>
        <v>0</v>
      </c>
      <c r="S237" s="52">
        <f t="shared" si="99"/>
        <v>0</v>
      </c>
      <c r="U237" s="51">
        <f t="shared" si="100"/>
        <v>45</v>
      </c>
      <c r="V237" s="23"/>
      <c r="W237" s="18">
        <f t="shared" si="101"/>
        <v>-3908</v>
      </c>
      <c r="X237" s="2"/>
      <c r="Y237" s="314">
        <f>42</f>
        <v>42</v>
      </c>
      <c r="Z237" s="62">
        <f t="shared" si="102"/>
        <v>36</v>
      </c>
      <c r="AA237" s="20">
        <f>-15</f>
        <v>-15</v>
      </c>
      <c r="AB237" s="21"/>
      <c r="AC237" s="57">
        <v>36</v>
      </c>
      <c r="AD237" s="23">
        <f t="shared" si="103"/>
        <v>33</v>
      </c>
      <c r="AE237" s="23">
        <f t="shared" si="104"/>
        <v>33</v>
      </c>
      <c r="AG237" s="52"/>
    </row>
    <row r="238" spans="1:35" hidden="1" outlineLevel="1">
      <c r="A238" s="96">
        <v>45912</v>
      </c>
      <c r="B238" s="17" t="s">
        <v>15</v>
      </c>
      <c r="C238" s="23">
        <v>48</v>
      </c>
      <c r="D238" s="23">
        <f t="shared" si="94"/>
        <v>0</v>
      </c>
      <c r="E238" s="23">
        <f t="shared" si="95"/>
        <v>-4146</v>
      </c>
      <c r="G238" s="19"/>
      <c r="H238" s="62"/>
      <c r="I238" s="51">
        <f>M243</f>
        <v>3</v>
      </c>
      <c r="J238" s="18"/>
      <c r="K238" s="18">
        <f t="shared" si="96"/>
        <v>-193</v>
      </c>
      <c r="M238" s="78">
        <v>0</v>
      </c>
      <c r="N238" s="65">
        <f t="shared" si="97"/>
        <v>0</v>
      </c>
      <c r="O238" s="20"/>
      <c r="P238" s="21"/>
      <c r="Q238" s="57">
        <v>0</v>
      </c>
      <c r="R238" s="23">
        <f t="shared" si="98"/>
        <v>0</v>
      </c>
      <c r="S238" s="52">
        <f t="shared" si="99"/>
        <v>0</v>
      </c>
      <c r="U238" s="51">
        <f t="shared" si="100"/>
        <v>45</v>
      </c>
      <c r="V238" s="23"/>
      <c r="W238" s="18">
        <f t="shared" si="101"/>
        <v>-3953</v>
      </c>
      <c r="X238" s="2"/>
      <c r="Y238" s="203">
        <v>54</v>
      </c>
      <c r="Z238" s="62">
        <f t="shared" si="102"/>
        <v>36</v>
      </c>
      <c r="AA238" s="20">
        <v>-18</v>
      </c>
      <c r="AB238" s="21"/>
      <c r="AC238" s="57">
        <v>36</v>
      </c>
      <c r="AD238" s="23">
        <f t="shared" si="103"/>
        <v>15</v>
      </c>
      <c r="AE238" s="23">
        <f t="shared" si="104"/>
        <v>15</v>
      </c>
      <c r="AG238" s="52"/>
      <c r="AI238">
        <f>SUM(M234:M238,Y234:Y238)/COUNT(Y234:Y238)</f>
        <v>42</v>
      </c>
    </row>
    <row r="239" spans="1:35" s="12" customFormat="1" hidden="1" outlineLevel="1">
      <c r="A239" s="95">
        <v>45913</v>
      </c>
      <c r="B239" s="25" t="s">
        <v>16</v>
      </c>
      <c r="C239" s="29"/>
      <c r="D239" s="29">
        <f t="shared" si="94"/>
        <v>0</v>
      </c>
      <c r="E239" s="29">
        <f t="shared" si="95"/>
        <v>-4146</v>
      </c>
      <c r="G239" s="64"/>
      <c r="H239" s="63"/>
      <c r="I239" s="53"/>
      <c r="J239" s="26"/>
      <c r="K239" s="26">
        <f t="shared" si="96"/>
        <v>-193</v>
      </c>
      <c r="M239" s="79"/>
      <c r="N239" s="66"/>
      <c r="O239" s="27"/>
      <c r="P239" s="28"/>
      <c r="Q239" s="43"/>
      <c r="R239" s="29">
        <f t="shared" si="98"/>
        <v>0</v>
      </c>
      <c r="S239" s="54">
        <f t="shared" si="99"/>
        <v>0</v>
      </c>
      <c r="T239" s="11"/>
      <c r="U239" s="53"/>
      <c r="V239" s="29"/>
      <c r="W239" s="26">
        <f t="shared" si="101"/>
        <v>-3953</v>
      </c>
      <c r="X239" s="10"/>
      <c r="Y239" s="300"/>
      <c r="Z239" s="63"/>
      <c r="AA239" s="27"/>
      <c r="AB239" s="28"/>
      <c r="AC239" s="43"/>
      <c r="AD239" s="29">
        <f t="shared" si="103"/>
        <v>15</v>
      </c>
      <c r="AE239" s="29">
        <f t="shared" si="104"/>
        <v>15</v>
      </c>
      <c r="AG239" s="54"/>
      <c r="AI239" s="11"/>
    </row>
    <row r="240" spans="1:35" s="12" customFormat="1" hidden="1" outlineLevel="1">
      <c r="A240" s="95">
        <v>45914</v>
      </c>
      <c r="B240" s="25" t="s">
        <v>17</v>
      </c>
      <c r="C240" s="29"/>
      <c r="D240" s="29">
        <f t="shared" si="94"/>
        <v>0</v>
      </c>
      <c r="E240" s="29">
        <f t="shared" si="95"/>
        <v>-4146</v>
      </c>
      <c r="G240" s="64"/>
      <c r="H240" s="63"/>
      <c r="I240" s="53"/>
      <c r="J240" s="26"/>
      <c r="K240" s="26">
        <f t="shared" si="96"/>
        <v>-193</v>
      </c>
      <c r="M240" s="79"/>
      <c r="N240" s="66"/>
      <c r="O240" s="27"/>
      <c r="P240" s="28"/>
      <c r="Q240" s="43"/>
      <c r="R240" s="29">
        <f t="shared" si="98"/>
        <v>0</v>
      </c>
      <c r="S240" s="54">
        <f t="shared" si="99"/>
        <v>0</v>
      </c>
      <c r="T240" s="11"/>
      <c r="U240" s="53"/>
      <c r="V240" s="29"/>
      <c r="W240" s="26">
        <f t="shared" si="101"/>
        <v>-3953</v>
      </c>
      <c r="X240" s="10"/>
      <c r="Y240" s="300"/>
      <c r="Z240" s="63"/>
      <c r="AA240" s="27"/>
      <c r="AB240" s="28"/>
      <c r="AC240" s="43"/>
      <c r="AD240" s="29">
        <f t="shared" si="103"/>
        <v>15</v>
      </c>
      <c r="AE240" s="29">
        <f t="shared" si="104"/>
        <v>15</v>
      </c>
      <c r="AG240" s="54"/>
      <c r="AI240" s="11"/>
    </row>
    <row r="241" spans="1:35" s="12" customFormat="1" collapsed="1">
      <c r="A241" s="95">
        <v>45915</v>
      </c>
      <c r="B241" s="25" t="s">
        <v>18</v>
      </c>
      <c r="C241" s="29"/>
      <c r="D241" s="29">
        <f t="shared" si="94"/>
        <v>0</v>
      </c>
      <c r="E241" s="29">
        <f t="shared" si="95"/>
        <v>-4146</v>
      </c>
      <c r="G241" s="64"/>
      <c r="H241" s="63"/>
      <c r="I241" s="53"/>
      <c r="J241" s="26"/>
      <c r="K241" s="26">
        <f t="shared" si="96"/>
        <v>-193</v>
      </c>
      <c r="M241" s="79"/>
      <c r="N241" s="66"/>
      <c r="O241" s="27"/>
      <c r="P241" s="28"/>
      <c r="Q241" s="43"/>
      <c r="R241" s="29">
        <f t="shared" si="98"/>
        <v>0</v>
      </c>
      <c r="S241" s="54">
        <f t="shared" si="99"/>
        <v>0</v>
      </c>
      <c r="T241" s="11"/>
      <c r="U241" s="53"/>
      <c r="V241" s="29"/>
      <c r="W241" s="26">
        <f t="shared" si="101"/>
        <v>-3953</v>
      </c>
      <c r="X241" s="10"/>
      <c r="Y241" s="300"/>
      <c r="Z241" s="63"/>
      <c r="AA241" s="27"/>
      <c r="AB241" s="28"/>
      <c r="AC241" s="43"/>
      <c r="AD241" s="29">
        <f t="shared" si="103"/>
        <v>15</v>
      </c>
      <c r="AE241" s="29">
        <f t="shared" si="104"/>
        <v>15</v>
      </c>
      <c r="AG241" s="54"/>
      <c r="AI241" s="11"/>
    </row>
    <row r="242" spans="1:35">
      <c r="A242" s="96">
        <v>45916</v>
      </c>
      <c r="B242" s="17" t="s">
        <v>19</v>
      </c>
      <c r="C242" s="23">
        <v>48</v>
      </c>
      <c r="D242" s="23">
        <f t="shared" si="94"/>
        <v>0</v>
      </c>
      <c r="E242" s="23">
        <f t="shared" si="95"/>
        <v>-4194</v>
      </c>
      <c r="G242" s="19"/>
      <c r="H242" s="62"/>
      <c r="I242" s="51">
        <f t="shared" ref="I242:I264" si="105">IF(M244&lt;&gt;"",N244+O244,IF(M246&lt;&gt;"",N246+O246,IF(M494&lt;&gt;"",N494+O494,IF(M495&lt;&gt;"",N495+O495,IF(M496&lt;&gt;"",N496+O496,IF(M497&lt;&gt;"",N497+O497))))))</f>
        <v>0</v>
      </c>
      <c r="J242" s="18"/>
      <c r="K242" s="18">
        <f t="shared" si="96"/>
        <v>-193</v>
      </c>
      <c r="M242" s="78">
        <v>3</v>
      </c>
      <c r="N242" s="65">
        <f t="shared" ref="N242:N245" si="106">M242</f>
        <v>3</v>
      </c>
      <c r="O242" s="20"/>
      <c r="P242" s="21"/>
      <c r="Q242" s="57">
        <v>3</v>
      </c>
      <c r="R242" s="23">
        <f t="shared" si="98"/>
        <v>0</v>
      </c>
      <c r="S242" s="52">
        <f t="shared" si="99"/>
        <v>0</v>
      </c>
      <c r="U242" s="51">
        <f t="shared" si="100"/>
        <v>48</v>
      </c>
      <c r="V242" s="23"/>
      <c r="W242" s="18">
        <f t="shared" si="101"/>
        <v>-4001</v>
      </c>
      <c r="X242" s="2"/>
      <c r="Y242" s="203">
        <v>42</v>
      </c>
      <c r="Z242" s="62">
        <f>U237+AA242</f>
        <v>45</v>
      </c>
      <c r="AA242" s="20"/>
      <c r="AB242" s="21"/>
      <c r="AC242" s="57">
        <v>45</v>
      </c>
      <c r="AD242" s="23">
        <f t="shared" si="103"/>
        <v>18</v>
      </c>
      <c r="AE242" s="23">
        <f t="shared" si="104"/>
        <v>18</v>
      </c>
      <c r="AG242" s="52"/>
    </row>
    <row r="243" spans="1:35">
      <c r="A243" s="96">
        <v>45917</v>
      </c>
      <c r="B243" s="17" t="s">
        <v>20</v>
      </c>
      <c r="C243" s="23">
        <v>48</v>
      </c>
      <c r="D243" s="23">
        <f t="shared" si="94"/>
        <v>0</v>
      </c>
      <c r="E243" s="23">
        <f t="shared" si="95"/>
        <v>-4242</v>
      </c>
      <c r="G243" s="19"/>
      <c r="H243" s="62"/>
      <c r="I243" s="51">
        <f t="shared" si="105"/>
        <v>3</v>
      </c>
      <c r="J243" s="18"/>
      <c r="K243" s="18">
        <f t="shared" si="96"/>
        <v>-196</v>
      </c>
      <c r="M243" s="78">
        <v>3</v>
      </c>
      <c r="N243" s="65">
        <f t="shared" si="106"/>
        <v>3</v>
      </c>
      <c r="O243" s="20"/>
      <c r="P243" s="21"/>
      <c r="Q243" s="57">
        <v>3</v>
      </c>
      <c r="R243" s="23">
        <f t="shared" si="98"/>
        <v>0</v>
      </c>
      <c r="S243" s="52">
        <f t="shared" si="99"/>
        <v>0</v>
      </c>
      <c r="U243" s="51">
        <f t="shared" si="100"/>
        <v>45</v>
      </c>
      <c r="V243" s="23"/>
      <c r="W243" s="18">
        <f t="shared" si="101"/>
        <v>-4046</v>
      </c>
      <c r="X243" s="2"/>
      <c r="Y243" s="203">
        <v>42</v>
      </c>
      <c r="Z243" s="62">
        <f t="shared" si="102"/>
        <v>45</v>
      </c>
      <c r="AA243" s="20"/>
      <c r="AB243" s="21"/>
      <c r="AC243" s="57">
        <v>45</v>
      </c>
      <c r="AD243" s="23">
        <f t="shared" si="103"/>
        <v>21</v>
      </c>
      <c r="AE243" s="23">
        <f t="shared" si="104"/>
        <v>21</v>
      </c>
      <c r="AG243" s="52"/>
    </row>
    <row r="244" spans="1:35">
      <c r="A244" s="96">
        <v>45918</v>
      </c>
      <c r="B244" s="17" t="s">
        <v>14</v>
      </c>
      <c r="C244" s="23">
        <v>48</v>
      </c>
      <c r="D244" s="23">
        <f t="shared" si="94"/>
        <v>0</v>
      </c>
      <c r="E244" s="23">
        <f t="shared" si="95"/>
        <v>-4290</v>
      </c>
      <c r="G244" s="19"/>
      <c r="H244" s="62"/>
      <c r="I244" s="51">
        <f t="shared" si="105"/>
        <v>0</v>
      </c>
      <c r="J244" s="18"/>
      <c r="K244" s="18">
        <f t="shared" si="96"/>
        <v>-196</v>
      </c>
      <c r="M244" s="78">
        <v>0</v>
      </c>
      <c r="N244" s="65">
        <f t="shared" si="106"/>
        <v>0</v>
      </c>
      <c r="O244" s="20"/>
      <c r="P244" s="21"/>
      <c r="Q244" s="57">
        <v>0</v>
      </c>
      <c r="R244" s="23">
        <f t="shared" si="98"/>
        <v>0</v>
      </c>
      <c r="S244" s="52">
        <f t="shared" si="99"/>
        <v>0</v>
      </c>
      <c r="U244" s="51">
        <f t="shared" si="100"/>
        <v>48</v>
      </c>
      <c r="V244" s="23"/>
      <c r="W244" s="18">
        <f t="shared" si="101"/>
        <v>-4094</v>
      </c>
      <c r="X244" s="2"/>
      <c r="Y244" s="78">
        <v>57</v>
      </c>
      <c r="Z244" s="62">
        <f t="shared" si="102"/>
        <v>48</v>
      </c>
      <c r="AA244" s="20"/>
      <c r="AB244" s="21"/>
      <c r="AC244" s="57">
        <v>48</v>
      </c>
      <c r="AD244" s="23">
        <f t="shared" si="103"/>
        <v>12</v>
      </c>
      <c r="AE244" s="23">
        <f t="shared" si="104"/>
        <v>12</v>
      </c>
      <c r="AG244" s="52"/>
    </row>
    <row r="245" spans="1:35">
      <c r="A245" s="96">
        <v>45919</v>
      </c>
      <c r="B245" s="17" t="s">
        <v>15</v>
      </c>
      <c r="C245" s="23">
        <v>48</v>
      </c>
      <c r="D245" s="23">
        <f t="shared" si="94"/>
        <v>0</v>
      </c>
      <c r="E245" s="23">
        <f t="shared" si="95"/>
        <v>-4338</v>
      </c>
      <c r="G245" s="19"/>
      <c r="H245" s="62"/>
      <c r="I245" s="51">
        <f t="shared" si="105"/>
        <v>0</v>
      </c>
      <c r="J245" s="18"/>
      <c r="K245" s="18">
        <f t="shared" si="96"/>
        <v>-196</v>
      </c>
      <c r="M245" s="78">
        <v>3</v>
      </c>
      <c r="N245" s="65">
        <f t="shared" si="106"/>
        <v>3</v>
      </c>
      <c r="O245" s="20"/>
      <c r="P245" s="21"/>
      <c r="Q245" s="57">
        <v>3</v>
      </c>
      <c r="R245" s="23">
        <f t="shared" si="98"/>
        <v>0</v>
      </c>
      <c r="S245" s="52">
        <f t="shared" si="99"/>
        <v>0</v>
      </c>
      <c r="U245" s="51">
        <f t="shared" si="100"/>
        <v>48</v>
      </c>
      <c r="V245" s="23"/>
      <c r="W245" s="18">
        <f t="shared" si="101"/>
        <v>-4142</v>
      </c>
      <c r="X245" s="2"/>
      <c r="Y245" s="78">
        <v>45</v>
      </c>
      <c r="Z245" s="62">
        <f t="shared" si="102"/>
        <v>45</v>
      </c>
      <c r="AA245" s="20"/>
      <c r="AB245" s="21"/>
      <c r="AC245" s="57">
        <v>45</v>
      </c>
      <c r="AD245" s="23">
        <f t="shared" si="103"/>
        <v>12</v>
      </c>
      <c r="AE245" s="23">
        <f t="shared" si="104"/>
        <v>12</v>
      </c>
      <c r="AG245" s="52"/>
      <c r="AI245">
        <f>SUM(M242:M245,Y242:Y245)/COUNT(Y242:Y245)</f>
        <v>48.75</v>
      </c>
    </row>
    <row r="246" spans="1:35" s="12" customFormat="1">
      <c r="A246" s="95">
        <v>45920</v>
      </c>
      <c r="B246" s="25" t="s">
        <v>16</v>
      </c>
      <c r="C246" s="29"/>
      <c r="D246" s="29">
        <f t="shared" si="94"/>
        <v>0</v>
      </c>
      <c r="E246" s="29">
        <f t="shared" si="95"/>
        <v>-4338</v>
      </c>
      <c r="G246" s="64"/>
      <c r="H246" s="63"/>
      <c r="I246" s="53"/>
      <c r="J246" s="26"/>
      <c r="K246" s="26">
        <f t="shared" si="96"/>
        <v>-196</v>
      </c>
      <c r="M246" s="79"/>
      <c r="N246" s="66"/>
      <c r="O246" s="27"/>
      <c r="P246" s="28"/>
      <c r="Q246" s="43"/>
      <c r="R246" s="29">
        <f t="shared" si="98"/>
        <v>0</v>
      </c>
      <c r="S246" s="54">
        <f t="shared" si="99"/>
        <v>0</v>
      </c>
      <c r="T246" s="11"/>
      <c r="U246" s="53"/>
      <c r="V246" s="29"/>
      <c r="W246" s="26">
        <f t="shared" si="101"/>
        <v>-4142</v>
      </c>
      <c r="X246" s="10"/>
      <c r="Y246" s="79"/>
      <c r="Z246" s="63"/>
      <c r="AA246" s="27"/>
      <c r="AB246" s="28"/>
      <c r="AC246" s="43"/>
      <c r="AD246" s="29">
        <f t="shared" si="103"/>
        <v>12</v>
      </c>
      <c r="AE246" s="29">
        <f t="shared" si="104"/>
        <v>12</v>
      </c>
      <c r="AG246" s="54"/>
      <c r="AI246" s="11"/>
    </row>
    <row r="247" spans="1:35" s="12" customFormat="1">
      <c r="A247" s="95">
        <v>45921</v>
      </c>
      <c r="B247" s="25" t="s">
        <v>17</v>
      </c>
      <c r="C247" s="29"/>
      <c r="D247" s="29">
        <f t="shared" si="94"/>
        <v>0</v>
      </c>
      <c r="E247" s="29">
        <f t="shared" si="95"/>
        <v>-4338</v>
      </c>
      <c r="G247" s="64"/>
      <c r="H247" s="63"/>
      <c r="I247" s="53"/>
      <c r="J247" s="26"/>
      <c r="K247" s="26">
        <f t="shared" si="96"/>
        <v>-196</v>
      </c>
      <c r="M247" s="79"/>
      <c r="N247" s="66"/>
      <c r="O247" s="27"/>
      <c r="P247" s="28"/>
      <c r="Q247" s="43"/>
      <c r="R247" s="29">
        <f t="shared" si="98"/>
        <v>0</v>
      </c>
      <c r="S247" s="54">
        <f t="shared" si="99"/>
        <v>0</v>
      </c>
      <c r="T247" s="11"/>
      <c r="U247" s="53"/>
      <c r="V247" s="29"/>
      <c r="W247" s="26">
        <f t="shared" si="101"/>
        <v>-4142</v>
      </c>
      <c r="X247" s="10"/>
      <c r="Y247" s="79"/>
      <c r="Z247" s="63"/>
      <c r="AA247" s="27"/>
      <c r="AB247" s="28"/>
      <c r="AC247" s="43"/>
      <c r="AD247" s="29">
        <f t="shared" si="103"/>
        <v>12</v>
      </c>
      <c r="AE247" s="29">
        <f t="shared" si="104"/>
        <v>12</v>
      </c>
      <c r="AG247" s="54"/>
      <c r="AI247" s="11"/>
    </row>
    <row r="248" spans="1:35">
      <c r="A248" s="96">
        <v>45922</v>
      </c>
      <c r="B248" s="17" t="s">
        <v>18</v>
      </c>
      <c r="C248" s="136">
        <v>46</v>
      </c>
      <c r="D248" s="23">
        <f t="shared" si="94"/>
        <v>0</v>
      </c>
      <c r="E248" s="23">
        <f t="shared" si="95"/>
        <v>-4384</v>
      </c>
      <c r="G248" s="19"/>
      <c r="H248" s="62"/>
      <c r="I248" s="51">
        <f t="shared" si="105"/>
        <v>0</v>
      </c>
      <c r="J248" s="18"/>
      <c r="K248" s="18">
        <f t="shared" si="96"/>
        <v>-196</v>
      </c>
      <c r="M248" s="78">
        <v>0</v>
      </c>
      <c r="N248" s="65">
        <f t="shared" ref="N248:N252" si="107">M248</f>
        <v>0</v>
      </c>
      <c r="O248" s="20"/>
      <c r="P248" s="21"/>
      <c r="Q248" s="42"/>
      <c r="R248" s="23">
        <f t="shared" si="98"/>
        <v>0</v>
      </c>
      <c r="S248" s="52">
        <f t="shared" si="99"/>
        <v>0</v>
      </c>
      <c r="U248" s="51">
        <f t="shared" si="100"/>
        <v>46</v>
      </c>
      <c r="V248" s="23"/>
      <c r="W248" s="18">
        <f t="shared" si="101"/>
        <v>-4188</v>
      </c>
      <c r="X248" s="2"/>
      <c r="Y248" s="78">
        <v>54</v>
      </c>
      <c r="Z248" s="62">
        <f t="shared" si="102"/>
        <v>48</v>
      </c>
      <c r="AA248" s="20"/>
      <c r="AB248" s="21"/>
      <c r="AC248" s="42"/>
      <c r="AD248" s="23">
        <f t="shared" si="103"/>
        <v>-42</v>
      </c>
      <c r="AE248" s="23">
        <f t="shared" si="104"/>
        <v>6</v>
      </c>
      <c r="AG248" s="52"/>
    </row>
    <row r="249" spans="1:35">
      <c r="A249" s="96">
        <v>45923</v>
      </c>
      <c r="B249" s="17" t="s">
        <v>19</v>
      </c>
      <c r="C249" s="136">
        <v>42</v>
      </c>
      <c r="D249" s="23">
        <f t="shared" si="94"/>
        <v>0</v>
      </c>
      <c r="E249" s="23">
        <f t="shared" si="95"/>
        <v>-4426</v>
      </c>
      <c r="G249" s="19"/>
      <c r="H249" s="62"/>
      <c r="I249" s="51">
        <f t="shared" si="105"/>
        <v>4</v>
      </c>
      <c r="J249" s="18"/>
      <c r="K249" s="18">
        <f t="shared" si="96"/>
        <v>-200</v>
      </c>
      <c r="M249" s="78">
        <v>0</v>
      </c>
      <c r="N249" s="65">
        <f t="shared" si="107"/>
        <v>0</v>
      </c>
      <c r="O249" s="20"/>
      <c r="P249" s="21"/>
      <c r="Q249" s="42"/>
      <c r="R249" s="23">
        <f t="shared" si="98"/>
        <v>0</v>
      </c>
      <c r="S249" s="52">
        <f t="shared" si="99"/>
        <v>0</v>
      </c>
      <c r="U249" s="51">
        <f t="shared" si="100"/>
        <v>38</v>
      </c>
      <c r="V249" s="23"/>
      <c r="W249" s="18">
        <f t="shared" si="101"/>
        <v>-4226</v>
      </c>
      <c r="X249" s="2"/>
      <c r="Y249" s="78">
        <v>42</v>
      </c>
      <c r="Z249" s="62">
        <f t="shared" si="102"/>
        <v>48</v>
      </c>
      <c r="AA249" s="20"/>
      <c r="AB249" s="21"/>
      <c r="AC249" s="42"/>
      <c r="AD249" s="23">
        <f t="shared" si="103"/>
        <v>-84</v>
      </c>
      <c r="AE249" s="23">
        <f t="shared" si="104"/>
        <v>12</v>
      </c>
      <c r="AG249" s="52"/>
    </row>
    <row r="250" spans="1:35">
      <c r="A250" s="96">
        <v>45924</v>
      </c>
      <c r="B250" s="17" t="s">
        <v>20</v>
      </c>
      <c r="C250" s="136">
        <f>35+1</f>
        <v>36</v>
      </c>
      <c r="D250" s="23">
        <f t="shared" si="94"/>
        <v>0</v>
      </c>
      <c r="E250" s="23">
        <f t="shared" si="95"/>
        <v>-4462</v>
      </c>
      <c r="G250" s="19"/>
      <c r="H250" s="62"/>
      <c r="I250" s="51">
        <f t="shared" si="105"/>
        <v>0</v>
      </c>
      <c r="J250" s="18"/>
      <c r="K250" s="18">
        <f t="shared" si="96"/>
        <v>-200</v>
      </c>
      <c r="M250" s="78">
        <v>0</v>
      </c>
      <c r="N250" s="65">
        <f t="shared" si="107"/>
        <v>0</v>
      </c>
      <c r="O250" s="20"/>
      <c r="P250" s="21"/>
      <c r="Q250" s="42"/>
      <c r="R250" s="23">
        <f t="shared" si="98"/>
        <v>0</v>
      </c>
      <c r="S250" s="52">
        <f t="shared" si="99"/>
        <v>0</v>
      </c>
      <c r="U250" s="51">
        <f t="shared" si="100"/>
        <v>36</v>
      </c>
      <c r="V250" s="23"/>
      <c r="W250" s="18">
        <f t="shared" si="101"/>
        <v>-4262</v>
      </c>
      <c r="X250" s="2"/>
      <c r="Y250" s="78">
        <v>48</v>
      </c>
      <c r="Z250" s="62">
        <f t="shared" si="102"/>
        <v>45</v>
      </c>
      <c r="AA250" s="20">
        <v>-1</v>
      </c>
      <c r="AB250" s="21"/>
      <c r="AC250" s="42"/>
      <c r="AD250" s="23">
        <f t="shared" si="103"/>
        <v>-132</v>
      </c>
      <c r="AE250" s="23">
        <f t="shared" si="104"/>
        <v>9</v>
      </c>
      <c r="AG250" s="52"/>
    </row>
    <row r="251" spans="1:35">
      <c r="A251" s="96">
        <v>45925</v>
      </c>
      <c r="B251" s="17" t="s">
        <v>14</v>
      </c>
      <c r="C251" s="136"/>
      <c r="D251" s="23">
        <f t="shared" si="94"/>
        <v>0</v>
      </c>
      <c r="E251" s="23">
        <f t="shared" si="95"/>
        <v>-4462</v>
      </c>
      <c r="G251" s="19"/>
      <c r="H251" s="62"/>
      <c r="I251" s="51">
        <f t="shared" si="105"/>
        <v>0</v>
      </c>
      <c r="J251" s="18"/>
      <c r="K251" s="18">
        <f t="shared" si="96"/>
        <v>-200</v>
      </c>
      <c r="M251" s="78">
        <v>4</v>
      </c>
      <c r="N251" s="65">
        <f t="shared" si="107"/>
        <v>4</v>
      </c>
      <c r="O251" s="20"/>
      <c r="P251" s="21"/>
      <c r="Q251" s="42"/>
      <c r="R251" s="23">
        <f t="shared" si="98"/>
        <v>-4</v>
      </c>
      <c r="S251" s="52">
        <f t="shared" si="99"/>
        <v>0</v>
      </c>
      <c r="U251" s="51">
        <f t="shared" si="100"/>
        <v>0</v>
      </c>
      <c r="V251" s="23"/>
      <c r="W251" s="18">
        <f t="shared" si="101"/>
        <v>-4262</v>
      </c>
      <c r="X251" s="2"/>
      <c r="Y251" s="78">
        <v>45</v>
      </c>
      <c r="Z251" s="62">
        <f t="shared" si="102"/>
        <v>39</v>
      </c>
      <c r="AA251" s="20">
        <v>1</v>
      </c>
      <c r="AB251" s="21"/>
      <c r="AC251" s="42"/>
      <c r="AD251" s="23">
        <f t="shared" si="103"/>
        <v>-177</v>
      </c>
      <c r="AE251" s="23">
        <f t="shared" si="104"/>
        <v>3</v>
      </c>
      <c r="AG251" s="52"/>
    </row>
    <row r="252" spans="1:35">
      <c r="A252" s="96">
        <v>45926</v>
      </c>
      <c r="B252" s="17" t="s">
        <v>15</v>
      </c>
      <c r="C252" s="136"/>
      <c r="D252" s="23">
        <f t="shared" si="94"/>
        <v>0</v>
      </c>
      <c r="E252" s="23">
        <f t="shared" si="95"/>
        <v>-4462</v>
      </c>
      <c r="G252" s="19"/>
      <c r="H252" s="62"/>
      <c r="I252" s="51">
        <f t="shared" si="105"/>
        <v>0</v>
      </c>
      <c r="J252" s="18"/>
      <c r="K252" s="18">
        <f t="shared" si="96"/>
        <v>-200</v>
      </c>
      <c r="M252" s="304">
        <v>0</v>
      </c>
      <c r="N252" s="311">
        <f t="shared" si="107"/>
        <v>0</v>
      </c>
      <c r="O252" s="260"/>
      <c r="P252" s="261"/>
      <c r="Q252" s="262"/>
      <c r="R252" s="263">
        <f t="shared" si="98"/>
        <v>-4</v>
      </c>
      <c r="S252" s="313">
        <f t="shared" si="99"/>
        <v>0</v>
      </c>
      <c r="U252" s="51">
        <f t="shared" si="100"/>
        <v>0</v>
      </c>
      <c r="V252" s="23"/>
      <c r="W252" s="18">
        <f t="shared" si="101"/>
        <v>-4262</v>
      </c>
      <c r="X252" s="2"/>
      <c r="Y252" s="78">
        <v>38</v>
      </c>
      <c r="Z252" s="62">
        <f t="shared" si="102"/>
        <v>36</v>
      </c>
      <c r="AA252" s="20"/>
      <c r="AB252" s="21"/>
      <c r="AC252" s="42"/>
      <c r="AD252" s="23">
        <f t="shared" si="103"/>
        <v>-215</v>
      </c>
      <c r="AE252" s="23">
        <f t="shared" si="104"/>
        <v>1</v>
      </c>
      <c r="AG252" s="52"/>
      <c r="AI252">
        <f>SUM(M248:M252,Y248:Y252)/COUNT(Y248:Y252)</f>
        <v>46.2</v>
      </c>
    </row>
    <row r="253" spans="1:35" s="12" customFormat="1">
      <c r="A253" s="95">
        <v>45927</v>
      </c>
      <c r="B253" s="25" t="s">
        <v>16</v>
      </c>
      <c r="C253" s="29"/>
      <c r="D253" s="29">
        <f t="shared" si="94"/>
        <v>0</v>
      </c>
      <c r="E253" s="29">
        <f t="shared" si="95"/>
        <v>-4462</v>
      </c>
      <c r="G253" s="64"/>
      <c r="H253" s="63"/>
      <c r="I253" s="53"/>
      <c r="J253" s="26"/>
      <c r="K253" s="26">
        <f t="shared" si="96"/>
        <v>-200</v>
      </c>
      <c r="M253" s="304">
        <v>0</v>
      </c>
      <c r="N253" s="311"/>
      <c r="O253" s="260"/>
      <c r="P253" s="261"/>
      <c r="Q253" s="262"/>
      <c r="R253" s="263">
        <f t="shared" si="98"/>
        <v>-4</v>
      </c>
      <c r="S253" s="313">
        <f t="shared" si="99"/>
        <v>0</v>
      </c>
      <c r="T253" s="11"/>
      <c r="U253" s="53"/>
      <c r="V253" s="29"/>
      <c r="W253" s="26">
        <f t="shared" si="101"/>
        <v>-4262</v>
      </c>
      <c r="X253" s="10"/>
      <c r="Y253" s="79"/>
      <c r="Z253" s="63"/>
      <c r="AA253" s="27"/>
      <c r="AB253" s="28"/>
      <c r="AC253" s="43"/>
      <c r="AD253" s="29">
        <f t="shared" si="103"/>
        <v>-215</v>
      </c>
      <c r="AE253" s="29">
        <f t="shared" si="104"/>
        <v>1</v>
      </c>
      <c r="AG253" s="54"/>
      <c r="AI253" s="11"/>
    </row>
    <row r="254" spans="1:35" s="12" customFormat="1">
      <c r="A254" s="95">
        <v>45928</v>
      </c>
      <c r="B254" s="25" t="s">
        <v>17</v>
      </c>
      <c r="C254" s="29"/>
      <c r="D254" s="29">
        <f t="shared" si="94"/>
        <v>0</v>
      </c>
      <c r="E254" s="29">
        <f t="shared" si="95"/>
        <v>-4462</v>
      </c>
      <c r="G254" s="64"/>
      <c r="H254" s="63"/>
      <c r="I254" s="53"/>
      <c r="J254" s="26"/>
      <c r="K254" s="26">
        <f t="shared" si="96"/>
        <v>-200</v>
      </c>
      <c r="M254" s="304">
        <v>0</v>
      </c>
      <c r="N254" s="311"/>
      <c r="O254" s="260"/>
      <c r="P254" s="261"/>
      <c r="Q254" s="262"/>
      <c r="R254" s="263">
        <f t="shared" si="98"/>
        <v>-4</v>
      </c>
      <c r="S254" s="313">
        <f t="shared" si="99"/>
        <v>0</v>
      </c>
      <c r="T254" s="11"/>
      <c r="U254" s="53"/>
      <c r="V254" s="29"/>
      <c r="W254" s="26">
        <f t="shared" si="101"/>
        <v>-4262</v>
      </c>
      <c r="X254" s="10"/>
      <c r="Y254" s="79"/>
      <c r="Z254" s="63"/>
      <c r="AA254" s="27"/>
      <c r="AB254" s="28"/>
      <c r="AC254" s="43"/>
      <c r="AD254" s="29">
        <f t="shared" si="103"/>
        <v>-215</v>
      </c>
      <c r="AE254" s="29">
        <f t="shared" si="104"/>
        <v>1</v>
      </c>
      <c r="AG254" s="54"/>
      <c r="AI254" s="11"/>
    </row>
    <row r="255" spans="1:35">
      <c r="A255" s="96">
        <v>45929</v>
      </c>
      <c r="B255" s="17" t="s">
        <v>18</v>
      </c>
      <c r="C255" s="136"/>
      <c r="D255" s="23">
        <f t="shared" si="94"/>
        <v>0</v>
      </c>
      <c r="E255" s="23">
        <f t="shared" si="95"/>
        <v>-4462</v>
      </c>
      <c r="G255" s="19"/>
      <c r="H255" s="62"/>
      <c r="I255" s="51">
        <f t="shared" si="105"/>
        <v>0</v>
      </c>
      <c r="J255" s="18"/>
      <c r="K255" s="18">
        <f t="shared" si="96"/>
        <v>-200</v>
      </c>
      <c r="M255" s="304">
        <v>0</v>
      </c>
      <c r="N255" s="311">
        <f t="shared" ref="N255:N259" si="108">M255</f>
        <v>0</v>
      </c>
      <c r="O255" s="260"/>
      <c r="P255" s="261"/>
      <c r="Q255" s="262"/>
      <c r="R255" s="263">
        <f t="shared" si="98"/>
        <v>-4</v>
      </c>
      <c r="S255" s="313">
        <f t="shared" si="99"/>
        <v>0</v>
      </c>
      <c r="U255" s="51">
        <f t="shared" si="100"/>
        <v>0</v>
      </c>
      <c r="V255" s="23"/>
      <c r="W255" s="18">
        <f t="shared" si="101"/>
        <v>-4262</v>
      </c>
      <c r="X255" s="2"/>
      <c r="Y255" s="78">
        <v>1</v>
      </c>
      <c r="Z255" s="62">
        <f t="shared" si="102"/>
        <v>0</v>
      </c>
      <c r="AA255" s="20"/>
      <c r="AB255" s="21"/>
      <c r="AC255" s="42"/>
      <c r="AD255" s="23">
        <f t="shared" si="103"/>
        <v>-216</v>
      </c>
      <c r="AE255" s="23">
        <f t="shared" si="104"/>
        <v>0</v>
      </c>
      <c r="AG255" s="52"/>
    </row>
    <row r="256" spans="1:35">
      <c r="A256" s="96">
        <v>45930</v>
      </c>
      <c r="B256" s="17" t="s">
        <v>19</v>
      </c>
      <c r="C256" s="136"/>
      <c r="D256" s="23">
        <f t="shared" si="94"/>
        <v>0</v>
      </c>
      <c r="E256" s="23">
        <f t="shared" si="95"/>
        <v>-4462</v>
      </c>
      <c r="G256" s="19"/>
      <c r="H256" s="62"/>
      <c r="I256" s="51">
        <f t="shared" si="105"/>
        <v>0</v>
      </c>
      <c r="J256" s="18"/>
      <c r="K256" s="18">
        <f t="shared" si="96"/>
        <v>-200</v>
      </c>
      <c r="M256" s="304">
        <v>0</v>
      </c>
      <c r="N256" s="311">
        <f t="shared" si="108"/>
        <v>0</v>
      </c>
      <c r="O256" s="260"/>
      <c r="P256" s="261"/>
      <c r="Q256" s="262"/>
      <c r="R256" s="263">
        <f t="shared" si="98"/>
        <v>-4</v>
      </c>
      <c r="S256" s="313">
        <f t="shared" si="99"/>
        <v>0</v>
      </c>
      <c r="U256" s="51">
        <f t="shared" si="100"/>
        <v>0</v>
      </c>
      <c r="V256" s="23"/>
      <c r="W256" s="18">
        <f t="shared" si="101"/>
        <v>-4262</v>
      </c>
      <c r="X256" s="2"/>
      <c r="Y256" s="304">
        <v>0</v>
      </c>
      <c r="Z256" s="259">
        <f t="shared" si="102"/>
        <v>0</v>
      </c>
      <c r="AA256" s="260"/>
      <c r="AB256" s="261"/>
      <c r="AC256" s="262"/>
      <c r="AD256" s="263">
        <f t="shared" si="103"/>
        <v>-216</v>
      </c>
      <c r="AE256" s="263">
        <f t="shared" si="104"/>
        <v>0</v>
      </c>
      <c r="AG256" s="52"/>
    </row>
    <row r="257" spans="1:35">
      <c r="A257" s="96">
        <v>45931</v>
      </c>
      <c r="B257" s="17" t="s">
        <v>20</v>
      </c>
      <c r="C257" s="136"/>
      <c r="D257" s="23">
        <f t="shared" si="94"/>
        <v>0</v>
      </c>
      <c r="E257" s="23">
        <f t="shared" si="95"/>
        <v>-4462</v>
      </c>
      <c r="G257" s="19"/>
      <c r="H257" s="62"/>
      <c r="I257" s="51">
        <f t="shared" si="105"/>
        <v>0</v>
      </c>
      <c r="J257" s="18"/>
      <c r="K257" s="18">
        <f t="shared" si="96"/>
        <v>-200</v>
      </c>
      <c r="M257" s="304">
        <v>0</v>
      </c>
      <c r="N257" s="311">
        <f t="shared" si="108"/>
        <v>0</v>
      </c>
      <c r="O257" s="260"/>
      <c r="P257" s="261"/>
      <c r="Q257" s="262"/>
      <c r="R257" s="263">
        <f t="shared" si="98"/>
        <v>-4</v>
      </c>
      <c r="S257" s="313">
        <f t="shared" si="99"/>
        <v>0</v>
      </c>
      <c r="U257" s="51">
        <f t="shared" si="100"/>
        <v>0</v>
      </c>
      <c r="V257" s="23"/>
      <c r="W257" s="18">
        <f t="shared" si="101"/>
        <v>-4262</v>
      </c>
      <c r="X257" s="2"/>
      <c r="Y257" s="304">
        <v>0</v>
      </c>
      <c r="Z257" s="259">
        <f t="shared" si="102"/>
        <v>0</v>
      </c>
      <c r="AA257" s="260"/>
      <c r="AB257" s="261"/>
      <c r="AC257" s="262"/>
      <c r="AD257" s="263">
        <f t="shared" si="103"/>
        <v>-216</v>
      </c>
      <c r="AE257" s="263">
        <f t="shared" si="104"/>
        <v>0</v>
      </c>
      <c r="AG257" s="52"/>
    </row>
    <row r="258" spans="1:35">
      <c r="A258" s="96">
        <v>45932</v>
      </c>
      <c r="B258" s="17" t="s">
        <v>14</v>
      </c>
      <c r="C258" s="136"/>
      <c r="D258" s="23">
        <f t="shared" si="94"/>
        <v>0</v>
      </c>
      <c r="E258" s="23">
        <f t="shared" si="95"/>
        <v>-4462</v>
      </c>
      <c r="G258" s="19"/>
      <c r="H258" s="62"/>
      <c r="I258" s="51">
        <f t="shared" si="105"/>
        <v>0</v>
      </c>
      <c r="J258" s="18"/>
      <c r="K258" s="18">
        <f t="shared" si="96"/>
        <v>-200</v>
      </c>
      <c r="M258" s="304">
        <v>0</v>
      </c>
      <c r="N258" s="311">
        <f t="shared" si="108"/>
        <v>0</v>
      </c>
      <c r="O258" s="260"/>
      <c r="P258" s="261"/>
      <c r="Q258" s="262"/>
      <c r="R258" s="263">
        <f t="shared" si="98"/>
        <v>-4</v>
      </c>
      <c r="S258" s="313">
        <f t="shared" si="99"/>
        <v>0</v>
      </c>
      <c r="U258" s="51">
        <f t="shared" si="100"/>
        <v>0</v>
      </c>
      <c r="V258" s="23"/>
      <c r="W258" s="18">
        <f t="shared" si="101"/>
        <v>-4262</v>
      </c>
      <c r="X258" s="2"/>
      <c r="Y258" s="304">
        <v>0</v>
      </c>
      <c r="Z258" s="259">
        <f t="shared" si="102"/>
        <v>0</v>
      </c>
      <c r="AA258" s="260"/>
      <c r="AB258" s="261"/>
      <c r="AC258" s="262"/>
      <c r="AD258" s="263">
        <f t="shared" si="103"/>
        <v>-216</v>
      </c>
      <c r="AE258" s="263">
        <f t="shared" si="104"/>
        <v>0</v>
      </c>
      <c r="AG258" s="52"/>
    </row>
    <row r="259" spans="1:35">
      <c r="A259" s="96">
        <v>45933</v>
      </c>
      <c r="B259" s="17" t="s">
        <v>15</v>
      </c>
      <c r="C259" s="136"/>
      <c r="D259" s="23">
        <f t="shared" si="94"/>
        <v>0</v>
      </c>
      <c r="E259" s="23">
        <f t="shared" si="95"/>
        <v>-4462</v>
      </c>
      <c r="G259" s="19"/>
      <c r="H259" s="62"/>
      <c r="I259" s="51">
        <f t="shared" si="105"/>
        <v>0</v>
      </c>
      <c r="J259" s="18"/>
      <c r="K259" s="18">
        <f t="shared" si="96"/>
        <v>-200</v>
      </c>
      <c r="M259" s="304">
        <v>0</v>
      </c>
      <c r="N259" s="311">
        <f t="shared" si="108"/>
        <v>0</v>
      </c>
      <c r="O259" s="260"/>
      <c r="P259" s="261"/>
      <c r="Q259" s="262"/>
      <c r="R259" s="263">
        <f t="shared" si="98"/>
        <v>-4</v>
      </c>
      <c r="S259" s="313">
        <f t="shared" si="99"/>
        <v>0</v>
      </c>
      <c r="U259" s="51">
        <f t="shared" si="100"/>
        <v>0</v>
      </c>
      <c r="V259" s="23"/>
      <c r="W259" s="18">
        <f t="shared" si="101"/>
        <v>-4262</v>
      </c>
      <c r="X259" s="2"/>
      <c r="Y259" s="304">
        <v>0</v>
      </c>
      <c r="Z259" s="259">
        <f t="shared" si="102"/>
        <v>0</v>
      </c>
      <c r="AA259" s="260"/>
      <c r="AB259" s="261"/>
      <c r="AC259" s="262"/>
      <c r="AD259" s="263">
        <f t="shared" si="103"/>
        <v>-216</v>
      </c>
      <c r="AE259" s="263">
        <f t="shared" si="104"/>
        <v>0</v>
      </c>
      <c r="AG259" s="52"/>
    </row>
    <row r="260" spans="1:35" s="12" customFormat="1">
      <c r="A260" s="95">
        <v>45934</v>
      </c>
      <c r="B260" s="25" t="s">
        <v>16</v>
      </c>
      <c r="C260" s="29"/>
      <c r="D260" s="29">
        <f t="shared" ref="D260:D265" si="109">J260+V260</f>
        <v>0</v>
      </c>
      <c r="E260" s="29">
        <f t="shared" ref="E260:E265" si="110">E259-C260+D260</f>
        <v>-4462</v>
      </c>
      <c r="G260" s="64"/>
      <c r="H260" s="63"/>
      <c r="I260" s="53"/>
      <c r="J260" s="26"/>
      <c r="K260" s="26">
        <f t="shared" ref="K260:K265" si="111">J260-I260+K259</f>
        <v>-200</v>
      </c>
      <c r="M260" s="304">
        <v>0</v>
      </c>
      <c r="N260" s="311"/>
      <c r="O260" s="260"/>
      <c r="P260" s="261"/>
      <c r="Q260" s="262"/>
      <c r="R260" s="263">
        <f t="shared" ref="R260:R265" si="112">R259-M260+Q260</f>
        <v>-4</v>
      </c>
      <c r="S260" s="313">
        <f t="shared" ref="S260:S265" si="113">S259-M260+N260</f>
        <v>0</v>
      </c>
      <c r="T260" s="11"/>
      <c r="U260" s="53"/>
      <c r="V260" s="29"/>
      <c r="W260" s="26">
        <f t="shared" ref="W260:W265" si="114">V260-U260+W259</f>
        <v>-4262</v>
      </c>
      <c r="X260" s="10"/>
      <c r="Y260" s="304">
        <v>0</v>
      </c>
      <c r="Z260" s="259"/>
      <c r="AA260" s="260"/>
      <c r="AB260" s="261"/>
      <c r="AC260" s="262"/>
      <c r="AD260" s="263">
        <f t="shared" ref="AD260:AD265" si="115">AD259-Y260+AC260</f>
        <v>-216</v>
      </c>
      <c r="AE260" s="263">
        <f t="shared" ref="AE260:AE265" si="116">AE259-Y260+Z260</f>
        <v>0</v>
      </c>
      <c r="AG260" s="54"/>
      <c r="AI260" s="11"/>
    </row>
    <row r="261" spans="1:35" s="12" customFormat="1">
      <c r="A261" s="95">
        <v>45935</v>
      </c>
      <c r="B261" s="25" t="s">
        <v>17</v>
      </c>
      <c r="C261" s="29"/>
      <c r="D261" s="29">
        <f t="shared" si="109"/>
        <v>0</v>
      </c>
      <c r="E261" s="29">
        <f t="shared" si="110"/>
        <v>-4462</v>
      </c>
      <c r="G261" s="64"/>
      <c r="H261" s="63"/>
      <c r="I261" s="53"/>
      <c r="J261" s="26"/>
      <c r="K261" s="26">
        <f t="shared" si="111"/>
        <v>-200</v>
      </c>
      <c r="M261" s="304">
        <v>0</v>
      </c>
      <c r="N261" s="311"/>
      <c r="O261" s="260"/>
      <c r="P261" s="261"/>
      <c r="Q261" s="262"/>
      <c r="R261" s="263">
        <f t="shared" si="112"/>
        <v>-4</v>
      </c>
      <c r="S261" s="313">
        <f t="shared" si="113"/>
        <v>0</v>
      </c>
      <c r="T261" s="11"/>
      <c r="U261" s="53"/>
      <c r="V261" s="29"/>
      <c r="W261" s="26">
        <f t="shared" si="114"/>
        <v>-4262</v>
      </c>
      <c r="X261" s="10"/>
      <c r="Y261" s="304">
        <v>0</v>
      </c>
      <c r="Z261" s="259"/>
      <c r="AA261" s="260"/>
      <c r="AB261" s="261"/>
      <c r="AC261" s="262"/>
      <c r="AD261" s="263">
        <f t="shared" si="115"/>
        <v>-216</v>
      </c>
      <c r="AE261" s="263">
        <f t="shared" si="116"/>
        <v>0</v>
      </c>
      <c r="AG261" s="54"/>
      <c r="AI261" s="11"/>
    </row>
    <row r="262" spans="1:35">
      <c r="A262" s="96">
        <v>45936</v>
      </c>
      <c r="B262" s="17" t="s">
        <v>18</v>
      </c>
      <c r="C262" s="23"/>
      <c r="D262" s="23">
        <f t="shared" si="109"/>
        <v>0</v>
      </c>
      <c r="E262" s="23">
        <f t="shared" si="110"/>
        <v>-4462</v>
      </c>
      <c r="G262" s="19"/>
      <c r="H262" s="62"/>
      <c r="I262" s="51">
        <f t="shared" si="105"/>
        <v>0</v>
      </c>
      <c r="J262" s="18"/>
      <c r="K262" s="18">
        <f t="shared" si="111"/>
        <v>-200</v>
      </c>
      <c r="M262" s="304">
        <v>0</v>
      </c>
      <c r="N262" s="311">
        <f t="shared" ref="N262:N266" si="117">M262</f>
        <v>0</v>
      </c>
      <c r="O262" s="260"/>
      <c r="P262" s="261"/>
      <c r="Q262" s="262"/>
      <c r="R262" s="263">
        <f t="shared" si="112"/>
        <v>-4</v>
      </c>
      <c r="S262" s="313">
        <f t="shared" si="113"/>
        <v>0</v>
      </c>
      <c r="U262" s="51">
        <f t="shared" ref="U262:U265" si="118">C262-I262</f>
        <v>0</v>
      </c>
      <c r="V262" s="23"/>
      <c r="W262" s="18">
        <f t="shared" si="114"/>
        <v>-4262</v>
      </c>
      <c r="X262" s="2"/>
      <c r="Y262" s="304">
        <v>0</v>
      </c>
      <c r="Z262" s="259">
        <f t="shared" ref="Z262:Z265" si="119">IF(U260&lt;&gt;"",U260+AA262,IF(U258&lt;&gt;"",U258+AA262,IF(U257&lt;&gt;"",U257+AA262,IF(U256&lt;&gt;"",U256+AA262,IF(U255&lt;&gt;"",U255+AA262,IF(U254&lt;&gt;"",U254+AA262))))))</f>
        <v>0</v>
      </c>
      <c r="AA262" s="260"/>
      <c r="AB262" s="261"/>
      <c r="AC262" s="262"/>
      <c r="AD262" s="263">
        <f t="shared" si="115"/>
        <v>-216</v>
      </c>
      <c r="AE262" s="263">
        <f t="shared" si="116"/>
        <v>0</v>
      </c>
      <c r="AG262" s="52"/>
    </row>
    <row r="263" spans="1:35">
      <c r="A263" s="96">
        <v>45937</v>
      </c>
      <c r="B263" s="17" t="s">
        <v>19</v>
      </c>
      <c r="C263" s="23"/>
      <c r="D263" s="23">
        <f t="shared" si="109"/>
        <v>0</v>
      </c>
      <c r="E263" s="23">
        <f t="shared" si="110"/>
        <v>-4462</v>
      </c>
      <c r="G263" s="19"/>
      <c r="H263" s="62"/>
      <c r="I263" s="51">
        <f t="shared" si="105"/>
        <v>0</v>
      </c>
      <c r="J263" s="18"/>
      <c r="K263" s="18">
        <f t="shared" si="111"/>
        <v>-200</v>
      </c>
      <c r="M263" s="304">
        <v>0</v>
      </c>
      <c r="N263" s="311">
        <f t="shared" si="117"/>
        <v>0</v>
      </c>
      <c r="O263" s="260"/>
      <c r="P263" s="261"/>
      <c r="Q263" s="262"/>
      <c r="R263" s="263">
        <f t="shared" si="112"/>
        <v>-4</v>
      </c>
      <c r="S263" s="313">
        <f t="shared" si="113"/>
        <v>0</v>
      </c>
      <c r="U263" s="51">
        <f t="shared" si="118"/>
        <v>0</v>
      </c>
      <c r="V263" s="23"/>
      <c r="W263" s="18">
        <f t="shared" si="114"/>
        <v>-4262</v>
      </c>
      <c r="X263" s="2"/>
      <c r="Y263" s="304">
        <v>0</v>
      </c>
      <c r="Z263" s="259">
        <f t="shared" si="119"/>
        <v>0</v>
      </c>
      <c r="AA263" s="260"/>
      <c r="AB263" s="261"/>
      <c r="AC263" s="262"/>
      <c r="AD263" s="263">
        <f t="shared" si="115"/>
        <v>-216</v>
      </c>
      <c r="AE263" s="263">
        <f t="shared" si="116"/>
        <v>0</v>
      </c>
      <c r="AG263" s="52"/>
    </row>
    <row r="264" spans="1:35">
      <c r="A264" s="96">
        <v>45938</v>
      </c>
      <c r="B264" s="17" t="s">
        <v>20</v>
      </c>
      <c r="C264" s="23"/>
      <c r="D264" s="23">
        <f t="shared" si="109"/>
        <v>0</v>
      </c>
      <c r="E264" s="23">
        <f t="shared" si="110"/>
        <v>-4462</v>
      </c>
      <c r="G264" s="19"/>
      <c r="H264" s="62"/>
      <c r="I264" s="51">
        <f t="shared" si="105"/>
        <v>0</v>
      </c>
      <c r="J264" s="18"/>
      <c r="K264" s="18">
        <f t="shared" si="111"/>
        <v>-200</v>
      </c>
      <c r="M264" s="304">
        <v>0</v>
      </c>
      <c r="N264" s="311">
        <f t="shared" si="117"/>
        <v>0</v>
      </c>
      <c r="O264" s="260"/>
      <c r="P264" s="261"/>
      <c r="Q264" s="262"/>
      <c r="R264" s="263">
        <f t="shared" si="112"/>
        <v>-4</v>
      </c>
      <c r="S264" s="313">
        <f t="shared" si="113"/>
        <v>0</v>
      </c>
      <c r="U264" s="51">
        <f t="shared" si="118"/>
        <v>0</v>
      </c>
      <c r="V264" s="23"/>
      <c r="W264" s="18">
        <f t="shared" si="114"/>
        <v>-4262</v>
      </c>
      <c r="X264" s="2"/>
      <c r="Y264" s="304">
        <v>0</v>
      </c>
      <c r="Z264" s="259">
        <f t="shared" si="119"/>
        <v>0</v>
      </c>
      <c r="AA264" s="260"/>
      <c r="AB264" s="261"/>
      <c r="AC264" s="262"/>
      <c r="AD264" s="263">
        <f t="shared" si="115"/>
        <v>-216</v>
      </c>
      <c r="AE264" s="263">
        <f t="shared" si="116"/>
        <v>0</v>
      </c>
      <c r="AG264" s="52"/>
    </row>
    <row r="265" spans="1:35">
      <c r="A265" s="96">
        <v>45939</v>
      </c>
      <c r="B265" s="17" t="s">
        <v>14</v>
      </c>
      <c r="C265" s="23"/>
      <c r="D265" s="23">
        <f t="shared" si="109"/>
        <v>0</v>
      </c>
      <c r="E265" s="23">
        <f t="shared" si="110"/>
        <v>-4462</v>
      </c>
      <c r="G265" s="19"/>
      <c r="H265" s="62"/>
      <c r="I265" s="51">
        <f>M270</f>
        <v>0</v>
      </c>
      <c r="J265" s="18"/>
      <c r="K265" s="18">
        <f t="shared" si="111"/>
        <v>-200</v>
      </c>
      <c r="M265" s="304">
        <v>0</v>
      </c>
      <c r="N265" s="311">
        <f t="shared" si="117"/>
        <v>0</v>
      </c>
      <c r="O265" s="260"/>
      <c r="P265" s="261"/>
      <c r="Q265" s="262"/>
      <c r="R265" s="263">
        <f t="shared" si="112"/>
        <v>-4</v>
      </c>
      <c r="S265" s="313">
        <f t="shared" si="113"/>
        <v>0</v>
      </c>
      <c r="U265" s="51">
        <f t="shared" si="118"/>
        <v>0</v>
      </c>
      <c r="V265" s="23"/>
      <c r="W265" s="18">
        <f t="shared" si="114"/>
        <v>-4262</v>
      </c>
      <c r="X265" s="2"/>
      <c r="Y265" s="304">
        <v>0</v>
      </c>
      <c r="Z265" s="259">
        <f t="shared" si="119"/>
        <v>0</v>
      </c>
      <c r="AA265" s="260"/>
      <c r="AB265" s="261"/>
      <c r="AC265" s="262"/>
      <c r="AD265" s="263">
        <f t="shared" si="115"/>
        <v>-216</v>
      </c>
      <c r="AE265" s="263">
        <f t="shared" si="116"/>
        <v>0</v>
      </c>
      <c r="AG265" s="52"/>
    </row>
    <row r="266" spans="1:35">
      <c r="A266" s="96">
        <v>45940</v>
      </c>
      <c r="B266" s="17" t="s">
        <v>15</v>
      </c>
      <c r="C266" s="23"/>
      <c r="D266" s="23">
        <f t="shared" ref="D266:D290" si="120">J266+V266</f>
        <v>0</v>
      </c>
      <c r="E266" s="23">
        <f t="shared" ref="E266:E290" si="121">E265-C266+D266</f>
        <v>-4462</v>
      </c>
      <c r="G266" s="19"/>
      <c r="H266" s="62"/>
      <c r="I266" s="51">
        <f>M271</f>
        <v>0</v>
      </c>
      <c r="J266" s="18"/>
      <c r="K266" s="18">
        <f t="shared" ref="K266:K290" si="122">J266-I266+K265</f>
        <v>-200</v>
      </c>
      <c r="M266" s="304">
        <v>0</v>
      </c>
      <c r="N266" s="311">
        <f t="shared" si="117"/>
        <v>0</v>
      </c>
      <c r="O266" s="260"/>
      <c r="P266" s="261"/>
      <c r="Q266" s="262"/>
      <c r="R266" s="263">
        <f t="shared" ref="R266:R290" si="123">R265-M266+Q266</f>
        <v>-4</v>
      </c>
      <c r="S266" s="313">
        <f t="shared" ref="S266:S290" si="124">S265-M266+N266</f>
        <v>0</v>
      </c>
      <c r="U266" s="51">
        <f t="shared" ref="U266:U290" si="125">C266-I266</f>
        <v>0</v>
      </c>
      <c r="V266" s="23"/>
      <c r="W266" s="18">
        <f t="shared" ref="W266:W290" si="126">V266-U266+W265</f>
        <v>-4262</v>
      </c>
      <c r="X266" s="2"/>
      <c r="Y266" s="304">
        <v>0</v>
      </c>
      <c r="Z266" s="259">
        <f t="shared" ref="Z266:Z290" si="127">IF(U264&lt;&gt;"",U264+AA266,IF(U262&lt;&gt;"",U262+AA266,IF(U261&lt;&gt;"",U261+AA266,IF(U260&lt;&gt;"",U260+AA266,IF(U259&lt;&gt;"",U259+AA266,IF(U258&lt;&gt;"",U258+AA266))))))</f>
        <v>0</v>
      </c>
      <c r="AA266" s="260"/>
      <c r="AB266" s="261"/>
      <c r="AC266" s="262"/>
      <c r="AD266" s="263">
        <f t="shared" ref="AD266:AD290" si="128">AD265-Y266+AC266</f>
        <v>-216</v>
      </c>
      <c r="AE266" s="263">
        <f t="shared" ref="AE266:AE290" si="129">AE265-Y266+Z266</f>
        <v>0</v>
      </c>
      <c r="AG266" s="52"/>
    </row>
    <row r="267" spans="1:35" s="12" customFormat="1">
      <c r="A267" s="95">
        <v>45941</v>
      </c>
      <c r="B267" s="25" t="s">
        <v>16</v>
      </c>
      <c r="C267" s="29"/>
      <c r="D267" s="29">
        <f t="shared" si="120"/>
        <v>0</v>
      </c>
      <c r="E267" s="29">
        <f t="shared" si="121"/>
        <v>-4462</v>
      </c>
      <c r="G267" s="64"/>
      <c r="H267" s="63"/>
      <c r="I267" s="53"/>
      <c r="J267" s="26"/>
      <c r="K267" s="26">
        <f t="shared" si="122"/>
        <v>-200</v>
      </c>
      <c r="M267" s="304">
        <v>0</v>
      </c>
      <c r="N267" s="311"/>
      <c r="O267" s="260"/>
      <c r="P267" s="261"/>
      <c r="Q267" s="262"/>
      <c r="R267" s="263">
        <f t="shared" si="123"/>
        <v>-4</v>
      </c>
      <c r="S267" s="313">
        <f t="shared" si="124"/>
        <v>0</v>
      </c>
      <c r="T267" s="11"/>
      <c r="U267" s="53"/>
      <c r="V267" s="29"/>
      <c r="W267" s="26">
        <f t="shared" si="126"/>
        <v>-4262</v>
      </c>
      <c r="X267" s="10"/>
      <c r="Y267" s="304">
        <v>0</v>
      </c>
      <c r="Z267" s="259"/>
      <c r="AA267" s="260"/>
      <c r="AB267" s="261"/>
      <c r="AC267" s="262"/>
      <c r="AD267" s="263">
        <f t="shared" si="128"/>
        <v>-216</v>
      </c>
      <c r="AE267" s="263">
        <f t="shared" si="129"/>
        <v>0</v>
      </c>
      <c r="AG267" s="54"/>
      <c r="AI267" s="11"/>
    </row>
    <row r="268" spans="1:35" s="12" customFormat="1">
      <c r="A268" s="95">
        <v>45942</v>
      </c>
      <c r="B268" s="25" t="s">
        <v>17</v>
      </c>
      <c r="C268" s="29"/>
      <c r="D268" s="29">
        <f t="shared" si="120"/>
        <v>0</v>
      </c>
      <c r="E268" s="29">
        <f t="shared" si="121"/>
        <v>-4462</v>
      </c>
      <c r="G268" s="64"/>
      <c r="H268" s="63"/>
      <c r="I268" s="53"/>
      <c r="J268" s="26"/>
      <c r="K268" s="26">
        <f t="shared" si="122"/>
        <v>-200</v>
      </c>
      <c r="M268" s="304">
        <v>0</v>
      </c>
      <c r="N268" s="311"/>
      <c r="O268" s="260"/>
      <c r="P268" s="261"/>
      <c r="Q268" s="262"/>
      <c r="R268" s="263">
        <f t="shared" si="123"/>
        <v>-4</v>
      </c>
      <c r="S268" s="313">
        <f t="shared" si="124"/>
        <v>0</v>
      </c>
      <c r="T268" s="11"/>
      <c r="U268" s="53"/>
      <c r="V268" s="29"/>
      <c r="W268" s="26">
        <f t="shared" si="126"/>
        <v>-4262</v>
      </c>
      <c r="X268" s="10"/>
      <c r="Y268" s="304">
        <v>0</v>
      </c>
      <c r="Z268" s="259"/>
      <c r="AA268" s="260"/>
      <c r="AB268" s="261"/>
      <c r="AC268" s="262"/>
      <c r="AD268" s="263">
        <f t="shared" si="128"/>
        <v>-216</v>
      </c>
      <c r="AE268" s="263">
        <f t="shared" si="129"/>
        <v>0</v>
      </c>
      <c r="AG268" s="54"/>
      <c r="AI268" s="11"/>
    </row>
    <row r="269" spans="1:35" s="12" customFormat="1">
      <c r="A269" s="95">
        <v>45943</v>
      </c>
      <c r="B269" s="25" t="s">
        <v>18</v>
      </c>
      <c r="C269" s="29"/>
      <c r="D269" s="29">
        <f t="shared" si="120"/>
        <v>0</v>
      </c>
      <c r="E269" s="29">
        <f t="shared" si="121"/>
        <v>-4462</v>
      </c>
      <c r="G269" s="64"/>
      <c r="H269" s="63"/>
      <c r="I269" s="53"/>
      <c r="J269" s="26"/>
      <c r="K269" s="26">
        <f t="shared" si="122"/>
        <v>-200</v>
      </c>
      <c r="M269" s="304">
        <v>0</v>
      </c>
      <c r="N269" s="311"/>
      <c r="O269" s="260"/>
      <c r="P269" s="261"/>
      <c r="Q269" s="262"/>
      <c r="R269" s="263">
        <f t="shared" si="123"/>
        <v>-4</v>
      </c>
      <c r="S269" s="313">
        <f t="shared" si="124"/>
        <v>0</v>
      </c>
      <c r="T269" s="11"/>
      <c r="U269" s="53"/>
      <c r="V269" s="29"/>
      <c r="W269" s="26">
        <f t="shared" si="126"/>
        <v>-4262</v>
      </c>
      <c r="X269" s="10"/>
      <c r="Y269" s="304">
        <v>0</v>
      </c>
      <c r="Z269" s="259"/>
      <c r="AA269" s="260"/>
      <c r="AB269" s="261"/>
      <c r="AC269" s="262"/>
      <c r="AD269" s="263">
        <f t="shared" si="128"/>
        <v>-216</v>
      </c>
      <c r="AE269" s="263">
        <f t="shared" si="129"/>
        <v>0</v>
      </c>
      <c r="AG269" s="54"/>
      <c r="AI269" s="11"/>
    </row>
    <row r="270" spans="1:35">
      <c r="A270" s="96">
        <v>45944</v>
      </c>
      <c r="B270" s="17" t="s">
        <v>19</v>
      </c>
      <c r="C270" s="23"/>
      <c r="D270" s="23">
        <f t="shared" si="120"/>
        <v>0</v>
      </c>
      <c r="E270" s="23">
        <f t="shared" si="121"/>
        <v>-4462</v>
      </c>
      <c r="G270" s="19"/>
      <c r="H270" s="62"/>
      <c r="I270" s="51">
        <f t="shared" ref="I270:I280" si="130">IF(M272&lt;&gt;"",N272+O272,IF(M274&lt;&gt;"",N274+O274,IF(M522&lt;&gt;"",N522+O522,IF(M523&lt;&gt;"",N523+O523,IF(M524&lt;&gt;"",N524+O524,IF(M525&lt;&gt;"",N525+O525))))))</f>
        <v>0</v>
      </c>
      <c r="J270" s="18"/>
      <c r="K270" s="18">
        <f t="shared" si="122"/>
        <v>-200</v>
      </c>
      <c r="M270" s="304">
        <v>0</v>
      </c>
      <c r="N270" s="311">
        <f t="shared" ref="N270:N273" si="131">M270</f>
        <v>0</v>
      </c>
      <c r="O270" s="260"/>
      <c r="P270" s="261"/>
      <c r="Q270" s="262"/>
      <c r="R270" s="263">
        <f t="shared" si="123"/>
        <v>-4</v>
      </c>
      <c r="S270" s="313">
        <f t="shared" si="124"/>
        <v>0</v>
      </c>
      <c r="U270" s="51">
        <f t="shared" si="125"/>
        <v>0</v>
      </c>
      <c r="V270" s="23"/>
      <c r="W270" s="18">
        <f t="shared" si="126"/>
        <v>-4262</v>
      </c>
      <c r="X270" s="2"/>
      <c r="Y270" s="304">
        <v>0</v>
      </c>
      <c r="Z270" s="259">
        <f t="shared" si="127"/>
        <v>0</v>
      </c>
      <c r="AA270" s="260"/>
      <c r="AB270" s="261"/>
      <c r="AC270" s="262"/>
      <c r="AD270" s="263">
        <f t="shared" si="128"/>
        <v>-216</v>
      </c>
      <c r="AE270" s="263">
        <f t="shared" si="129"/>
        <v>0</v>
      </c>
      <c r="AG270" s="52"/>
    </row>
    <row r="271" spans="1:35">
      <c r="A271" s="96">
        <v>45945</v>
      </c>
      <c r="B271" s="17" t="s">
        <v>20</v>
      </c>
      <c r="C271" s="23"/>
      <c r="D271" s="23">
        <f t="shared" si="120"/>
        <v>0</v>
      </c>
      <c r="E271" s="23">
        <f t="shared" si="121"/>
        <v>-4462</v>
      </c>
      <c r="G271" s="19"/>
      <c r="H271" s="62"/>
      <c r="I271" s="51">
        <f t="shared" si="130"/>
        <v>0</v>
      </c>
      <c r="J271" s="18"/>
      <c r="K271" s="18">
        <f t="shared" si="122"/>
        <v>-200</v>
      </c>
      <c r="M271" s="304">
        <v>0</v>
      </c>
      <c r="N271" s="311">
        <f t="shared" si="131"/>
        <v>0</v>
      </c>
      <c r="O271" s="260"/>
      <c r="P271" s="261"/>
      <c r="Q271" s="262"/>
      <c r="R271" s="263">
        <f t="shared" si="123"/>
        <v>-4</v>
      </c>
      <c r="S271" s="313">
        <f t="shared" si="124"/>
        <v>0</v>
      </c>
      <c r="U271" s="51">
        <f t="shared" si="125"/>
        <v>0</v>
      </c>
      <c r="V271" s="23"/>
      <c r="W271" s="18">
        <f t="shared" si="126"/>
        <v>-4262</v>
      </c>
      <c r="X271" s="2"/>
      <c r="Y271" s="304">
        <v>0</v>
      </c>
      <c r="Z271" s="259">
        <f t="shared" si="127"/>
        <v>0</v>
      </c>
      <c r="AA271" s="260"/>
      <c r="AB271" s="261"/>
      <c r="AC271" s="262"/>
      <c r="AD271" s="263">
        <f t="shared" si="128"/>
        <v>-216</v>
      </c>
      <c r="AE271" s="263">
        <f t="shared" si="129"/>
        <v>0</v>
      </c>
      <c r="AG271" s="52"/>
    </row>
    <row r="272" spans="1:35">
      <c r="A272" s="96">
        <v>45946</v>
      </c>
      <c r="B272" s="17" t="s">
        <v>14</v>
      </c>
      <c r="C272" s="23"/>
      <c r="D272" s="23">
        <f t="shared" si="120"/>
        <v>0</v>
      </c>
      <c r="E272" s="23">
        <f t="shared" si="121"/>
        <v>-4462</v>
      </c>
      <c r="G272" s="19"/>
      <c r="H272" s="62"/>
      <c r="I272" s="51">
        <f t="shared" si="130"/>
        <v>0</v>
      </c>
      <c r="J272" s="18"/>
      <c r="K272" s="18">
        <f t="shared" si="122"/>
        <v>-200</v>
      </c>
      <c r="M272" s="304">
        <v>0</v>
      </c>
      <c r="N272" s="311">
        <f t="shared" si="131"/>
        <v>0</v>
      </c>
      <c r="O272" s="260"/>
      <c r="P272" s="261"/>
      <c r="Q272" s="262"/>
      <c r="R272" s="263">
        <f t="shared" si="123"/>
        <v>-4</v>
      </c>
      <c r="S272" s="313">
        <f t="shared" si="124"/>
        <v>0</v>
      </c>
      <c r="U272" s="51">
        <f t="shared" si="125"/>
        <v>0</v>
      </c>
      <c r="V272" s="23"/>
      <c r="W272" s="18">
        <f t="shared" si="126"/>
        <v>-4262</v>
      </c>
      <c r="X272" s="2"/>
      <c r="Y272" s="304">
        <v>0</v>
      </c>
      <c r="Z272" s="259">
        <f t="shared" si="127"/>
        <v>0</v>
      </c>
      <c r="AA272" s="260"/>
      <c r="AB272" s="261"/>
      <c r="AC272" s="262"/>
      <c r="AD272" s="263">
        <f t="shared" si="128"/>
        <v>-216</v>
      </c>
      <c r="AE272" s="263">
        <f t="shared" si="129"/>
        <v>0</v>
      </c>
      <c r="AG272" s="52"/>
    </row>
    <row r="273" spans="1:35">
      <c r="A273" s="96">
        <v>45947</v>
      </c>
      <c r="B273" s="17" t="s">
        <v>15</v>
      </c>
      <c r="C273" s="23"/>
      <c r="D273" s="23">
        <f t="shared" si="120"/>
        <v>0</v>
      </c>
      <c r="E273" s="23">
        <f t="shared" si="121"/>
        <v>-4462</v>
      </c>
      <c r="G273" s="19"/>
      <c r="H273" s="62"/>
      <c r="I273" s="51">
        <f t="shared" si="130"/>
        <v>0</v>
      </c>
      <c r="J273" s="18"/>
      <c r="K273" s="18">
        <f t="shared" si="122"/>
        <v>-200</v>
      </c>
      <c r="M273" s="304">
        <v>0</v>
      </c>
      <c r="N273" s="311">
        <f t="shared" si="131"/>
        <v>0</v>
      </c>
      <c r="O273" s="260"/>
      <c r="P273" s="261"/>
      <c r="Q273" s="262"/>
      <c r="R273" s="263">
        <f t="shared" si="123"/>
        <v>-4</v>
      </c>
      <c r="S273" s="313">
        <f t="shared" si="124"/>
        <v>0</v>
      </c>
      <c r="U273" s="51">
        <f t="shared" si="125"/>
        <v>0</v>
      </c>
      <c r="V273" s="23"/>
      <c r="W273" s="18">
        <f t="shared" si="126"/>
        <v>-4262</v>
      </c>
      <c r="X273" s="2"/>
      <c r="Y273" s="304">
        <v>0</v>
      </c>
      <c r="Z273" s="259">
        <f t="shared" si="127"/>
        <v>0</v>
      </c>
      <c r="AA273" s="260"/>
      <c r="AB273" s="261"/>
      <c r="AC273" s="262"/>
      <c r="AD273" s="263">
        <f t="shared" si="128"/>
        <v>-216</v>
      </c>
      <c r="AE273" s="263">
        <f t="shared" si="129"/>
        <v>0</v>
      </c>
      <c r="AG273" s="52"/>
    </row>
    <row r="274" spans="1:35" s="12" customFormat="1">
      <c r="A274" s="95">
        <v>45948</v>
      </c>
      <c r="B274" s="25" t="s">
        <v>16</v>
      </c>
      <c r="C274" s="29"/>
      <c r="D274" s="29">
        <f t="shared" si="120"/>
        <v>0</v>
      </c>
      <c r="E274" s="29">
        <f t="shared" si="121"/>
        <v>-4462</v>
      </c>
      <c r="G274" s="64"/>
      <c r="H274" s="63"/>
      <c r="I274" s="53"/>
      <c r="J274" s="26"/>
      <c r="K274" s="26">
        <f t="shared" si="122"/>
        <v>-200</v>
      </c>
      <c r="M274" s="304">
        <v>0</v>
      </c>
      <c r="N274" s="311"/>
      <c r="O274" s="260"/>
      <c r="P274" s="261"/>
      <c r="Q274" s="262"/>
      <c r="R274" s="263">
        <f t="shared" si="123"/>
        <v>-4</v>
      </c>
      <c r="S274" s="313">
        <f t="shared" si="124"/>
        <v>0</v>
      </c>
      <c r="T274" s="11"/>
      <c r="U274" s="53"/>
      <c r="V274" s="29"/>
      <c r="W274" s="26">
        <f t="shared" si="126"/>
        <v>-4262</v>
      </c>
      <c r="X274" s="10"/>
      <c r="Y274" s="304">
        <v>0</v>
      </c>
      <c r="Z274" s="259"/>
      <c r="AA274" s="260"/>
      <c r="AB274" s="261"/>
      <c r="AC274" s="262"/>
      <c r="AD274" s="263">
        <f t="shared" si="128"/>
        <v>-216</v>
      </c>
      <c r="AE274" s="263">
        <f t="shared" si="129"/>
        <v>0</v>
      </c>
      <c r="AG274" s="54"/>
      <c r="AI274" s="11"/>
    </row>
    <row r="275" spans="1:35" s="12" customFormat="1">
      <c r="A275" s="95">
        <v>45949</v>
      </c>
      <c r="B275" s="25" t="s">
        <v>17</v>
      </c>
      <c r="C275" s="29"/>
      <c r="D275" s="29">
        <f t="shared" si="120"/>
        <v>0</v>
      </c>
      <c r="E275" s="29">
        <f t="shared" si="121"/>
        <v>-4462</v>
      </c>
      <c r="G275" s="64"/>
      <c r="H275" s="63"/>
      <c r="I275" s="53"/>
      <c r="J275" s="26"/>
      <c r="K275" s="26">
        <f t="shared" si="122"/>
        <v>-200</v>
      </c>
      <c r="M275" s="304">
        <v>0</v>
      </c>
      <c r="N275" s="311"/>
      <c r="O275" s="260"/>
      <c r="P275" s="261"/>
      <c r="Q275" s="262"/>
      <c r="R275" s="263">
        <f t="shared" si="123"/>
        <v>-4</v>
      </c>
      <c r="S275" s="313">
        <f t="shared" si="124"/>
        <v>0</v>
      </c>
      <c r="T275" s="11"/>
      <c r="U275" s="53"/>
      <c r="V275" s="29"/>
      <c r="W275" s="26">
        <f t="shared" si="126"/>
        <v>-4262</v>
      </c>
      <c r="X275" s="10"/>
      <c r="Y275" s="304">
        <v>0</v>
      </c>
      <c r="Z275" s="259"/>
      <c r="AA275" s="260"/>
      <c r="AB275" s="261"/>
      <c r="AC275" s="262"/>
      <c r="AD275" s="263">
        <f t="shared" si="128"/>
        <v>-216</v>
      </c>
      <c r="AE275" s="263">
        <f t="shared" si="129"/>
        <v>0</v>
      </c>
      <c r="AG275" s="54"/>
      <c r="AI275" s="11"/>
    </row>
    <row r="276" spans="1:35">
      <c r="A276" s="96">
        <v>45950</v>
      </c>
      <c r="B276" s="17" t="s">
        <v>18</v>
      </c>
      <c r="C276" s="23"/>
      <c r="D276" s="23">
        <f t="shared" si="120"/>
        <v>0</v>
      </c>
      <c r="E276" s="23">
        <f t="shared" si="121"/>
        <v>-4462</v>
      </c>
      <c r="G276" s="19"/>
      <c r="H276" s="62"/>
      <c r="I276" s="51">
        <f t="shared" si="130"/>
        <v>0</v>
      </c>
      <c r="J276" s="18"/>
      <c r="K276" s="18">
        <f t="shared" si="122"/>
        <v>-200</v>
      </c>
      <c r="M276" s="304">
        <v>0</v>
      </c>
      <c r="N276" s="311">
        <f t="shared" ref="N276:N280" si="132">M276</f>
        <v>0</v>
      </c>
      <c r="O276" s="260"/>
      <c r="P276" s="261"/>
      <c r="Q276" s="262"/>
      <c r="R276" s="263">
        <f t="shared" si="123"/>
        <v>-4</v>
      </c>
      <c r="S276" s="313">
        <f t="shared" si="124"/>
        <v>0</v>
      </c>
      <c r="U276" s="51">
        <f t="shared" si="125"/>
        <v>0</v>
      </c>
      <c r="V276" s="23"/>
      <c r="W276" s="18">
        <f t="shared" si="126"/>
        <v>-4262</v>
      </c>
      <c r="X276" s="2"/>
      <c r="Y276" s="304">
        <v>0</v>
      </c>
      <c r="Z276" s="259">
        <f t="shared" si="127"/>
        <v>0</v>
      </c>
      <c r="AA276" s="260"/>
      <c r="AB276" s="261"/>
      <c r="AC276" s="262"/>
      <c r="AD276" s="263">
        <f t="shared" si="128"/>
        <v>-216</v>
      </c>
      <c r="AE276" s="263">
        <f t="shared" si="129"/>
        <v>0</v>
      </c>
      <c r="AG276" s="52"/>
    </row>
    <row r="277" spans="1:35">
      <c r="A277" s="96">
        <v>45951</v>
      </c>
      <c r="B277" s="17" t="s">
        <v>19</v>
      </c>
      <c r="C277" s="23"/>
      <c r="D277" s="23">
        <f t="shared" si="120"/>
        <v>0</v>
      </c>
      <c r="E277" s="23">
        <f t="shared" si="121"/>
        <v>-4462</v>
      </c>
      <c r="G277" s="19"/>
      <c r="H277" s="62"/>
      <c r="I277" s="51">
        <f t="shared" si="130"/>
        <v>0</v>
      </c>
      <c r="J277" s="18"/>
      <c r="K277" s="18">
        <f t="shared" si="122"/>
        <v>-200</v>
      </c>
      <c r="M277" s="304">
        <v>0</v>
      </c>
      <c r="N277" s="311">
        <f t="shared" si="132"/>
        <v>0</v>
      </c>
      <c r="O277" s="260"/>
      <c r="P277" s="261"/>
      <c r="Q277" s="262"/>
      <c r="R277" s="263">
        <f t="shared" si="123"/>
        <v>-4</v>
      </c>
      <c r="S277" s="313">
        <f t="shared" si="124"/>
        <v>0</v>
      </c>
      <c r="U277" s="51">
        <f t="shared" si="125"/>
        <v>0</v>
      </c>
      <c r="V277" s="23"/>
      <c r="W277" s="18">
        <f t="shared" si="126"/>
        <v>-4262</v>
      </c>
      <c r="X277" s="2"/>
      <c r="Y277" s="304">
        <v>0</v>
      </c>
      <c r="Z277" s="259">
        <f t="shared" si="127"/>
        <v>0</v>
      </c>
      <c r="AA277" s="260"/>
      <c r="AB277" s="261"/>
      <c r="AC277" s="262"/>
      <c r="AD277" s="263">
        <f t="shared" si="128"/>
        <v>-216</v>
      </c>
      <c r="AE277" s="263">
        <f t="shared" si="129"/>
        <v>0</v>
      </c>
      <c r="AG277" s="52"/>
    </row>
    <row r="278" spans="1:35">
      <c r="A278" s="96">
        <v>45952</v>
      </c>
      <c r="B278" s="17" t="s">
        <v>20</v>
      </c>
      <c r="C278" s="23"/>
      <c r="D278" s="23">
        <f t="shared" si="120"/>
        <v>0</v>
      </c>
      <c r="E278" s="23">
        <f t="shared" si="121"/>
        <v>-4462</v>
      </c>
      <c r="G278" s="19"/>
      <c r="H278" s="62"/>
      <c r="I278" s="51">
        <f t="shared" si="130"/>
        <v>0</v>
      </c>
      <c r="J278" s="18"/>
      <c r="K278" s="18">
        <f t="shared" si="122"/>
        <v>-200</v>
      </c>
      <c r="M278" s="304">
        <v>0</v>
      </c>
      <c r="N278" s="311">
        <f t="shared" si="132"/>
        <v>0</v>
      </c>
      <c r="O278" s="260"/>
      <c r="P278" s="261"/>
      <c r="Q278" s="262"/>
      <c r="R278" s="263">
        <f t="shared" si="123"/>
        <v>-4</v>
      </c>
      <c r="S278" s="313">
        <f t="shared" si="124"/>
        <v>0</v>
      </c>
      <c r="U278" s="51">
        <f t="shared" si="125"/>
        <v>0</v>
      </c>
      <c r="V278" s="23"/>
      <c r="W278" s="18">
        <f t="shared" si="126"/>
        <v>-4262</v>
      </c>
      <c r="X278" s="2"/>
      <c r="Y278" s="304">
        <v>0</v>
      </c>
      <c r="Z278" s="259">
        <f t="shared" si="127"/>
        <v>0</v>
      </c>
      <c r="AA278" s="260"/>
      <c r="AB278" s="261"/>
      <c r="AC278" s="262"/>
      <c r="AD278" s="263">
        <f t="shared" si="128"/>
        <v>-216</v>
      </c>
      <c r="AE278" s="263">
        <f t="shared" si="129"/>
        <v>0</v>
      </c>
      <c r="AG278" s="52"/>
    </row>
    <row r="279" spans="1:35">
      <c r="A279" s="96">
        <v>45953</v>
      </c>
      <c r="B279" s="17" t="s">
        <v>14</v>
      </c>
      <c r="C279" s="23"/>
      <c r="D279" s="23">
        <f t="shared" si="120"/>
        <v>0</v>
      </c>
      <c r="E279" s="23">
        <f t="shared" si="121"/>
        <v>-4462</v>
      </c>
      <c r="G279" s="19"/>
      <c r="H279" s="62"/>
      <c r="I279" s="51">
        <f t="shared" si="130"/>
        <v>0</v>
      </c>
      <c r="J279" s="18"/>
      <c r="K279" s="18">
        <f t="shared" si="122"/>
        <v>-200</v>
      </c>
      <c r="M279" s="304">
        <v>0</v>
      </c>
      <c r="N279" s="311">
        <f t="shared" si="132"/>
        <v>0</v>
      </c>
      <c r="O279" s="260"/>
      <c r="P279" s="261"/>
      <c r="Q279" s="262"/>
      <c r="R279" s="263">
        <f t="shared" si="123"/>
        <v>-4</v>
      </c>
      <c r="S279" s="313">
        <f t="shared" si="124"/>
        <v>0</v>
      </c>
      <c r="U279" s="51">
        <f t="shared" si="125"/>
        <v>0</v>
      </c>
      <c r="V279" s="23"/>
      <c r="W279" s="18">
        <f t="shared" si="126"/>
        <v>-4262</v>
      </c>
      <c r="X279" s="2"/>
      <c r="Y279" s="304">
        <v>0</v>
      </c>
      <c r="Z279" s="259">
        <f t="shared" si="127"/>
        <v>0</v>
      </c>
      <c r="AA279" s="260"/>
      <c r="AB279" s="261"/>
      <c r="AC279" s="262"/>
      <c r="AD279" s="263">
        <f t="shared" si="128"/>
        <v>-216</v>
      </c>
      <c r="AE279" s="263">
        <f t="shared" si="129"/>
        <v>0</v>
      </c>
      <c r="AG279" s="52"/>
    </row>
    <row r="280" spans="1:35">
      <c r="A280" s="96">
        <v>45954</v>
      </c>
      <c r="B280" s="17" t="s">
        <v>15</v>
      </c>
      <c r="C280" s="23"/>
      <c r="D280" s="23">
        <f t="shared" si="120"/>
        <v>0</v>
      </c>
      <c r="E280" s="23">
        <f t="shared" si="121"/>
        <v>-4462</v>
      </c>
      <c r="G280" s="19"/>
      <c r="H280" s="62"/>
      <c r="I280" s="51">
        <f t="shared" si="130"/>
        <v>0</v>
      </c>
      <c r="J280" s="18"/>
      <c r="K280" s="18">
        <f t="shared" si="122"/>
        <v>-200</v>
      </c>
      <c r="M280" s="304">
        <v>0</v>
      </c>
      <c r="N280" s="311">
        <f t="shared" si="132"/>
        <v>0</v>
      </c>
      <c r="O280" s="260"/>
      <c r="P280" s="261"/>
      <c r="Q280" s="262"/>
      <c r="R280" s="263">
        <f t="shared" si="123"/>
        <v>-4</v>
      </c>
      <c r="S280" s="313">
        <f t="shared" si="124"/>
        <v>0</v>
      </c>
      <c r="U280" s="51">
        <f t="shared" si="125"/>
        <v>0</v>
      </c>
      <c r="V280" s="23"/>
      <c r="W280" s="18">
        <f t="shared" si="126"/>
        <v>-4262</v>
      </c>
      <c r="X280" s="2"/>
      <c r="Y280" s="304">
        <v>0</v>
      </c>
      <c r="Z280" s="259">
        <f t="shared" si="127"/>
        <v>0</v>
      </c>
      <c r="AA280" s="260"/>
      <c r="AB280" s="261"/>
      <c r="AC280" s="262"/>
      <c r="AD280" s="263">
        <f t="shared" si="128"/>
        <v>-216</v>
      </c>
      <c r="AE280" s="263">
        <f t="shared" si="129"/>
        <v>0</v>
      </c>
      <c r="AG280" s="52"/>
    </row>
    <row r="281" spans="1:35" s="12" customFormat="1">
      <c r="A281" s="95">
        <v>45955</v>
      </c>
      <c r="B281" s="25" t="s">
        <v>16</v>
      </c>
      <c r="C281" s="29"/>
      <c r="D281" s="29">
        <f t="shared" si="120"/>
        <v>0</v>
      </c>
      <c r="E281" s="29">
        <f t="shared" si="121"/>
        <v>-4462</v>
      </c>
      <c r="G281" s="64"/>
      <c r="H281" s="63"/>
      <c r="I281" s="53"/>
      <c r="J281" s="26"/>
      <c r="K281" s="26">
        <f t="shared" si="122"/>
        <v>-200</v>
      </c>
      <c r="M281" s="304">
        <v>0</v>
      </c>
      <c r="N281" s="311"/>
      <c r="O281" s="260"/>
      <c r="P281" s="261"/>
      <c r="Q281" s="262"/>
      <c r="R281" s="263">
        <f t="shared" si="123"/>
        <v>-4</v>
      </c>
      <c r="S281" s="313">
        <f t="shared" si="124"/>
        <v>0</v>
      </c>
      <c r="T281" s="11"/>
      <c r="U281" s="53"/>
      <c r="V281" s="29"/>
      <c r="W281" s="26">
        <f t="shared" si="126"/>
        <v>-4262</v>
      </c>
      <c r="X281" s="10"/>
      <c r="Y281" s="304">
        <v>0</v>
      </c>
      <c r="Z281" s="259"/>
      <c r="AA281" s="260"/>
      <c r="AB281" s="261"/>
      <c r="AC281" s="262"/>
      <c r="AD281" s="263">
        <f t="shared" si="128"/>
        <v>-216</v>
      </c>
      <c r="AE281" s="263">
        <f t="shared" si="129"/>
        <v>0</v>
      </c>
      <c r="AG281" s="54"/>
      <c r="AI281" s="11"/>
    </row>
    <row r="282" spans="1:35" s="12" customFormat="1">
      <c r="A282" s="95">
        <v>45956</v>
      </c>
      <c r="B282" s="25" t="s">
        <v>17</v>
      </c>
      <c r="C282" s="29"/>
      <c r="D282" s="29">
        <f t="shared" si="120"/>
        <v>0</v>
      </c>
      <c r="E282" s="29">
        <f t="shared" si="121"/>
        <v>-4462</v>
      </c>
      <c r="G282" s="64"/>
      <c r="H282" s="63"/>
      <c r="I282" s="53"/>
      <c r="J282" s="26"/>
      <c r="K282" s="26">
        <f t="shared" si="122"/>
        <v>-200</v>
      </c>
      <c r="M282" s="304">
        <v>0</v>
      </c>
      <c r="N282" s="311"/>
      <c r="O282" s="260"/>
      <c r="P282" s="261"/>
      <c r="Q282" s="262"/>
      <c r="R282" s="263">
        <f t="shared" si="123"/>
        <v>-4</v>
      </c>
      <c r="S282" s="313">
        <f t="shared" si="124"/>
        <v>0</v>
      </c>
      <c r="T282" s="11"/>
      <c r="U282" s="53"/>
      <c r="V282" s="29"/>
      <c r="W282" s="26">
        <f t="shared" si="126"/>
        <v>-4262</v>
      </c>
      <c r="X282" s="10"/>
      <c r="Y282" s="304">
        <v>0</v>
      </c>
      <c r="Z282" s="259"/>
      <c r="AA282" s="260"/>
      <c r="AB282" s="261"/>
      <c r="AC282" s="262"/>
      <c r="AD282" s="263">
        <f t="shared" si="128"/>
        <v>-216</v>
      </c>
      <c r="AE282" s="263">
        <f t="shared" si="129"/>
        <v>0</v>
      </c>
      <c r="AG282" s="54"/>
      <c r="AI282" s="11"/>
    </row>
    <row r="283" spans="1:35">
      <c r="A283" s="96">
        <v>45957</v>
      </c>
      <c r="B283" s="17" t="s">
        <v>18</v>
      </c>
      <c r="C283" s="23"/>
      <c r="D283" s="23">
        <f t="shared" si="120"/>
        <v>0</v>
      </c>
      <c r="E283" s="23">
        <f t="shared" si="121"/>
        <v>-4462</v>
      </c>
      <c r="G283" s="19"/>
      <c r="H283" s="62"/>
      <c r="I283" s="51">
        <f t="shared" ref="I283:I317" si="133">IF(M285&lt;&gt;"",N285+O285,IF(M287&lt;&gt;"",N287+O287,IF(M535&lt;&gt;"",N535+O535,IF(M536&lt;&gt;"",N536+O536,IF(M537&lt;&gt;"",N537+O537,IF(M538&lt;&gt;"",N538+O538))))))</f>
        <v>0</v>
      </c>
      <c r="J283" s="18"/>
      <c r="K283" s="18">
        <f t="shared" si="122"/>
        <v>-200</v>
      </c>
      <c r="M283" s="304">
        <v>0</v>
      </c>
      <c r="N283" s="311">
        <f t="shared" ref="N283:N287" si="134">M283</f>
        <v>0</v>
      </c>
      <c r="O283" s="260"/>
      <c r="P283" s="261"/>
      <c r="Q283" s="262"/>
      <c r="R283" s="263">
        <f t="shared" si="123"/>
        <v>-4</v>
      </c>
      <c r="S283" s="313">
        <f t="shared" si="124"/>
        <v>0</v>
      </c>
      <c r="U283" s="51">
        <f t="shared" si="125"/>
        <v>0</v>
      </c>
      <c r="V283" s="23"/>
      <c r="W283" s="18">
        <f t="shared" si="126"/>
        <v>-4262</v>
      </c>
      <c r="X283" s="2"/>
      <c r="Y283" s="304">
        <v>0</v>
      </c>
      <c r="Z283" s="259">
        <f t="shared" si="127"/>
        <v>0</v>
      </c>
      <c r="AA283" s="260"/>
      <c r="AB283" s="261"/>
      <c r="AC283" s="262"/>
      <c r="AD283" s="263">
        <f t="shared" si="128"/>
        <v>-216</v>
      </c>
      <c r="AE283" s="263">
        <f t="shared" si="129"/>
        <v>0</v>
      </c>
      <c r="AG283" s="52"/>
    </row>
    <row r="284" spans="1:35">
      <c r="A284" s="96">
        <v>45958</v>
      </c>
      <c r="B284" s="17" t="s">
        <v>19</v>
      </c>
      <c r="C284" s="23"/>
      <c r="D284" s="23">
        <f t="shared" si="120"/>
        <v>0</v>
      </c>
      <c r="E284" s="23">
        <f t="shared" si="121"/>
        <v>-4462</v>
      </c>
      <c r="G284" s="19"/>
      <c r="H284" s="62"/>
      <c r="I284" s="51">
        <f t="shared" si="133"/>
        <v>0</v>
      </c>
      <c r="J284" s="18"/>
      <c r="K284" s="18">
        <f t="shared" si="122"/>
        <v>-200</v>
      </c>
      <c r="M284" s="304">
        <v>0</v>
      </c>
      <c r="N284" s="311">
        <f t="shared" si="134"/>
        <v>0</v>
      </c>
      <c r="O284" s="260"/>
      <c r="P284" s="261"/>
      <c r="Q284" s="262"/>
      <c r="R284" s="263">
        <f t="shared" si="123"/>
        <v>-4</v>
      </c>
      <c r="S284" s="313">
        <f t="shared" si="124"/>
        <v>0</v>
      </c>
      <c r="U284" s="51">
        <f t="shared" si="125"/>
        <v>0</v>
      </c>
      <c r="V284" s="23"/>
      <c r="W284" s="18">
        <f t="shared" si="126"/>
        <v>-4262</v>
      </c>
      <c r="X284" s="2"/>
      <c r="Y284" s="304">
        <v>0</v>
      </c>
      <c r="Z284" s="259">
        <f t="shared" si="127"/>
        <v>0</v>
      </c>
      <c r="AA284" s="260"/>
      <c r="AB284" s="261"/>
      <c r="AC284" s="262"/>
      <c r="AD284" s="263">
        <f t="shared" si="128"/>
        <v>-216</v>
      </c>
      <c r="AE284" s="263">
        <f t="shared" si="129"/>
        <v>0</v>
      </c>
      <c r="AG284" s="52"/>
    </row>
    <row r="285" spans="1:35">
      <c r="A285" s="96">
        <v>45959</v>
      </c>
      <c r="B285" s="17" t="s">
        <v>20</v>
      </c>
      <c r="C285" s="23"/>
      <c r="D285" s="23">
        <f t="shared" si="120"/>
        <v>0</v>
      </c>
      <c r="E285" s="23">
        <f t="shared" si="121"/>
        <v>-4462</v>
      </c>
      <c r="G285" s="19"/>
      <c r="H285" s="62"/>
      <c r="I285" s="51">
        <f t="shared" si="133"/>
        <v>0</v>
      </c>
      <c r="J285" s="18"/>
      <c r="K285" s="18">
        <f t="shared" si="122"/>
        <v>-200</v>
      </c>
      <c r="M285" s="304">
        <v>0</v>
      </c>
      <c r="N285" s="311">
        <f t="shared" si="134"/>
        <v>0</v>
      </c>
      <c r="O285" s="260"/>
      <c r="P285" s="261"/>
      <c r="Q285" s="262"/>
      <c r="R285" s="263">
        <f t="shared" si="123"/>
        <v>-4</v>
      </c>
      <c r="S285" s="313">
        <f t="shared" si="124"/>
        <v>0</v>
      </c>
      <c r="U285" s="51">
        <f t="shared" si="125"/>
        <v>0</v>
      </c>
      <c r="V285" s="23"/>
      <c r="W285" s="18">
        <f t="shared" si="126"/>
        <v>-4262</v>
      </c>
      <c r="X285" s="2"/>
      <c r="Y285" s="304">
        <v>0</v>
      </c>
      <c r="Z285" s="259">
        <f t="shared" si="127"/>
        <v>0</v>
      </c>
      <c r="AA285" s="260"/>
      <c r="AB285" s="261"/>
      <c r="AC285" s="262"/>
      <c r="AD285" s="263">
        <f t="shared" si="128"/>
        <v>-216</v>
      </c>
      <c r="AE285" s="263">
        <f t="shared" si="129"/>
        <v>0</v>
      </c>
      <c r="AG285" s="52"/>
    </row>
    <row r="286" spans="1:35">
      <c r="A286" s="96">
        <v>45960</v>
      </c>
      <c r="B286" s="17" t="s">
        <v>14</v>
      </c>
      <c r="C286" s="23"/>
      <c r="D286" s="23">
        <f t="shared" si="120"/>
        <v>0</v>
      </c>
      <c r="E286" s="23">
        <f t="shared" si="121"/>
        <v>-4462</v>
      </c>
      <c r="G286" s="19"/>
      <c r="H286" s="62"/>
      <c r="I286" s="51">
        <f t="shared" si="133"/>
        <v>0</v>
      </c>
      <c r="J286" s="18"/>
      <c r="K286" s="18">
        <f t="shared" si="122"/>
        <v>-200</v>
      </c>
      <c r="M286" s="304">
        <v>0</v>
      </c>
      <c r="N286" s="311">
        <f t="shared" si="134"/>
        <v>0</v>
      </c>
      <c r="O286" s="260"/>
      <c r="P286" s="261"/>
      <c r="Q286" s="262"/>
      <c r="R286" s="263">
        <f t="shared" si="123"/>
        <v>-4</v>
      </c>
      <c r="S286" s="313">
        <f t="shared" si="124"/>
        <v>0</v>
      </c>
      <c r="U286" s="51">
        <f t="shared" si="125"/>
        <v>0</v>
      </c>
      <c r="V286" s="23"/>
      <c r="W286" s="18">
        <f t="shared" si="126"/>
        <v>-4262</v>
      </c>
      <c r="X286" s="2"/>
      <c r="Y286" s="304">
        <v>0</v>
      </c>
      <c r="Z286" s="259">
        <f t="shared" si="127"/>
        <v>0</v>
      </c>
      <c r="AA286" s="260"/>
      <c r="AB286" s="261"/>
      <c r="AC286" s="262"/>
      <c r="AD286" s="263">
        <f t="shared" si="128"/>
        <v>-216</v>
      </c>
      <c r="AE286" s="263">
        <f t="shared" si="129"/>
        <v>0</v>
      </c>
      <c r="AG286" s="52"/>
    </row>
    <row r="287" spans="1:35">
      <c r="A287" s="96">
        <v>45961</v>
      </c>
      <c r="B287" s="17" t="s">
        <v>15</v>
      </c>
      <c r="C287" s="23"/>
      <c r="D287" s="23">
        <f t="shared" si="120"/>
        <v>0</v>
      </c>
      <c r="E287" s="23">
        <f t="shared" si="121"/>
        <v>-4462</v>
      </c>
      <c r="G287" s="19"/>
      <c r="H287" s="62"/>
      <c r="I287" s="51">
        <f t="shared" si="133"/>
        <v>0</v>
      </c>
      <c r="J287" s="18"/>
      <c r="K287" s="18">
        <f t="shared" si="122"/>
        <v>-200</v>
      </c>
      <c r="M287" s="304">
        <v>0</v>
      </c>
      <c r="N287" s="311">
        <f t="shared" si="134"/>
        <v>0</v>
      </c>
      <c r="O287" s="260"/>
      <c r="P287" s="261"/>
      <c r="Q287" s="262"/>
      <c r="R287" s="263">
        <f t="shared" si="123"/>
        <v>-4</v>
      </c>
      <c r="S287" s="313">
        <f t="shared" si="124"/>
        <v>0</v>
      </c>
      <c r="U287" s="51">
        <f t="shared" si="125"/>
        <v>0</v>
      </c>
      <c r="V287" s="23"/>
      <c r="W287" s="18">
        <f t="shared" si="126"/>
        <v>-4262</v>
      </c>
      <c r="X287" s="2"/>
      <c r="Y287" s="304">
        <v>0</v>
      </c>
      <c r="Z287" s="259">
        <f t="shared" si="127"/>
        <v>0</v>
      </c>
      <c r="AA287" s="260"/>
      <c r="AB287" s="261"/>
      <c r="AC287" s="262"/>
      <c r="AD287" s="263">
        <f t="shared" si="128"/>
        <v>-216</v>
      </c>
      <c r="AE287" s="263">
        <f t="shared" si="129"/>
        <v>0</v>
      </c>
      <c r="AG287" s="52"/>
    </row>
    <row r="288" spans="1:35" s="12" customFormat="1">
      <c r="A288" s="95">
        <v>45962</v>
      </c>
      <c r="B288" s="25" t="s">
        <v>16</v>
      </c>
      <c r="C288" s="29"/>
      <c r="D288" s="29">
        <f t="shared" si="120"/>
        <v>0</v>
      </c>
      <c r="E288" s="29">
        <f t="shared" si="121"/>
        <v>-4462</v>
      </c>
      <c r="G288" s="64"/>
      <c r="H288" s="63"/>
      <c r="I288" s="53"/>
      <c r="J288" s="26"/>
      <c r="K288" s="26">
        <f t="shared" si="122"/>
        <v>-200</v>
      </c>
      <c r="M288" s="304">
        <v>0</v>
      </c>
      <c r="N288" s="311"/>
      <c r="O288" s="260"/>
      <c r="P288" s="261"/>
      <c r="Q288" s="262"/>
      <c r="R288" s="263">
        <f t="shared" si="123"/>
        <v>-4</v>
      </c>
      <c r="S288" s="313">
        <f t="shared" si="124"/>
        <v>0</v>
      </c>
      <c r="T288" s="11"/>
      <c r="U288" s="53"/>
      <c r="V288" s="29"/>
      <c r="W288" s="26">
        <f t="shared" si="126"/>
        <v>-4262</v>
      </c>
      <c r="X288" s="10"/>
      <c r="Y288" s="304">
        <v>0</v>
      </c>
      <c r="Z288" s="259">
        <f t="shared" si="127"/>
        <v>0</v>
      </c>
      <c r="AA288" s="260"/>
      <c r="AB288" s="261"/>
      <c r="AC288" s="262"/>
      <c r="AD288" s="263">
        <f t="shared" si="128"/>
        <v>-216</v>
      </c>
      <c r="AE288" s="263">
        <f t="shared" si="129"/>
        <v>0</v>
      </c>
      <c r="AG288" s="54"/>
      <c r="AI288" s="11"/>
    </row>
    <row r="289" spans="1:35" s="12" customFormat="1">
      <c r="A289" s="95">
        <v>45963</v>
      </c>
      <c r="B289" s="25" t="s">
        <v>17</v>
      </c>
      <c r="C289" s="29"/>
      <c r="D289" s="29">
        <f t="shared" si="120"/>
        <v>0</v>
      </c>
      <c r="E289" s="29">
        <f t="shared" si="121"/>
        <v>-4462</v>
      </c>
      <c r="G289" s="64"/>
      <c r="H289" s="63"/>
      <c r="I289" s="53"/>
      <c r="J289" s="26"/>
      <c r="K289" s="26">
        <f t="shared" si="122"/>
        <v>-200</v>
      </c>
      <c r="M289" s="304">
        <v>0</v>
      </c>
      <c r="N289" s="311"/>
      <c r="O289" s="260"/>
      <c r="P289" s="261"/>
      <c r="Q289" s="262"/>
      <c r="R289" s="263">
        <f t="shared" si="123"/>
        <v>-4</v>
      </c>
      <c r="S289" s="313">
        <f t="shared" si="124"/>
        <v>0</v>
      </c>
      <c r="T289" s="11"/>
      <c r="U289" s="53"/>
      <c r="V289" s="29"/>
      <c r="W289" s="26">
        <f t="shared" si="126"/>
        <v>-4262</v>
      </c>
      <c r="X289" s="10"/>
      <c r="Y289" s="304">
        <v>0</v>
      </c>
      <c r="Z289" s="259">
        <f t="shared" si="127"/>
        <v>0</v>
      </c>
      <c r="AA289" s="260"/>
      <c r="AB289" s="261"/>
      <c r="AC289" s="262"/>
      <c r="AD289" s="263">
        <f t="shared" si="128"/>
        <v>-216</v>
      </c>
      <c r="AE289" s="263">
        <f t="shared" si="129"/>
        <v>0</v>
      </c>
      <c r="AG289" s="54"/>
      <c r="AI289" s="11"/>
    </row>
    <row r="290" spans="1:35" s="12" customFormat="1">
      <c r="A290" s="95">
        <v>45964</v>
      </c>
      <c r="B290" s="25" t="s">
        <v>18</v>
      </c>
      <c r="C290" s="29"/>
      <c r="D290" s="29">
        <f t="shared" si="120"/>
        <v>0</v>
      </c>
      <c r="E290" s="29">
        <f t="shared" si="121"/>
        <v>-4462</v>
      </c>
      <c r="G290" s="64"/>
      <c r="H290" s="63"/>
      <c r="I290" s="53"/>
      <c r="J290" s="26"/>
      <c r="K290" s="26">
        <f t="shared" si="122"/>
        <v>-200</v>
      </c>
      <c r="M290" s="304">
        <v>0</v>
      </c>
      <c r="N290" s="311">
        <f t="shared" ref="N290" si="135">M290</f>
        <v>0</v>
      </c>
      <c r="O290" s="260"/>
      <c r="P290" s="261"/>
      <c r="Q290" s="262"/>
      <c r="R290" s="263">
        <f t="shared" si="123"/>
        <v>-4</v>
      </c>
      <c r="S290" s="313">
        <f t="shared" si="124"/>
        <v>0</v>
      </c>
      <c r="T290" s="11"/>
      <c r="U290" s="53">
        <f t="shared" si="125"/>
        <v>0</v>
      </c>
      <c r="V290" s="29"/>
      <c r="W290" s="26">
        <f t="shared" si="126"/>
        <v>-4262</v>
      </c>
      <c r="X290" s="10"/>
      <c r="Y290" s="304">
        <v>0</v>
      </c>
      <c r="Z290" s="311">
        <f t="shared" si="127"/>
        <v>0</v>
      </c>
      <c r="AA290" s="260"/>
      <c r="AB290" s="261"/>
      <c r="AC290" s="262"/>
      <c r="AD290" s="263">
        <f t="shared" si="128"/>
        <v>-216</v>
      </c>
      <c r="AE290" s="313">
        <f t="shared" si="129"/>
        <v>0</v>
      </c>
      <c r="AG290" s="54"/>
      <c r="AI290" s="11"/>
    </row>
    <row r="291" spans="1:35">
      <c r="A291" s="96">
        <v>45965</v>
      </c>
      <c r="B291" s="17" t="s">
        <v>19</v>
      </c>
      <c r="C291" s="23"/>
      <c r="D291" s="23">
        <f t="shared" ref="D291:D322" si="136">J291+V291</f>
        <v>0</v>
      </c>
      <c r="E291" s="23">
        <f t="shared" ref="E291:E322" si="137">E290-C291+D291</f>
        <v>-4462</v>
      </c>
      <c r="G291" s="19"/>
      <c r="H291" s="62"/>
      <c r="I291" s="51">
        <f t="shared" si="133"/>
        <v>0</v>
      </c>
      <c r="J291" s="18"/>
      <c r="K291" s="18">
        <f t="shared" ref="K291:K322" si="138">J291-I291+K290</f>
        <v>-200</v>
      </c>
      <c r="M291" s="304">
        <v>0</v>
      </c>
      <c r="N291" s="311">
        <f t="shared" ref="N291:N322" si="139">M291</f>
        <v>0</v>
      </c>
      <c r="O291" s="260"/>
      <c r="P291" s="261"/>
      <c r="Q291" s="262"/>
      <c r="R291" s="263">
        <f t="shared" ref="R291:R322" si="140">R290-M291+Q291</f>
        <v>-4</v>
      </c>
      <c r="S291" s="313">
        <f t="shared" ref="S291:S322" si="141">S290-M291+N291</f>
        <v>0</v>
      </c>
      <c r="U291" s="51">
        <f t="shared" ref="U291:U322" si="142">C291-I291</f>
        <v>0</v>
      </c>
      <c r="V291" s="23"/>
      <c r="W291" s="18">
        <f t="shared" ref="W291:W322" si="143">V291-U291+W290</f>
        <v>-4262</v>
      </c>
      <c r="X291" s="2"/>
      <c r="Y291" s="304">
        <v>0</v>
      </c>
      <c r="Z291" s="259">
        <f t="shared" ref="Z291:Z322" si="144">IF(U289&lt;&gt;"",U289+AA291,IF(U287&lt;&gt;"",U287+AA291,IF(U286&lt;&gt;"",U286+AA291,IF(U285&lt;&gt;"",U285+AA291,IF(U284&lt;&gt;"",U284+AA291,IF(U283&lt;&gt;"",U283+AA291))))))</f>
        <v>0</v>
      </c>
      <c r="AA291" s="260"/>
      <c r="AB291" s="261"/>
      <c r="AC291" s="262"/>
      <c r="AD291" s="263">
        <f t="shared" ref="AD291:AD322" si="145">AD290-Y291+AC291</f>
        <v>-216</v>
      </c>
      <c r="AE291" s="263">
        <f t="shared" ref="AE291:AE322" si="146">AE290-Y291+Z291</f>
        <v>0</v>
      </c>
      <c r="AG291" s="52"/>
    </row>
    <row r="292" spans="1:35">
      <c r="A292" s="96">
        <v>45966</v>
      </c>
      <c r="B292" s="17" t="s">
        <v>20</v>
      </c>
      <c r="C292" s="23"/>
      <c r="D292" s="23">
        <f t="shared" si="136"/>
        <v>0</v>
      </c>
      <c r="E292" s="23">
        <f t="shared" si="137"/>
        <v>-4462</v>
      </c>
      <c r="G292" s="19"/>
      <c r="H292" s="62"/>
      <c r="I292" s="51">
        <f t="shared" si="133"/>
        <v>0</v>
      </c>
      <c r="J292" s="18"/>
      <c r="K292" s="18">
        <f t="shared" si="138"/>
        <v>-200</v>
      </c>
      <c r="M292" s="304">
        <v>0</v>
      </c>
      <c r="N292" s="311">
        <f t="shared" si="139"/>
        <v>0</v>
      </c>
      <c r="O292" s="260"/>
      <c r="P292" s="261"/>
      <c r="Q292" s="262"/>
      <c r="R292" s="263">
        <f t="shared" si="140"/>
        <v>-4</v>
      </c>
      <c r="S292" s="313">
        <f t="shared" si="141"/>
        <v>0</v>
      </c>
      <c r="U292" s="51">
        <f t="shared" si="142"/>
        <v>0</v>
      </c>
      <c r="V292" s="23"/>
      <c r="W292" s="18">
        <f t="shared" si="143"/>
        <v>-4262</v>
      </c>
      <c r="X292" s="2"/>
      <c r="Y292" s="304">
        <v>0</v>
      </c>
      <c r="Z292" s="259">
        <f t="shared" si="144"/>
        <v>0</v>
      </c>
      <c r="AA292" s="260"/>
      <c r="AB292" s="261"/>
      <c r="AC292" s="262"/>
      <c r="AD292" s="263">
        <f t="shared" si="145"/>
        <v>-216</v>
      </c>
      <c r="AE292" s="263">
        <f t="shared" si="146"/>
        <v>0</v>
      </c>
      <c r="AG292" s="52"/>
    </row>
    <row r="293" spans="1:35">
      <c r="A293" s="96">
        <v>45967</v>
      </c>
      <c r="B293" s="17" t="s">
        <v>14</v>
      </c>
      <c r="C293" s="23"/>
      <c r="D293" s="23">
        <f t="shared" si="136"/>
        <v>0</v>
      </c>
      <c r="E293" s="23">
        <f t="shared" si="137"/>
        <v>-4462</v>
      </c>
      <c r="G293" s="19"/>
      <c r="H293" s="62"/>
      <c r="I293" s="51">
        <f t="shared" si="133"/>
        <v>0</v>
      </c>
      <c r="J293" s="18"/>
      <c r="K293" s="18">
        <f t="shared" si="138"/>
        <v>-200</v>
      </c>
      <c r="M293" s="304">
        <v>0</v>
      </c>
      <c r="N293" s="311">
        <f t="shared" si="139"/>
        <v>0</v>
      </c>
      <c r="O293" s="260"/>
      <c r="P293" s="261"/>
      <c r="Q293" s="262"/>
      <c r="R293" s="263">
        <f t="shared" si="140"/>
        <v>-4</v>
      </c>
      <c r="S293" s="313">
        <f t="shared" si="141"/>
        <v>0</v>
      </c>
      <c r="U293" s="51">
        <f t="shared" si="142"/>
        <v>0</v>
      </c>
      <c r="V293" s="23"/>
      <c r="W293" s="18">
        <f t="shared" si="143"/>
        <v>-4262</v>
      </c>
      <c r="X293" s="2"/>
      <c r="Y293" s="304">
        <v>0</v>
      </c>
      <c r="Z293" s="259">
        <f t="shared" si="144"/>
        <v>0</v>
      </c>
      <c r="AA293" s="260"/>
      <c r="AB293" s="261"/>
      <c r="AC293" s="262"/>
      <c r="AD293" s="263">
        <f t="shared" si="145"/>
        <v>-216</v>
      </c>
      <c r="AE293" s="263">
        <f t="shared" si="146"/>
        <v>0</v>
      </c>
      <c r="AG293" s="52"/>
    </row>
    <row r="294" spans="1:35">
      <c r="A294" s="96">
        <v>45968</v>
      </c>
      <c r="B294" s="17" t="s">
        <v>15</v>
      </c>
      <c r="C294" s="23"/>
      <c r="D294" s="23">
        <f t="shared" si="136"/>
        <v>0</v>
      </c>
      <c r="E294" s="23">
        <f t="shared" si="137"/>
        <v>-4462</v>
      </c>
      <c r="G294" s="19"/>
      <c r="H294" s="62"/>
      <c r="I294" s="51">
        <f t="shared" si="133"/>
        <v>0</v>
      </c>
      <c r="J294" s="18"/>
      <c r="K294" s="18">
        <f t="shared" si="138"/>
        <v>-200</v>
      </c>
      <c r="M294" s="304">
        <v>0</v>
      </c>
      <c r="N294" s="311">
        <f t="shared" si="139"/>
        <v>0</v>
      </c>
      <c r="O294" s="260"/>
      <c r="P294" s="261"/>
      <c r="Q294" s="262"/>
      <c r="R294" s="263">
        <f t="shared" si="140"/>
        <v>-4</v>
      </c>
      <c r="S294" s="313">
        <f t="shared" si="141"/>
        <v>0</v>
      </c>
      <c r="U294" s="51">
        <f t="shared" si="142"/>
        <v>0</v>
      </c>
      <c r="V294" s="23"/>
      <c r="W294" s="18">
        <f t="shared" si="143"/>
        <v>-4262</v>
      </c>
      <c r="X294" s="2"/>
      <c r="Y294" s="304">
        <v>0</v>
      </c>
      <c r="Z294" s="259">
        <f t="shared" si="144"/>
        <v>0</v>
      </c>
      <c r="AA294" s="260"/>
      <c r="AB294" s="261"/>
      <c r="AC294" s="262"/>
      <c r="AD294" s="263">
        <f t="shared" si="145"/>
        <v>-216</v>
      </c>
      <c r="AE294" s="263">
        <f t="shared" si="146"/>
        <v>0</v>
      </c>
      <c r="AG294" s="52"/>
    </row>
    <row r="295" spans="1:35" s="12" customFormat="1">
      <c r="A295" s="95">
        <v>45969</v>
      </c>
      <c r="B295" s="25" t="s">
        <v>16</v>
      </c>
      <c r="C295" s="29"/>
      <c r="D295" s="29">
        <f t="shared" si="136"/>
        <v>0</v>
      </c>
      <c r="E295" s="29">
        <f t="shared" si="137"/>
        <v>-4462</v>
      </c>
      <c r="G295" s="64"/>
      <c r="H295" s="63"/>
      <c r="I295" s="53">
        <f t="shared" si="133"/>
        <v>0</v>
      </c>
      <c r="J295" s="26"/>
      <c r="K295" s="26">
        <f t="shared" si="138"/>
        <v>-200</v>
      </c>
      <c r="M295" s="304"/>
      <c r="N295" s="311"/>
      <c r="O295" s="260"/>
      <c r="P295" s="261"/>
      <c r="Q295" s="262"/>
      <c r="R295" s="263">
        <f t="shared" si="140"/>
        <v>-4</v>
      </c>
      <c r="S295" s="313">
        <f t="shared" si="141"/>
        <v>0</v>
      </c>
      <c r="T295" s="11"/>
      <c r="U295" s="53">
        <f t="shared" si="142"/>
        <v>0</v>
      </c>
      <c r="V295" s="29"/>
      <c r="W295" s="26">
        <f t="shared" si="143"/>
        <v>-4262</v>
      </c>
      <c r="X295" s="10"/>
      <c r="Y295" s="304"/>
      <c r="Z295" s="259"/>
      <c r="AA295" s="260"/>
      <c r="AB295" s="261"/>
      <c r="AC295" s="262"/>
      <c r="AD295" s="263">
        <f t="shared" si="145"/>
        <v>-216</v>
      </c>
      <c r="AE295" s="263">
        <f t="shared" si="146"/>
        <v>0</v>
      </c>
      <c r="AG295" s="54"/>
      <c r="AI295" s="11"/>
    </row>
    <row r="296" spans="1:35" s="12" customFormat="1">
      <c r="A296" s="95">
        <v>45970</v>
      </c>
      <c r="B296" s="25" t="s">
        <v>17</v>
      </c>
      <c r="C296" s="29"/>
      <c r="D296" s="29">
        <f t="shared" si="136"/>
        <v>0</v>
      </c>
      <c r="E296" s="29">
        <f t="shared" si="137"/>
        <v>-4462</v>
      </c>
      <c r="G296" s="64"/>
      <c r="H296" s="63"/>
      <c r="I296" s="53">
        <f t="shared" si="133"/>
        <v>0</v>
      </c>
      <c r="J296" s="26"/>
      <c r="K296" s="26">
        <f t="shared" si="138"/>
        <v>-200</v>
      </c>
      <c r="M296" s="304"/>
      <c r="N296" s="311"/>
      <c r="O296" s="260"/>
      <c r="P296" s="261"/>
      <c r="Q296" s="262"/>
      <c r="R296" s="263">
        <f t="shared" si="140"/>
        <v>-4</v>
      </c>
      <c r="S296" s="313">
        <f t="shared" si="141"/>
        <v>0</v>
      </c>
      <c r="T296" s="11"/>
      <c r="U296" s="53">
        <f t="shared" si="142"/>
        <v>0</v>
      </c>
      <c r="V296" s="29"/>
      <c r="W296" s="26">
        <f t="shared" si="143"/>
        <v>-4262</v>
      </c>
      <c r="X296" s="10"/>
      <c r="Y296" s="304"/>
      <c r="Z296" s="259"/>
      <c r="AA296" s="260"/>
      <c r="AB296" s="261"/>
      <c r="AC296" s="262"/>
      <c r="AD296" s="263">
        <f t="shared" si="145"/>
        <v>-216</v>
      </c>
      <c r="AE296" s="263">
        <f t="shared" si="146"/>
        <v>0</v>
      </c>
      <c r="AG296" s="54"/>
      <c r="AI296" s="11"/>
    </row>
    <row r="297" spans="1:35">
      <c r="A297" s="96">
        <v>45971</v>
      </c>
      <c r="B297" s="17" t="s">
        <v>18</v>
      </c>
      <c r="C297" s="23"/>
      <c r="D297" s="23">
        <f t="shared" si="136"/>
        <v>0</v>
      </c>
      <c r="E297" s="23">
        <f t="shared" si="137"/>
        <v>-4462</v>
      </c>
      <c r="G297" s="19"/>
      <c r="H297" s="62"/>
      <c r="I297" s="51">
        <f t="shared" si="133"/>
        <v>0</v>
      </c>
      <c r="J297" s="18"/>
      <c r="K297" s="18">
        <f t="shared" si="138"/>
        <v>-200</v>
      </c>
      <c r="M297" s="304">
        <v>0</v>
      </c>
      <c r="N297" s="311">
        <f t="shared" si="139"/>
        <v>0</v>
      </c>
      <c r="O297" s="260"/>
      <c r="P297" s="261"/>
      <c r="Q297" s="262"/>
      <c r="R297" s="263">
        <f t="shared" si="140"/>
        <v>-4</v>
      </c>
      <c r="S297" s="313">
        <f t="shared" si="141"/>
        <v>0</v>
      </c>
      <c r="U297" s="51">
        <f t="shared" si="142"/>
        <v>0</v>
      </c>
      <c r="V297" s="23"/>
      <c r="W297" s="18">
        <f t="shared" si="143"/>
        <v>-4262</v>
      </c>
      <c r="X297" s="2"/>
      <c r="Y297" s="304">
        <v>0</v>
      </c>
      <c r="Z297" s="259">
        <f t="shared" si="144"/>
        <v>0</v>
      </c>
      <c r="AA297" s="260"/>
      <c r="AB297" s="261"/>
      <c r="AC297" s="262"/>
      <c r="AD297" s="263">
        <f t="shared" si="145"/>
        <v>-216</v>
      </c>
      <c r="AE297" s="263">
        <f t="shared" si="146"/>
        <v>0</v>
      </c>
      <c r="AG297" s="52"/>
    </row>
    <row r="298" spans="1:35">
      <c r="A298" s="96">
        <v>45972</v>
      </c>
      <c r="B298" s="17" t="s">
        <v>19</v>
      </c>
      <c r="C298" s="23"/>
      <c r="D298" s="23">
        <f t="shared" si="136"/>
        <v>0</v>
      </c>
      <c r="E298" s="23">
        <f t="shared" si="137"/>
        <v>-4462</v>
      </c>
      <c r="G298" s="19"/>
      <c r="H298" s="62"/>
      <c r="I298" s="51">
        <f t="shared" si="133"/>
        <v>0</v>
      </c>
      <c r="J298" s="18"/>
      <c r="K298" s="18">
        <f t="shared" si="138"/>
        <v>-200</v>
      </c>
      <c r="M298" s="304">
        <v>0</v>
      </c>
      <c r="N298" s="311">
        <f t="shared" si="139"/>
        <v>0</v>
      </c>
      <c r="O298" s="260"/>
      <c r="P298" s="261"/>
      <c r="Q298" s="262"/>
      <c r="R298" s="263">
        <f t="shared" si="140"/>
        <v>-4</v>
      </c>
      <c r="S298" s="313">
        <f t="shared" si="141"/>
        <v>0</v>
      </c>
      <c r="U298" s="51">
        <f t="shared" si="142"/>
        <v>0</v>
      </c>
      <c r="V298" s="23"/>
      <c r="W298" s="18">
        <f t="shared" si="143"/>
        <v>-4262</v>
      </c>
      <c r="X298" s="2"/>
      <c r="Y298" s="304">
        <v>0</v>
      </c>
      <c r="Z298" s="259">
        <f t="shared" si="144"/>
        <v>0</v>
      </c>
      <c r="AA298" s="260"/>
      <c r="AB298" s="261"/>
      <c r="AC298" s="262"/>
      <c r="AD298" s="263">
        <f t="shared" si="145"/>
        <v>-216</v>
      </c>
      <c r="AE298" s="263">
        <f t="shared" si="146"/>
        <v>0</v>
      </c>
      <c r="AG298" s="52"/>
    </row>
    <row r="299" spans="1:35">
      <c r="A299" s="96">
        <v>45973</v>
      </c>
      <c r="B299" s="17" t="s">
        <v>20</v>
      </c>
      <c r="C299" s="23"/>
      <c r="D299" s="23">
        <f t="shared" si="136"/>
        <v>0</v>
      </c>
      <c r="E299" s="23">
        <f t="shared" si="137"/>
        <v>-4462</v>
      </c>
      <c r="G299" s="19"/>
      <c r="H299" s="62"/>
      <c r="I299" s="51">
        <f t="shared" si="133"/>
        <v>0</v>
      </c>
      <c r="J299" s="18"/>
      <c r="K299" s="18">
        <f t="shared" si="138"/>
        <v>-200</v>
      </c>
      <c r="M299" s="304">
        <v>0</v>
      </c>
      <c r="N299" s="311">
        <f t="shared" si="139"/>
        <v>0</v>
      </c>
      <c r="O299" s="260"/>
      <c r="P299" s="261"/>
      <c r="Q299" s="262"/>
      <c r="R299" s="263">
        <f t="shared" si="140"/>
        <v>-4</v>
      </c>
      <c r="S299" s="313">
        <f t="shared" si="141"/>
        <v>0</v>
      </c>
      <c r="U299" s="51">
        <f t="shared" si="142"/>
        <v>0</v>
      </c>
      <c r="V299" s="23"/>
      <c r="W299" s="18">
        <f t="shared" si="143"/>
        <v>-4262</v>
      </c>
      <c r="X299" s="2"/>
      <c r="Y299" s="304">
        <v>0</v>
      </c>
      <c r="Z299" s="259">
        <f t="shared" si="144"/>
        <v>0</v>
      </c>
      <c r="AA299" s="260"/>
      <c r="AB299" s="261"/>
      <c r="AC299" s="262"/>
      <c r="AD299" s="263">
        <f t="shared" si="145"/>
        <v>-216</v>
      </c>
      <c r="AE299" s="263">
        <f t="shared" si="146"/>
        <v>0</v>
      </c>
      <c r="AG299" s="52"/>
    </row>
    <row r="300" spans="1:35">
      <c r="A300" s="96">
        <v>45974</v>
      </c>
      <c r="B300" s="17" t="s">
        <v>14</v>
      </c>
      <c r="C300" s="23"/>
      <c r="D300" s="23">
        <f t="shared" si="136"/>
        <v>0</v>
      </c>
      <c r="E300" s="23">
        <f t="shared" si="137"/>
        <v>-4462</v>
      </c>
      <c r="G300" s="19"/>
      <c r="H300" s="62"/>
      <c r="I300" s="51">
        <f t="shared" si="133"/>
        <v>0</v>
      </c>
      <c r="J300" s="18"/>
      <c r="K300" s="18">
        <f t="shared" si="138"/>
        <v>-200</v>
      </c>
      <c r="M300" s="304">
        <v>0</v>
      </c>
      <c r="N300" s="311">
        <f t="shared" si="139"/>
        <v>0</v>
      </c>
      <c r="O300" s="260"/>
      <c r="P300" s="261"/>
      <c r="Q300" s="262"/>
      <c r="R300" s="263">
        <f t="shared" si="140"/>
        <v>-4</v>
      </c>
      <c r="S300" s="313">
        <f t="shared" si="141"/>
        <v>0</v>
      </c>
      <c r="U300" s="51">
        <f t="shared" si="142"/>
        <v>0</v>
      </c>
      <c r="V300" s="23"/>
      <c r="W300" s="18">
        <f t="shared" si="143"/>
        <v>-4262</v>
      </c>
      <c r="X300" s="2"/>
      <c r="Y300" s="304">
        <v>0</v>
      </c>
      <c r="Z300" s="259">
        <f t="shared" si="144"/>
        <v>0</v>
      </c>
      <c r="AA300" s="260"/>
      <c r="AB300" s="261"/>
      <c r="AC300" s="262"/>
      <c r="AD300" s="263">
        <f t="shared" si="145"/>
        <v>-216</v>
      </c>
      <c r="AE300" s="263">
        <f t="shared" si="146"/>
        <v>0</v>
      </c>
      <c r="AG300" s="52"/>
    </row>
    <row r="301" spans="1:35">
      <c r="A301" s="96">
        <v>45975</v>
      </c>
      <c r="B301" s="17" t="s">
        <v>15</v>
      </c>
      <c r="C301" s="23"/>
      <c r="D301" s="23">
        <f t="shared" si="136"/>
        <v>0</v>
      </c>
      <c r="E301" s="23">
        <f t="shared" si="137"/>
        <v>-4462</v>
      </c>
      <c r="G301" s="19"/>
      <c r="H301" s="62"/>
      <c r="I301" s="51">
        <f t="shared" si="133"/>
        <v>0</v>
      </c>
      <c r="J301" s="18"/>
      <c r="K301" s="18">
        <f t="shared" si="138"/>
        <v>-200</v>
      </c>
      <c r="M301" s="304">
        <v>0</v>
      </c>
      <c r="N301" s="311">
        <f t="shared" si="139"/>
        <v>0</v>
      </c>
      <c r="O301" s="260"/>
      <c r="P301" s="261"/>
      <c r="Q301" s="262"/>
      <c r="R301" s="263">
        <f t="shared" si="140"/>
        <v>-4</v>
      </c>
      <c r="S301" s="313">
        <f t="shared" si="141"/>
        <v>0</v>
      </c>
      <c r="U301" s="51">
        <f t="shared" si="142"/>
        <v>0</v>
      </c>
      <c r="V301" s="23"/>
      <c r="W301" s="18">
        <f t="shared" si="143"/>
        <v>-4262</v>
      </c>
      <c r="X301" s="2"/>
      <c r="Y301" s="304">
        <v>0</v>
      </c>
      <c r="Z301" s="259">
        <f t="shared" si="144"/>
        <v>0</v>
      </c>
      <c r="AA301" s="260"/>
      <c r="AB301" s="261"/>
      <c r="AC301" s="262"/>
      <c r="AD301" s="263">
        <f t="shared" si="145"/>
        <v>-216</v>
      </c>
      <c r="AE301" s="263">
        <f t="shared" si="146"/>
        <v>0</v>
      </c>
      <c r="AG301" s="52"/>
    </row>
    <row r="302" spans="1:35" s="12" customFormat="1">
      <c r="A302" s="95">
        <v>45976</v>
      </c>
      <c r="B302" s="25" t="s">
        <v>16</v>
      </c>
      <c r="C302" s="29"/>
      <c r="D302" s="29">
        <f t="shared" si="136"/>
        <v>0</v>
      </c>
      <c r="E302" s="29">
        <f t="shared" si="137"/>
        <v>-4462</v>
      </c>
      <c r="G302" s="64"/>
      <c r="H302" s="63"/>
      <c r="I302" s="53">
        <f t="shared" si="133"/>
        <v>0</v>
      </c>
      <c r="J302" s="26"/>
      <c r="K302" s="26">
        <f t="shared" si="138"/>
        <v>-200</v>
      </c>
      <c r="M302" s="304"/>
      <c r="N302" s="311"/>
      <c r="O302" s="260"/>
      <c r="P302" s="261"/>
      <c r="Q302" s="262"/>
      <c r="R302" s="263">
        <f t="shared" si="140"/>
        <v>-4</v>
      </c>
      <c r="S302" s="313">
        <f t="shared" si="141"/>
        <v>0</v>
      </c>
      <c r="T302" s="11"/>
      <c r="U302" s="53">
        <f t="shared" si="142"/>
        <v>0</v>
      </c>
      <c r="V302" s="29"/>
      <c r="W302" s="26">
        <f t="shared" si="143"/>
        <v>-4262</v>
      </c>
      <c r="X302" s="10"/>
      <c r="Y302" s="304"/>
      <c r="Z302" s="259"/>
      <c r="AA302" s="260"/>
      <c r="AB302" s="261"/>
      <c r="AC302" s="262"/>
      <c r="AD302" s="263">
        <f t="shared" si="145"/>
        <v>-216</v>
      </c>
      <c r="AE302" s="263">
        <f t="shared" si="146"/>
        <v>0</v>
      </c>
      <c r="AG302" s="54"/>
      <c r="AI302" s="11"/>
    </row>
    <row r="303" spans="1:35" s="12" customFormat="1">
      <c r="A303" s="95">
        <v>45977</v>
      </c>
      <c r="B303" s="25" t="s">
        <v>17</v>
      </c>
      <c r="C303" s="29"/>
      <c r="D303" s="29">
        <f t="shared" si="136"/>
        <v>0</v>
      </c>
      <c r="E303" s="29">
        <f t="shared" si="137"/>
        <v>-4462</v>
      </c>
      <c r="G303" s="64"/>
      <c r="H303" s="63"/>
      <c r="I303" s="53">
        <f t="shared" si="133"/>
        <v>0</v>
      </c>
      <c r="J303" s="26"/>
      <c r="K303" s="26">
        <f t="shared" si="138"/>
        <v>-200</v>
      </c>
      <c r="M303" s="304"/>
      <c r="N303" s="311"/>
      <c r="O303" s="260"/>
      <c r="P303" s="261"/>
      <c r="Q303" s="262"/>
      <c r="R303" s="263">
        <f t="shared" si="140"/>
        <v>-4</v>
      </c>
      <c r="S303" s="313">
        <f t="shared" si="141"/>
        <v>0</v>
      </c>
      <c r="T303" s="11"/>
      <c r="U303" s="53">
        <f t="shared" si="142"/>
        <v>0</v>
      </c>
      <c r="V303" s="29"/>
      <c r="W303" s="26">
        <f t="shared" si="143"/>
        <v>-4262</v>
      </c>
      <c r="X303" s="10"/>
      <c r="Y303" s="304"/>
      <c r="Z303" s="259"/>
      <c r="AA303" s="260"/>
      <c r="AB303" s="261"/>
      <c r="AC303" s="262"/>
      <c r="AD303" s="263">
        <f t="shared" si="145"/>
        <v>-216</v>
      </c>
      <c r="AE303" s="263">
        <f t="shared" si="146"/>
        <v>0</v>
      </c>
      <c r="AG303" s="54"/>
      <c r="AI303" s="11"/>
    </row>
    <row r="304" spans="1:35">
      <c r="A304" s="96">
        <v>45978</v>
      </c>
      <c r="B304" s="17" t="s">
        <v>18</v>
      </c>
      <c r="C304" s="23"/>
      <c r="D304" s="23">
        <f t="shared" si="136"/>
        <v>0</v>
      </c>
      <c r="E304" s="23">
        <f t="shared" si="137"/>
        <v>-4462</v>
      </c>
      <c r="G304" s="19"/>
      <c r="H304" s="62"/>
      <c r="I304" s="51">
        <f t="shared" si="133"/>
        <v>0</v>
      </c>
      <c r="J304" s="18"/>
      <c r="K304" s="18">
        <f t="shared" si="138"/>
        <v>-200</v>
      </c>
      <c r="M304" s="304">
        <v>0</v>
      </c>
      <c r="N304" s="311">
        <f t="shared" si="139"/>
        <v>0</v>
      </c>
      <c r="O304" s="260"/>
      <c r="P304" s="261"/>
      <c r="Q304" s="262"/>
      <c r="R304" s="263">
        <f t="shared" si="140"/>
        <v>-4</v>
      </c>
      <c r="S304" s="313">
        <f t="shared" si="141"/>
        <v>0</v>
      </c>
      <c r="U304" s="51">
        <f t="shared" si="142"/>
        <v>0</v>
      </c>
      <c r="V304" s="23"/>
      <c r="W304" s="18">
        <f t="shared" si="143"/>
        <v>-4262</v>
      </c>
      <c r="X304" s="2"/>
      <c r="Y304" s="304">
        <v>0</v>
      </c>
      <c r="Z304" s="259">
        <f t="shared" si="144"/>
        <v>0</v>
      </c>
      <c r="AA304" s="260"/>
      <c r="AB304" s="261"/>
      <c r="AC304" s="262"/>
      <c r="AD304" s="263">
        <f t="shared" si="145"/>
        <v>-216</v>
      </c>
      <c r="AE304" s="263">
        <f t="shared" si="146"/>
        <v>0</v>
      </c>
      <c r="AG304" s="52"/>
    </row>
    <row r="305" spans="1:35">
      <c r="A305" s="96">
        <v>45979</v>
      </c>
      <c r="B305" s="17" t="s">
        <v>19</v>
      </c>
      <c r="C305" s="23"/>
      <c r="D305" s="23">
        <f t="shared" si="136"/>
        <v>0</v>
      </c>
      <c r="E305" s="23">
        <f t="shared" si="137"/>
        <v>-4462</v>
      </c>
      <c r="G305" s="19"/>
      <c r="H305" s="62"/>
      <c r="I305" s="51">
        <f t="shared" si="133"/>
        <v>0</v>
      </c>
      <c r="J305" s="18"/>
      <c r="K305" s="18">
        <f t="shared" si="138"/>
        <v>-200</v>
      </c>
      <c r="M305" s="304">
        <v>0</v>
      </c>
      <c r="N305" s="311">
        <f t="shared" si="139"/>
        <v>0</v>
      </c>
      <c r="O305" s="260"/>
      <c r="P305" s="261"/>
      <c r="Q305" s="262"/>
      <c r="R305" s="263">
        <f t="shared" si="140"/>
        <v>-4</v>
      </c>
      <c r="S305" s="313">
        <f t="shared" si="141"/>
        <v>0</v>
      </c>
      <c r="U305" s="51">
        <f t="shared" si="142"/>
        <v>0</v>
      </c>
      <c r="V305" s="23"/>
      <c r="W305" s="18">
        <f t="shared" si="143"/>
        <v>-4262</v>
      </c>
      <c r="X305" s="2"/>
      <c r="Y305" s="304">
        <v>0</v>
      </c>
      <c r="Z305" s="259">
        <f t="shared" si="144"/>
        <v>0</v>
      </c>
      <c r="AA305" s="260"/>
      <c r="AB305" s="261"/>
      <c r="AC305" s="262"/>
      <c r="AD305" s="263">
        <f t="shared" si="145"/>
        <v>-216</v>
      </c>
      <c r="AE305" s="263">
        <f t="shared" si="146"/>
        <v>0</v>
      </c>
      <c r="AG305" s="52"/>
    </row>
    <row r="306" spans="1:35">
      <c r="A306" s="96">
        <v>45980</v>
      </c>
      <c r="B306" s="17" t="s">
        <v>20</v>
      </c>
      <c r="C306" s="23"/>
      <c r="D306" s="23">
        <f t="shared" si="136"/>
        <v>0</v>
      </c>
      <c r="E306" s="23">
        <f t="shared" si="137"/>
        <v>-4462</v>
      </c>
      <c r="G306" s="19"/>
      <c r="H306" s="62"/>
      <c r="I306" s="51">
        <f t="shared" si="133"/>
        <v>0</v>
      </c>
      <c r="J306" s="18"/>
      <c r="K306" s="18">
        <f t="shared" si="138"/>
        <v>-200</v>
      </c>
      <c r="M306" s="304">
        <v>0</v>
      </c>
      <c r="N306" s="311">
        <f t="shared" si="139"/>
        <v>0</v>
      </c>
      <c r="O306" s="260"/>
      <c r="P306" s="261"/>
      <c r="Q306" s="262"/>
      <c r="R306" s="263">
        <f t="shared" si="140"/>
        <v>-4</v>
      </c>
      <c r="S306" s="313">
        <f t="shared" si="141"/>
        <v>0</v>
      </c>
      <c r="U306" s="51">
        <f t="shared" si="142"/>
        <v>0</v>
      </c>
      <c r="V306" s="23"/>
      <c r="W306" s="18">
        <f t="shared" si="143"/>
        <v>-4262</v>
      </c>
      <c r="X306" s="2"/>
      <c r="Y306" s="304">
        <v>0</v>
      </c>
      <c r="Z306" s="259">
        <f t="shared" si="144"/>
        <v>0</v>
      </c>
      <c r="AA306" s="260"/>
      <c r="AB306" s="261"/>
      <c r="AC306" s="262"/>
      <c r="AD306" s="263">
        <f t="shared" si="145"/>
        <v>-216</v>
      </c>
      <c r="AE306" s="263">
        <f t="shared" si="146"/>
        <v>0</v>
      </c>
      <c r="AG306" s="52"/>
    </row>
    <row r="307" spans="1:35">
      <c r="A307" s="96">
        <v>45981</v>
      </c>
      <c r="B307" s="17" t="s">
        <v>14</v>
      </c>
      <c r="C307" s="23"/>
      <c r="D307" s="23">
        <f t="shared" si="136"/>
        <v>0</v>
      </c>
      <c r="E307" s="23">
        <f t="shared" si="137"/>
        <v>-4462</v>
      </c>
      <c r="G307" s="19"/>
      <c r="H307" s="62"/>
      <c r="I307" s="51">
        <f t="shared" si="133"/>
        <v>0</v>
      </c>
      <c r="J307" s="18"/>
      <c r="K307" s="18">
        <f t="shared" si="138"/>
        <v>-200</v>
      </c>
      <c r="M307" s="304">
        <v>0</v>
      </c>
      <c r="N307" s="311">
        <f t="shared" si="139"/>
        <v>0</v>
      </c>
      <c r="O307" s="260"/>
      <c r="P307" s="261"/>
      <c r="Q307" s="262"/>
      <c r="R307" s="263">
        <f t="shared" si="140"/>
        <v>-4</v>
      </c>
      <c r="S307" s="313">
        <f t="shared" si="141"/>
        <v>0</v>
      </c>
      <c r="U307" s="51">
        <f t="shared" si="142"/>
        <v>0</v>
      </c>
      <c r="V307" s="23"/>
      <c r="W307" s="18">
        <f t="shared" si="143"/>
        <v>-4262</v>
      </c>
      <c r="X307" s="2"/>
      <c r="Y307" s="304">
        <v>0</v>
      </c>
      <c r="Z307" s="259">
        <f t="shared" si="144"/>
        <v>0</v>
      </c>
      <c r="AA307" s="260"/>
      <c r="AB307" s="261"/>
      <c r="AC307" s="262"/>
      <c r="AD307" s="263">
        <f t="shared" si="145"/>
        <v>-216</v>
      </c>
      <c r="AE307" s="263">
        <f t="shared" si="146"/>
        <v>0</v>
      </c>
      <c r="AG307" s="52"/>
    </row>
    <row r="308" spans="1:35">
      <c r="A308" s="96">
        <v>45982</v>
      </c>
      <c r="B308" s="17" t="s">
        <v>15</v>
      </c>
      <c r="C308" s="23"/>
      <c r="D308" s="23">
        <f t="shared" si="136"/>
        <v>0</v>
      </c>
      <c r="E308" s="23">
        <f t="shared" si="137"/>
        <v>-4462</v>
      </c>
      <c r="G308" s="19"/>
      <c r="H308" s="62"/>
      <c r="I308" s="51">
        <f t="shared" si="133"/>
        <v>0</v>
      </c>
      <c r="J308" s="18"/>
      <c r="K308" s="18">
        <f t="shared" si="138"/>
        <v>-200</v>
      </c>
      <c r="M308" s="304">
        <v>0</v>
      </c>
      <c r="N308" s="311">
        <f t="shared" si="139"/>
        <v>0</v>
      </c>
      <c r="O308" s="260"/>
      <c r="P308" s="261"/>
      <c r="Q308" s="262"/>
      <c r="R308" s="263">
        <f t="shared" si="140"/>
        <v>-4</v>
      </c>
      <c r="S308" s="313">
        <f t="shared" si="141"/>
        <v>0</v>
      </c>
      <c r="U308" s="51">
        <f t="shared" si="142"/>
        <v>0</v>
      </c>
      <c r="V308" s="23"/>
      <c r="W308" s="18">
        <f t="shared" si="143"/>
        <v>-4262</v>
      </c>
      <c r="X308" s="2"/>
      <c r="Y308" s="304">
        <v>0</v>
      </c>
      <c r="Z308" s="259">
        <f t="shared" si="144"/>
        <v>0</v>
      </c>
      <c r="AA308" s="260"/>
      <c r="AB308" s="261"/>
      <c r="AC308" s="262"/>
      <c r="AD308" s="263">
        <f t="shared" si="145"/>
        <v>-216</v>
      </c>
      <c r="AE308" s="263">
        <f t="shared" si="146"/>
        <v>0</v>
      </c>
      <c r="AG308" s="52"/>
    </row>
    <row r="309" spans="1:35" s="12" customFormat="1">
      <c r="A309" s="95">
        <v>45983</v>
      </c>
      <c r="B309" s="25" t="s">
        <v>16</v>
      </c>
      <c r="C309" s="29"/>
      <c r="D309" s="29">
        <f t="shared" si="136"/>
        <v>0</v>
      </c>
      <c r="E309" s="29">
        <f t="shared" si="137"/>
        <v>-4462</v>
      </c>
      <c r="G309" s="64"/>
      <c r="H309" s="63"/>
      <c r="I309" s="53">
        <f t="shared" si="133"/>
        <v>0</v>
      </c>
      <c r="J309" s="26"/>
      <c r="K309" s="26">
        <f t="shared" si="138"/>
        <v>-200</v>
      </c>
      <c r="M309" s="304"/>
      <c r="N309" s="311"/>
      <c r="O309" s="260"/>
      <c r="P309" s="261"/>
      <c r="Q309" s="262"/>
      <c r="R309" s="263">
        <f t="shared" si="140"/>
        <v>-4</v>
      </c>
      <c r="S309" s="313">
        <f t="shared" si="141"/>
        <v>0</v>
      </c>
      <c r="T309" s="11"/>
      <c r="U309" s="53">
        <f t="shared" si="142"/>
        <v>0</v>
      </c>
      <c r="V309" s="29"/>
      <c r="W309" s="26">
        <f t="shared" si="143"/>
        <v>-4262</v>
      </c>
      <c r="X309" s="10"/>
      <c r="Y309" s="304"/>
      <c r="Z309" s="259"/>
      <c r="AA309" s="260"/>
      <c r="AB309" s="261"/>
      <c r="AC309" s="262"/>
      <c r="AD309" s="263">
        <f t="shared" si="145"/>
        <v>-216</v>
      </c>
      <c r="AE309" s="263">
        <f t="shared" si="146"/>
        <v>0</v>
      </c>
      <c r="AG309" s="54"/>
      <c r="AI309" s="11"/>
    </row>
    <row r="310" spans="1:35" s="12" customFormat="1">
      <c r="A310" s="95">
        <v>45984</v>
      </c>
      <c r="B310" s="25" t="s">
        <v>17</v>
      </c>
      <c r="C310" s="29"/>
      <c r="D310" s="29">
        <f t="shared" si="136"/>
        <v>0</v>
      </c>
      <c r="E310" s="29">
        <f t="shared" si="137"/>
        <v>-4462</v>
      </c>
      <c r="G310" s="64"/>
      <c r="H310" s="63"/>
      <c r="I310" s="53">
        <f t="shared" si="133"/>
        <v>0</v>
      </c>
      <c r="J310" s="26"/>
      <c r="K310" s="26">
        <f t="shared" si="138"/>
        <v>-200</v>
      </c>
      <c r="M310" s="304"/>
      <c r="N310" s="311"/>
      <c r="O310" s="260"/>
      <c r="P310" s="261"/>
      <c r="Q310" s="262"/>
      <c r="R310" s="263">
        <f t="shared" si="140"/>
        <v>-4</v>
      </c>
      <c r="S310" s="313">
        <f t="shared" si="141"/>
        <v>0</v>
      </c>
      <c r="T310" s="11"/>
      <c r="U310" s="53">
        <f t="shared" si="142"/>
        <v>0</v>
      </c>
      <c r="V310" s="29"/>
      <c r="W310" s="26">
        <f t="shared" si="143"/>
        <v>-4262</v>
      </c>
      <c r="X310" s="10"/>
      <c r="Y310" s="304"/>
      <c r="Z310" s="259"/>
      <c r="AA310" s="260"/>
      <c r="AB310" s="261"/>
      <c r="AC310" s="262"/>
      <c r="AD310" s="263">
        <f t="shared" si="145"/>
        <v>-216</v>
      </c>
      <c r="AE310" s="263">
        <f t="shared" si="146"/>
        <v>0</v>
      </c>
      <c r="AG310" s="54"/>
      <c r="AI310" s="11"/>
    </row>
    <row r="311" spans="1:35">
      <c r="A311" s="96">
        <v>45985</v>
      </c>
      <c r="B311" s="17" t="s">
        <v>18</v>
      </c>
      <c r="C311" s="23"/>
      <c r="D311" s="23">
        <f t="shared" si="136"/>
        <v>0</v>
      </c>
      <c r="E311" s="23">
        <f t="shared" si="137"/>
        <v>-4462</v>
      </c>
      <c r="G311" s="19"/>
      <c r="H311" s="62"/>
      <c r="I311" s="51">
        <f t="shared" si="133"/>
        <v>0</v>
      </c>
      <c r="J311" s="18"/>
      <c r="K311" s="18">
        <f t="shared" si="138"/>
        <v>-200</v>
      </c>
      <c r="M311" s="304">
        <v>0</v>
      </c>
      <c r="N311" s="311">
        <f t="shared" si="139"/>
        <v>0</v>
      </c>
      <c r="O311" s="260"/>
      <c r="P311" s="261"/>
      <c r="Q311" s="262"/>
      <c r="R311" s="263">
        <f t="shared" si="140"/>
        <v>-4</v>
      </c>
      <c r="S311" s="313">
        <f t="shared" si="141"/>
        <v>0</v>
      </c>
      <c r="U311" s="51">
        <f t="shared" si="142"/>
        <v>0</v>
      </c>
      <c r="V311" s="23"/>
      <c r="W311" s="18">
        <f t="shared" si="143"/>
        <v>-4262</v>
      </c>
      <c r="X311" s="2"/>
      <c r="Y311" s="304">
        <v>0</v>
      </c>
      <c r="Z311" s="259">
        <f t="shared" si="144"/>
        <v>0</v>
      </c>
      <c r="AA311" s="260"/>
      <c r="AB311" s="261"/>
      <c r="AC311" s="262"/>
      <c r="AD311" s="263">
        <f t="shared" si="145"/>
        <v>-216</v>
      </c>
      <c r="AE311" s="263">
        <f t="shared" si="146"/>
        <v>0</v>
      </c>
      <c r="AG311" s="52"/>
    </row>
    <row r="312" spans="1:35">
      <c r="A312" s="96">
        <v>45986</v>
      </c>
      <c r="B312" s="17" t="s">
        <v>19</v>
      </c>
      <c r="C312" s="23"/>
      <c r="D312" s="23">
        <f t="shared" si="136"/>
        <v>0</v>
      </c>
      <c r="E312" s="23">
        <f t="shared" si="137"/>
        <v>-4462</v>
      </c>
      <c r="G312" s="19"/>
      <c r="H312" s="62"/>
      <c r="I312" s="51">
        <f t="shared" si="133"/>
        <v>0</v>
      </c>
      <c r="J312" s="18"/>
      <c r="K312" s="18">
        <f t="shared" si="138"/>
        <v>-200</v>
      </c>
      <c r="M312" s="304">
        <v>0</v>
      </c>
      <c r="N312" s="311">
        <f t="shared" si="139"/>
        <v>0</v>
      </c>
      <c r="O312" s="260"/>
      <c r="P312" s="261"/>
      <c r="Q312" s="262"/>
      <c r="R312" s="263">
        <f t="shared" si="140"/>
        <v>-4</v>
      </c>
      <c r="S312" s="313">
        <f t="shared" si="141"/>
        <v>0</v>
      </c>
      <c r="U312" s="51">
        <f t="shared" si="142"/>
        <v>0</v>
      </c>
      <c r="V312" s="23"/>
      <c r="W312" s="18">
        <f t="shared" si="143"/>
        <v>-4262</v>
      </c>
      <c r="X312" s="2"/>
      <c r="Y312" s="304">
        <v>0</v>
      </c>
      <c r="Z312" s="259">
        <f t="shared" si="144"/>
        <v>0</v>
      </c>
      <c r="AA312" s="260"/>
      <c r="AB312" s="261"/>
      <c r="AC312" s="262"/>
      <c r="AD312" s="263">
        <f t="shared" si="145"/>
        <v>-216</v>
      </c>
      <c r="AE312" s="263">
        <f t="shared" si="146"/>
        <v>0</v>
      </c>
      <c r="AG312" s="52"/>
    </row>
    <row r="313" spans="1:35">
      <c r="A313" s="96">
        <v>45987</v>
      </c>
      <c r="B313" s="17" t="s">
        <v>20</v>
      </c>
      <c r="C313" s="23"/>
      <c r="D313" s="23">
        <f t="shared" si="136"/>
        <v>0</v>
      </c>
      <c r="E313" s="23">
        <f t="shared" si="137"/>
        <v>-4462</v>
      </c>
      <c r="G313" s="19"/>
      <c r="H313" s="62"/>
      <c r="I313" s="51">
        <f t="shared" si="133"/>
        <v>0</v>
      </c>
      <c r="J313" s="18"/>
      <c r="K313" s="18">
        <f t="shared" si="138"/>
        <v>-200</v>
      </c>
      <c r="M313" s="304">
        <v>0</v>
      </c>
      <c r="N313" s="311">
        <f t="shared" si="139"/>
        <v>0</v>
      </c>
      <c r="O313" s="260"/>
      <c r="P313" s="261"/>
      <c r="Q313" s="262"/>
      <c r="R313" s="263">
        <f t="shared" si="140"/>
        <v>-4</v>
      </c>
      <c r="S313" s="313">
        <f t="shared" si="141"/>
        <v>0</v>
      </c>
      <c r="U313" s="51">
        <f t="shared" si="142"/>
        <v>0</v>
      </c>
      <c r="V313" s="23"/>
      <c r="W313" s="18">
        <f t="shared" si="143"/>
        <v>-4262</v>
      </c>
      <c r="X313" s="2"/>
      <c r="Y313" s="304">
        <v>0</v>
      </c>
      <c r="Z313" s="259">
        <f t="shared" si="144"/>
        <v>0</v>
      </c>
      <c r="AA313" s="260"/>
      <c r="AB313" s="261"/>
      <c r="AC313" s="262"/>
      <c r="AD313" s="263">
        <f t="shared" si="145"/>
        <v>-216</v>
      </c>
      <c r="AE313" s="263">
        <f t="shared" si="146"/>
        <v>0</v>
      </c>
      <c r="AG313" s="52"/>
    </row>
    <row r="314" spans="1:35">
      <c r="A314" s="96">
        <v>45988</v>
      </c>
      <c r="B314" s="17" t="s">
        <v>14</v>
      </c>
      <c r="C314" s="23"/>
      <c r="D314" s="23">
        <f t="shared" si="136"/>
        <v>0</v>
      </c>
      <c r="E314" s="23">
        <f t="shared" si="137"/>
        <v>-4462</v>
      </c>
      <c r="G314" s="19"/>
      <c r="H314" s="62"/>
      <c r="I314" s="51" t="b">
        <f t="shared" si="133"/>
        <v>0</v>
      </c>
      <c r="J314" s="18"/>
      <c r="K314" s="18">
        <f t="shared" si="138"/>
        <v>-200</v>
      </c>
      <c r="M314" s="304">
        <v>0</v>
      </c>
      <c r="N314" s="311">
        <f t="shared" si="139"/>
        <v>0</v>
      </c>
      <c r="O314" s="260"/>
      <c r="P314" s="261"/>
      <c r="Q314" s="262"/>
      <c r="R314" s="263">
        <f t="shared" si="140"/>
        <v>-4</v>
      </c>
      <c r="S314" s="313">
        <f t="shared" si="141"/>
        <v>0</v>
      </c>
      <c r="U314" s="51">
        <f t="shared" si="142"/>
        <v>0</v>
      </c>
      <c r="V314" s="23"/>
      <c r="W314" s="18">
        <f t="shared" si="143"/>
        <v>-4262</v>
      </c>
      <c r="X314" s="2"/>
      <c r="Y314" s="304">
        <v>0</v>
      </c>
      <c r="Z314" s="259">
        <f t="shared" si="144"/>
        <v>0</v>
      </c>
      <c r="AA314" s="260"/>
      <c r="AB314" s="261"/>
      <c r="AC314" s="262"/>
      <c r="AD314" s="263">
        <f t="shared" si="145"/>
        <v>-216</v>
      </c>
      <c r="AE314" s="263">
        <f t="shared" si="146"/>
        <v>0</v>
      </c>
      <c r="AG314" s="52"/>
    </row>
    <row r="315" spans="1:35">
      <c r="A315" s="96">
        <v>45989</v>
      </c>
      <c r="B315" s="17" t="s">
        <v>15</v>
      </c>
      <c r="C315" s="23"/>
      <c r="D315" s="23">
        <f t="shared" si="136"/>
        <v>0</v>
      </c>
      <c r="E315" s="23">
        <f t="shared" si="137"/>
        <v>-4462</v>
      </c>
      <c r="G315" s="19"/>
      <c r="H315" s="62"/>
      <c r="I315" s="51" t="b">
        <f t="shared" si="133"/>
        <v>0</v>
      </c>
      <c r="J315" s="18"/>
      <c r="K315" s="18">
        <f t="shared" si="138"/>
        <v>-200</v>
      </c>
      <c r="M315" s="304">
        <v>0</v>
      </c>
      <c r="N315" s="311">
        <f t="shared" si="139"/>
        <v>0</v>
      </c>
      <c r="O315" s="260"/>
      <c r="P315" s="261"/>
      <c r="Q315" s="262"/>
      <c r="R315" s="263">
        <f t="shared" si="140"/>
        <v>-4</v>
      </c>
      <c r="S315" s="313">
        <f t="shared" si="141"/>
        <v>0</v>
      </c>
      <c r="U315" s="51">
        <f t="shared" si="142"/>
        <v>0</v>
      </c>
      <c r="V315" s="23"/>
      <c r="W315" s="18">
        <f t="shared" si="143"/>
        <v>-4262</v>
      </c>
      <c r="X315" s="2"/>
      <c r="Y315" s="304">
        <v>0</v>
      </c>
      <c r="Z315" s="259">
        <f t="shared" si="144"/>
        <v>0</v>
      </c>
      <c r="AA315" s="260"/>
      <c r="AB315" s="261"/>
      <c r="AC315" s="262"/>
      <c r="AD315" s="263">
        <f t="shared" si="145"/>
        <v>-216</v>
      </c>
      <c r="AE315" s="263">
        <f t="shared" si="146"/>
        <v>0</v>
      </c>
      <c r="AG315" s="52"/>
    </row>
    <row r="316" spans="1:35" s="12" customFormat="1">
      <c r="A316" s="95">
        <v>45990</v>
      </c>
      <c r="B316" s="25" t="s">
        <v>16</v>
      </c>
      <c r="C316" s="29"/>
      <c r="D316" s="29">
        <f t="shared" si="136"/>
        <v>0</v>
      </c>
      <c r="E316" s="29">
        <f t="shared" si="137"/>
        <v>-4462</v>
      </c>
      <c r="G316" s="64"/>
      <c r="H316" s="63"/>
      <c r="I316" s="53" t="b">
        <f t="shared" si="133"/>
        <v>0</v>
      </c>
      <c r="J316" s="26"/>
      <c r="K316" s="26">
        <f t="shared" si="138"/>
        <v>-200</v>
      </c>
      <c r="M316" s="304"/>
      <c r="N316" s="311"/>
      <c r="O316" s="260"/>
      <c r="P316" s="261"/>
      <c r="Q316" s="262"/>
      <c r="R316" s="263">
        <f t="shared" si="140"/>
        <v>-4</v>
      </c>
      <c r="S316" s="313">
        <f t="shared" si="141"/>
        <v>0</v>
      </c>
      <c r="T316" s="11"/>
      <c r="U316" s="53">
        <f t="shared" si="142"/>
        <v>0</v>
      </c>
      <c r="V316" s="29"/>
      <c r="W316" s="26">
        <f t="shared" si="143"/>
        <v>-4262</v>
      </c>
      <c r="X316" s="10"/>
      <c r="Y316" s="304"/>
      <c r="Z316" s="259"/>
      <c r="AA316" s="260"/>
      <c r="AB316" s="261"/>
      <c r="AC316" s="262"/>
      <c r="AD316" s="263">
        <f t="shared" si="145"/>
        <v>-216</v>
      </c>
      <c r="AE316" s="263">
        <f t="shared" si="146"/>
        <v>0</v>
      </c>
      <c r="AG316" s="54"/>
      <c r="AI316" s="11"/>
    </row>
    <row r="317" spans="1:35" s="12" customFormat="1">
      <c r="A317" s="95">
        <v>45991</v>
      </c>
      <c r="B317" s="25" t="s">
        <v>17</v>
      </c>
      <c r="C317" s="29"/>
      <c r="D317" s="29">
        <f t="shared" si="136"/>
        <v>0</v>
      </c>
      <c r="E317" s="29">
        <f t="shared" si="137"/>
        <v>-4462</v>
      </c>
      <c r="G317" s="64"/>
      <c r="H317" s="63"/>
      <c r="I317" s="53" t="b">
        <f t="shared" si="133"/>
        <v>0</v>
      </c>
      <c r="J317" s="26"/>
      <c r="K317" s="26">
        <f t="shared" si="138"/>
        <v>-200</v>
      </c>
      <c r="M317" s="304"/>
      <c r="N317" s="311"/>
      <c r="O317" s="260"/>
      <c r="P317" s="261"/>
      <c r="Q317" s="262"/>
      <c r="R317" s="263">
        <f t="shared" si="140"/>
        <v>-4</v>
      </c>
      <c r="S317" s="313">
        <f t="shared" si="141"/>
        <v>0</v>
      </c>
      <c r="T317" s="11"/>
      <c r="U317" s="53">
        <f t="shared" si="142"/>
        <v>0</v>
      </c>
      <c r="V317" s="29"/>
      <c r="W317" s="26">
        <f t="shared" si="143"/>
        <v>-4262</v>
      </c>
      <c r="X317" s="10"/>
      <c r="Y317" s="304"/>
      <c r="Z317" s="259"/>
      <c r="AA317" s="260"/>
      <c r="AB317" s="261"/>
      <c r="AC317" s="262"/>
      <c r="AD317" s="263">
        <f t="shared" si="145"/>
        <v>-216</v>
      </c>
      <c r="AE317" s="263">
        <f t="shared" si="146"/>
        <v>0</v>
      </c>
      <c r="AG317" s="54"/>
      <c r="AI317" s="11"/>
    </row>
    <row r="318" spans="1:35">
      <c r="A318" s="96">
        <v>45992</v>
      </c>
      <c r="B318" s="17" t="s">
        <v>18</v>
      </c>
      <c r="C318" s="23"/>
      <c r="D318" s="23">
        <f t="shared" si="136"/>
        <v>0</v>
      </c>
      <c r="E318" s="23">
        <f t="shared" si="137"/>
        <v>-4462</v>
      </c>
      <c r="G318" s="19"/>
      <c r="H318" s="62"/>
      <c r="I318" s="51"/>
      <c r="J318" s="18"/>
      <c r="K318" s="18">
        <f t="shared" si="138"/>
        <v>-200</v>
      </c>
      <c r="M318" s="304"/>
      <c r="N318" s="311">
        <f t="shared" si="139"/>
        <v>0</v>
      </c>
      <c r="O318" s="260"/>
      <c r="P318" s="261"/>
      <c r="Q318" s="262"/>
      <c r="R318" s="263">
        <f t="shared" si="140"/>
        <v>-4</v>
      </c>
      <c r="S318" s="313">
        <f t="shared" si="141"/>
        <v>0</v>
      </c>
      <c r="U318" s="51">
        <f t="shared" si="142"/>
        <v>0</v>
      </c>
      <c r="V318" s="23"/>
      <c r="W318" s="18">
        <f t="shared" si="143"/>
        <v>-4262</v>
      </c>
      <c r="X318" s="2"/>
      <c r="Y318" s="304"/>
      <c r="Z318" s="259">
        <f t="shared" si="144"/>
        <v>0</v>
      </c>
      <c r="AA318" s="260"/>
      <c r="AB318" s="261"/>
      <c r="AC318" s="262"/>
      <c r="AD318" s="263">
        <f t="shared" si="145"/>
        <v>-216</v>
      </c>
      <c r="AE318" s="263">
        <f t="shared" si="146"/>
        <v>0</v>
      </c>
      <c r="AG318" s="52"/>
    </row>
    <row r="319" spans="1:35">
      <c r="A319" s="96">
        <v>45993</v>
      </c>
      <c r="B319" s="17" t="s">
        <v>19</v>
      </c>
      <c r="C319" s="23"/>
      <c r="D319" s="23">
        <f t="shared" si="136"/>
        <v>0</v>
      </c>
      <c r="E319" s="23">
        <f t="shared" si="137"/>
        <v>-4462</v>
      </c>
      <c r="G319" s="19"/>
      <c r="H319" s="62"/>
      <c r="I319" s="51"/>
      <c r="J319" s="18"/>
      <c r="K319" s="18">
        <f t="shared" si="138"/>
        <v>-200</v>
      </c>
      <c r="M319" s="304"/>
      <c r="N319" s="311">
        <f t="shared" si="139"/>
        <v>0</v>
      </c>
      <c r="O319" s="260"/>
      <c r="P319" s="261"/>
      <c r="Q319" s="262"/>
      <c r="R319" s="263">
        <f t="shared" si="140"/>
        <v>-4</v>
      </c>
      <c r="S319" s="313">
        <f t="shared" si="141"/>
        <v>0</v>
      </c>
      <c r="U319" s="51">
        <f t="shared" si="142"/>
        <v>0</v>
      </c>
      <c r="V319" s="23"/>
      <c r="W319" s="18">
        <f t="shared" si="143"/>
        <v>-4262</v>
      </c>
      <c r="X319" s="2"/>
      <c r="Y319" s="304"/>
      <c r="Z319" s="259">
        <f t="shared" si="144"/>
        <v>0</v>
      </c>
      <c r="AA319" s="260"/>
      <c r="AB319" s="261"/>
      <c r="AC319" s="262"/>
      <c r="AD319" s="263">
        <f t="shared" si="145"/>
        <v>-216</v>
      </c>
      <c r="AE319" s="263">
        <f t="shared" si="146"/>
        <v>0</v>
      </c>
      <c r="AG319" s="52"/>
    </row>
    <row r="320" spans="1:35">
      <c r="A320" s="96">
        <v>45994</v>
      </c>
      <c r="B320" s="17" t="s">
        <v>20</v>
      </c>
      <c r="C320" s="23"/>
      <c r="D320" s="23">
        <f t="shared" si="136"/>
        <v>0</v>
      </c>
      <c r="E320" s="23">
        <f t="shared" si="137"/>
        <v>-4462</v>
      </c>
      <c r="G320" s="19"/>
      <c r="H320" s="62"/>
      <c r="I320" s="51"/>
      <c r="J320" s="18"/>
      <c r="K320" s="18">
        <f t="shared" si="138"/>
        <v>-200</v>
      </c>
      <c r="M320" s="304"/>
      <c r="N320" s="311">
        <f t="shared" si="139"/>
        <v>0</v>
      </c>
      <c r="O320" s="260"/>
      <c r="P320" s="261"/>
      <c r="Q320" s="262"/>
      <c r="R320" s="263">
        <f t="shared" si="140"/>
        <v>-4</v>
      </c>
      <c r="S320" s="313">
        <f t="shared" si="141"/>
        <v>0</v>
      </c>
      <c r="U320" s="51">
        <f t="shared" si="142"/>
        <v>0</v>
      </c>
      <c r="V320" s="23"/>
      <c r="W320" s="18">
        <f t="shared" si="143"/>
        <v>-4262</v>
      </c>
      <c r="X320" s="2"/>
      <c r="Y320" s="304"/>
      <c r="Z320" s="259">
        <f t="shared" si="144"/>
        <v>0</v>
      </c>
      <c r="AA320" s="260"/>
      <c r="AB320" s="261"/>
      <c r="AC320" s="262"/>
      <c r="AD320" s="263">
        <f t="shared" si="145"/>
        <v>-216</v>
      </c>
      <c r="AE320" s="263">
        <f t="shared" si="146"/>
        <v>0</v>
      </c>
      <c r="AG320" s="52"/>
    </row>
    <row r="321" spans="1:33">
      <c r="A321" s="96">
        <v>45995</v>
      </c>
      <c r="B321" s="17" t="s">
        <v>14</v>
      </c>
      <c r="C321" s="23"/>
      <c r="D321" s="23">
        <f t="shared" si="136"/>
        <v>0</v>
      </c>
      <c r="E321" s="23">
        <f t="shared" si="137"/>
        <v>-4462</v>
      </c>
      <c r="G321" s="19"/>
      <c r="H321" s="62"/>
      <c r="I321" s="51"/>
      <c r="J321" s="18"/>
      <c r="K321" s="18">
        <f t="shared" si="138"/>
        <v>-200</v>
      </c>
      <c r="M321" s="304"/>
      <c r="N321" s="311">
        <f t="shared" si="139"/>
        <v>0</v>
      </c>
      <c r="O321" s="260"/>
      <c r="P321" s="261"/>
      <c r="Q321" s="262"/>
      <c r="R321" s="263">
        <f t="shared" si="140"/>
        <v>-4</v>
      </c>
      <c r="S321" s="313">
        <f t="shared" si="141"/>
        <v>0</v>
      </c>
      <c r="U321" s="51">
        <f t="shared" si="142"/>
        <v>0</v>
      </c>
      <c r="V321" s="23"/>
      <c r="W321" s="18">
        <f t="shared" si="143"/>
        <v>-4262</v>
      </c>
      <c r="X321" s="2"/>
      <c r="Y321" s="304"/>
      <c r="Z321" s="259">
        <f t="shared" si="144"/>
        <v>0</v>
      </c>
      <c r="AA321" s="260"/>
      <c r="AB321" s="261"/>
      <c r="AC321" s="262"/>
      <c r="AD321" s="263">
        <f t="shared" si="145"/>
        <v>-216</v>
      </c>
      <c r="AE321" s="263">
        <f t="shared" si="146"/>
        <v>0</v>
      </c>
      <c r="AG321" s="52"/>
    </row>
    <row r="322" spans="1:33">
      <c r="A322" s="96">
        <v>45996</v>
      </c>
      <c r="B322" s="17" t="s">
        <v>15</v>
      </c>
      <c r="C322" s="23"/>
      <c r="D322" s="23">
        <f t="shared" si="136"/>
        <v>0</v>
      </c>
      <c r="E322" s="23">
        <f t="shared" si="137"/>
        <v>-4462</v>
      </c>
      <c r="G322" s="19"/>
      <c r="H322" s="62"/>
      <c r="I322" s="51"/>
      <c r="J322" s="18"/>
      <c r="K322" s="18">
        <f t="shared" si="138"/>
        <v>-200</v>
      </c>
      <c r="M322" s="304"/>
      <c r="N322" s="311">
        <f t="shared" si="139"/>
        <v>0</v>
      </c>
      <c r="O322" s="260"/>
      <c r="P322" s="261"/>
      <c r="Q322" s="262"/>
      <c r="R322" s="263">
        <f t="shared" si="140"/>
        <v>-4</v>
      </c>
      <c r="S322" s="313">
        <f t="shared" si="141"/>
        <v>0</v>
      </c>
      <c r="U322" s="51">
        <f t="shared" si="142"/>
        <v>0</v>
      </c>
      <c r="V322" s="23"/>
      <c r="W322" s="18">
        <f t="shared" si="143"/>
        <v>-4262</v>
      </c>
      <c r="X322" s="2"/>
      <c r="Y322" s="304"/>
      <c r="Z322" s="259">
        <f t="shared" si="144"/>
        <v>0</v>
      </c>
      <c r="AA322" s="260"/>
      <c r="AB322" s="261"/>
      <c r="AC322" s="262"/>
      <c r="AD322" s="263">
        <f t="shared" si="145"/>
        <v>-216</v>
      </c>
      <c r="AE322" s="263">
        <f t="shared" si="146"/>
        <v>0</v>
      </c>
      <c r="AG322" s="52"/>
    </row>
    <row r="323" spans="1:33">
      <c r="A323" s="96"/>
      <c r="B323" s="17"/>
      <c r="C323" s="23"/>
      <c r="D323" s="23">
        <f t="shared" si="64"/>
        <v>0</v>
      </c>
      <c r="E323" s="23"/>
      <c r="G323" s="19"/>
      <c r="H323" s="62"/>
      <c r="I323" s="51"/>
      <c r="J323" s="18"/>
      <c r="K323" s="18"/>
      <c r="M323" s="304"/>
      <c r="N323" s="311"/>
      <c r="O323" s="260"/>
      <c r="P323" s="261"/>
      <c r="Q323" s="262"/>
      <c r="R323" s="263"/>
      <c r="S323" s="313"/>
      <c r="U323" s="51"/>
      <c r="V323" s="23"/>
      <c r="W323" s="18"/>
      <c r="X323" s="2"/>
      <c r="Y323" s="304"/>
      <c r="Z323" s="259"/>
      <c r="AA323" s="260"/>
      <c r="AB323" s="261"/>
      <c r="AC323" s="262"/>
      <c r="AD323" s="263"/>
      <c r="AE323" s="263"/>
      <c r="AG323" s="52"/>
    </row>
    <row r="324" spans="1:33">
      <c r="A324" s="1"/>
      <c r="C324" s="1"/>
      <c r="D324" s="1"/>
      <c r="G324" s="1"/>
    </row>
    <row r="325" spans="1:33">
      <c r="A325" s="1"/>
      <c r="C325" s="1"/>
      <c r="D325" s="1"/>
      <c r="G325" s="1"/>
    </row>
    <row r="326" spans="1:33">
      <c r="A326" s="228"/>
      <c r="C326" t="s">
        <v>63</v>
      </c>
      <c r="E326" s="1" t="s">
        <v>62</v>
      </c>
      <c r="G326" s="1" t="s">
        <v>48</v>
      </c>
    </row>
    <row r="327" spans="1:33">
      <c r="A327" s="2" t="s">
        <v>44</v>
      </c>
      <c r="B327" s="1">
        <v>22</v>
      </c>
      <c r="C327" s="208">
        <v>48</v>
      </c>
      <c r="D327" s="208"/>
      <c r="E327" s="208">
        <v>978</v>
      </c>
      <c r="G327" s="210">
        <f>(E327+C327)/B327</f>
        <v>46.636363636363633</v>
      </c>
    </row>
    <row r="328" spans="1:33">
      <c r="A328" s="2" t="s">
        <v>45</v>
      </c>
      <c r="B328" s="1">
        <v>22</v>
      </c>
      <c r="C328" s="208">
        <v>54</v>
      </c>
      <c r="D328" s="208"/>
      <c r="E328" s="208">
        <v>1143</v>
      </c>
      <c r="G328" s="210">
        <f t="shared" ref="G328:G333" si="147">(E328+C328)/B328</f>
        <v>54.409090909090907</v>
      </c>
    </row>
    <row r="329" spans="1:33">
      <c r="A329" s="2" t="s">
        <v>46</v>
      </c>
      <c r="B329" s="1">
        <v>21</v>
      </c>
      <c r="C329" s="208">
        <v>33</v>
      </c>
      <c r="D329" s="208"/>
      <c r="E329" s="208">
        <v>735</v>
      </c>
      <c r="G329" s="210">
        <f t="shared" si="147"/>
        <v>36.571428571428569</v>
      </c>
    </row>
    <row r="330" spans="1:33">
      <c r="A330" s="2" t="s">
        <v>47</v>
      </c>
      <c r="B330" s="1">
        <v>20</v>
      </c>
      <c r="C330" s="208">
        <v>12</v>
      </c>
      <c r="D330" s="208"/>
      <c r="E330" s="208">
        <v>648</v>
      </c>
      <c r="G330" s="210">
        <f t="shared" si="147"/>
        <v>33</v>
      </c>
    </row>
    <row r="331" spans="1:33">
      <c r="A331" s="2" t="s">
        <v>71</v>
      </c>
      <c r="B331" s="1">
        <v>20</v>
      </c>
      <c r="C331" s="208">
        <v>42</v>
      </c>
      <c r="D331" s="208"/>
      <c r="E331" s="208">
        <v>825</v>
      </c>
      <c r="G331" s="210">
        <f t="shared" si="147"/>
        <v>43.35</v>
      </c>
    </row>
    <row r="332" spans="1:33">
      <c r="A332" s="2" t="s">
        <v>72</v>
      </c>
      <c r="B332" s="1">
        <v>21</v>
      </c>
      <c r="C332" s="208">
        <v>45</v>
      </c>
      <c r="D332" s="208"/>
      <c r="E332" s="208">
        <v>981</v>
      </c>
      <c r="G332" s="210">
        <f t="shared" si="147"/>
        <v>48.857142857142854</v>
      </c>
    </row>
    <row r="333" spans="1:33">
      <c r="A333" s="2" t="s">
        <v>73</v>
      </c>
      <c r="B333" s="1">
        <v>22</v>
      </c>
      <c r="C333" s="208">
        <v>42</v>
      </c>
      <c r="D333" s="208"/>
      <c r="E333" s="208">
        <v>1062</v>
      </c>
      <c r="G333" s="210">
        <f t="shared" si="147"/>
        <v>50.18181818181818</v>
      </c>
    </row>
    <row r="334" spans="1:33">
      <c r="A334" s="2" t="s">
        <v>74</v>
      </c>
      <c r="B334" s="1">
        <v>19</v>
      </c>
      <c r="C334" s="208">
        <v>39</v>
      </c>
      <c r="D334" s="208"/>
      <c r="E334" s="208">
        <v>1002</v>
      </c>
      <c r="G334" s="210">
        <f t="shared" ref="G334" si="148">(E334+C334)/B334</f>
        <v>54.789473684210527</v>
      </c>
    </row>
    <row r="335" spans="1:33">
      <c r="A335" s="2" t="s">
        <v>75</v>
      </c>
      <c r="B335" s="1">
        <v>19</v>
      </c>
      <c r="C335" s="208">
        <v>27</v>
      </c>
      <c r="D335" s="208"/>
      <c r="E335" s="208">
        <v>762</v>
      </c>
      <c r="G335" s="210">
        <f t="shared" ref="G335:G336" si="149">(E335+C335)/B335</f>
        <v>41.526315789473685</v>
      </c>
    </row>
    <row r="336" spans="1:33">
      <c r="A336" s="2" t="s">
        <v>76</v>
      </c>
      <c r="B336" s="1">
        <v>21</v>
      </c>
      <c r="C336" s="208">
        <v>45</v>
      </c>
      <c r="D336" s="208"/>
      <c r="E336" s="208">
        <v>1164</v>
      </c>
      <c r="G336" s="210">
        <f t="shared" si="149"/>
        <v>57.571428571428569</v>
      </c>
    </row>
  </sheetData>
  <customSheetViews>
    <customSheetView guid="{0F97D042-C15F-481A-A24D-94F15C0648A1}" scale="85" fitToPage="1" hiddenRows="1" topLeftCell="A122">
      <selection activeCell="AC151" sqref="AC151"/>
      <pageMargins left="0.25" right="0.25" top="0.75" bottom="0.75" header="0.3" footer="0.3"/>
      <pageSetup paperSize="9" scale="42" orientation="landscape" r:id="rId1"/>
    </customSheetView>
    <customSheetView guid="{67AA7247-9969-44D1-A312-CE29558EF448}" scale="84" fitToPage="1">
      <pane xSplit="2" ySplit="2" topLeftCell="H93" activePane="bottomRight" state="frozen"/>
      <selection pane="bottomRight" activeCell="Z110" sqref="Z110"/>
      <pageMargins left="0.25" right="0.25" top="0.75" bottom="0.75" header="0.3" footer="0.3"/>
      <pageSetup paperSize="9" scale="42" orientation="landscape" r:id="rId2"/>
    </customSheetView>
    <customSheetView guid="{DF7FFCE6-325C-4337-ACE2-63AB5F5E5D7C}" scale="85" fitToPage="1" hiddenRows="1" topLeftCell="A96">
      <selection activeCell="Q116" sqref="Q116"/>
      <pageMargins left="0.25" right="0.25" top="0.75" bottom="0.75" header="0.3" footer="0.3"/>
      <pageSetup paperSize="9" scale="42" orientation="landscape" r:id="rId3"/>
    </customSheetView>
    <customSheetView guid="{0F0ED987-057D-4D51-B464-C7C0C85EB14F}" scale="84" fitToPage="1">
      <selection activeCell="Z23" sqref="Z23"/>
      <pageMargins left="0.25" right="0.25" top="0.75" bottom="0.75" header="0.3" footer="0.3"/>
      <pageSetup paperSize="9" scale="42" orientation="landscape" r:id="rId4"/>
    </customSheetView>
    <customSheetView guid="{D886DC16-62E0-4EAA-A787-2FA2A24DFCFE}" scale="85" fitToPage="1" hiddenRows="1" topLeftCell="D2">
      <selection activeCell="AC238" sqref="AC238"/>
      <pageMargins left="0.25" right="0.25" top="0.75" bottom="0.75" header="0.3" footer="0.3"/>
      <pageSetup paperSize="9" scale="42" orientation="landscape" r:id="rId5"/>
    </customSheetView>
    <customSheetView guid="{811078A9-B23B-425F-A62A-22C4D8EF8733}" scale="84" fitToPage="1">
      <pane xSplit="2" ySplit="2" topLeftCell="J246" activePane="bottomRight" state="frozen"/>
      <selection pane="bottomRight" activeCell="Z248" sqref="Z248:Z255"/>
      <pageMargins left="0.25" right="0.25" top="0.75" bottom="0.75" header="0.3" footer="0.3"/>
      <pageSetup paperSize="9" scale="42" orientation="landscape" r:id="rId6"/>
    </customSheetView>
    <customSheetView guid="{7F9E5EBC-BEB4-4E3F-8F40-CA3D4F534F5B}" scale="85" fitToPage="1" hiddenRows="1">
      <pane xSplit="2" ySplit="239" topLeftCell="C241" activePane="bottomRight" state="frozenSplit"/>
      <selection pane="bottomRight" activeCell="Q251" sqref="Q251"/>
      <pageMargins left="0.25" right="0.25" top="0.75" bottom="0.75" header="0.3" footer="0.3"/>
      <pageSetup paperSize="9" scale="42" orientation="landscape" r:id="rId7"/>
    </customSheetView>
  </customSheetViews>
  <mergeCells count="2">
    <mergeCell ref="O2:P2"/>
    <mergeCell ref="AA2:AB2"/>
  </mergeCells>
  <phoneticPr fontId="1"/>
  <pageMargins left="0.25" right="0.25" top="0.75" bottom="0.75" header="0.3" footer="0.3"/>
  <pageSetup paperSize="9" scale="42" orientation="landscape" r:id="rId8"/>
  <drawing r:id="rId9"/>
  <legacy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A71B8-AAB7-41C4-9F9B-0842E4517A98}">
  <sheetPr codeName="Sheet2">
    <tabColor rgb="FFFFFF00"/>
    <pageSetUpPr fitToPage="1"/>
  </sheetPr>
  <dimension ref="A1:AI120"/>
  <sheetViews>
    <sheetView zoomScale="85" zoomScaleNormal="70" workbookViewId="0">
      <selection activeCell="N37" sqref="N37"/>
    </sheetView>
  </sheetViews>
  <sheetFormatPr defaultColWidth="9" defaultRowHeight="18.75" outlineLevelRow="1"/>
  <cols>
    <col min="1" max="1" width="13.375" style="229" customWidth="1"/>
    <col min="2" max="2" width="3.375" style="1" bestFit="1" customWidth="1"/>
    <col min="5" max="5" width="9" style="1"/>
    <col min="6" max="6" width="2.375" style="1" customWidth="1"/>
    <col min="7" max="7" width="13.5" customWidth="1"/>
    <col min="8" max="8" width="2.125" style="1" customWidth="1"/>
    <col min="9" max="9" width="10.875" style="1" bestFit="1" customWidth="1"/>
    <col min="10" max="11" width="10.875" style="1" customWidth="1"/>
    <col min="12" max="12" width="2.375" style="1" customWidth="1"/>
    <col min="13" max="13" width="10.25" customWidth="1"/>
    <col min="14" max="14" width="13.5" customWidth="1"/>
    <col min="15" max="16" width="4.75" customWidth="1"/>
    <col min="17" max="17" width="10.25" customWidth="1"/>
    <col min="18" max="19" width="10.5" customWidth="1"/>
    <col min="20" max="20" width="2.125" customWidth="1"/>
    <col min="21" max="21" width="10.875" style="1" bestFit="1" customWidth="1"/>
    <col min="22" max="23" width="10.875" style="1" customWidth="1"/>
    <col min="24" max="24" width="2.375" style="1" customWidth="1"/>
    <col min="25" max="25" width="10.25" customWidth="1"/>
    <col min="26" max="26" width="13.375" customWidth="1"/>
    <col min="27" max="28" width="4.875" customWidth="1"/>
    <col min="29" max="29" width="10.25" customWidth="1"/>
    <col min="30" max="31" width="10.5" customWidth="1"/>
    <col min="32" max="32" width="2.125" style="1" customWidth="1"/>
    <col min="33" max="33" width="7.375" style="1" customWidth="1"/>
    <col min="34" max="34" width="2.375" style="1" customWidth="1"/>
    <col min="36" max="16384" width="9" style="1"/>
  </cols>
  <sheetData>
    <row r="1" spans="1:35" ht="26.25" thickBot="1">
      <c r="A1" s="3" t="s">
        <v>43</v>
      </c>
      <c r="I1" s="176" t="s">
        <v>77</v>
      </c>
      <c r="M1" s="217" t="s">
        <v>58</v>
      </c>
      <c r="U1" s="176" t="s">
        <v>78</v>
      </c>
      <c r="Y1" s="217" t="s">
        <v>58</v>
      </c>
      <c r="AI1" t="s">
        <v>57</v>
      </c>
    </row>
    <row r="2" spans="1:35" ht="55.5" customHeight="1">
      <c r="A2" s="13" t="s">
        <v>61</v>
      </c>
      <c r="B2" s="4"/>
      <c r="C2" s="5" t="s">
        <v>0</v>
      </c>
      <c r="D2" s="6" t="s">
        <v>1</v>
      </c>
      <c r="E2" s="7" t="s">
        <v>2</v>
      </c>
      <c r="F2" s="30"/>
      <c r="G2" s="35" t="s">
        <v>13</v>
      </c>
      <c r="I2" s="44" t="s">
        <v>5</v>
      </c>
      <c r="J2" s="45" t="s">
        <v>1</v>
      </c>
      <c r="K2" s="45" t="s">
        <v>2</v>
      </c>
      <c r="L2" s="46"/>
      <c r="M2" s="47" t="s">
        <v>11</v>
      </c>
      <c r="N2" s="48" t="s">
        <v>13</v>
      </c>
      <c r="O2" s="318" t="s">
        <v>10</v>
      </c>
      <c r="P2" s="320"/>
      <c r="Q2" s="59" t="s">
        <v>12</v>
      </c>
      <c r="R2" s="49" t="s">
        <v>9</v>
      </c>
      <c r="S2" s="50" t="s">
        <v>21</v>
      </c>
      <c r="T2" s="8"/>
      <c r="U2" s="44" t="s">
        <v>5</v>
      </c>
      <c r="V2" s="45" t="s">
        <v>1</v>
      </c>
      <c r="W2" s="45" t="s">
        <v>2</v>
      </c>
      <c r="X2" s="46"/>
      <c r="Y2" s="47" t="s">
        <v>11</v>
      </c>
      <c r="Z2" s="48" t="s">
        <v>13</v>
      </c>
      <c r="AA2" s="318" t="s">
        <v>10</v>
      </c>
      <c r="AB2" s="320"/>
      <c r="AC2" s="59" t="s">
        <v>12</v>
      </c>
      <c r="AD2" s="49" t="s">
        <v>9</v>
      </c>
      <c r="AE2" s="49" t="s">
        <v>21</v>
      </c>
      <c r="AF2" s="55"/>
      <c r="AG2" s="56" t="s">
        <v>8</v>
      </c>
    </row>
    <row r="3" spans="1:35" s="12" customFormat="1" hidden="1" outlineLevel="1">
      <c r="A3" s="95">
        <v>45893</v>
      </c>
      <c r="B3" s="25" t="s">
        <v>17</v>
      </c>
      <c r="C3" s="29"/>
      <c r="D3" s="29">
        <v>0</v>
      </c>
      <c r="E3" s="29">
        <v>-3459</v>
      </c>
      <c r="G3" s="64"/>
      <c r="H3" s="63"/>
      <c r="I3" s="53"/>
      <c r="J3" s="26"/>
      <c r="K3" s="26">
        <v>-145</v>
      </c>
      <c r="M3" s="273"/>
      <c r="N3" s="311"/>
      <c r="O3" s="260"/>
      <c r="P3" s="261"/>
      <c r="Q3" s="262"/>
      <c r="R3" s="263"/>
      <c r="S3" s="313"/>
      <c r="T3" s="11"/>
      <c r="U3" s="53"/>
      <c r="V3" s="29"/>
      <c r="W3" s="26">
        <v>-3308</v>
      </c>
      <c r="X3" s="10"/>
      <c r="Y3" s="273"/>
      <c r="Z3" s="259"/>
      <c r="AA3" s="260"/>
      <c r="AB3" s="261"/>
      <c r="AC3" s="262"/>
      <c r="AD3" s="263"/>
      <c r="AE3" s="263"/>
      <c r="AG3" s="54"/>
      <c r="AI3" s="11"/>
    </row>
    <row r="4" spans="1:35" hidden="1" outlineLevel="1">
      <c r="A4" s="96">
        <v>45894</v>
      </c>
      <c r="B4" s="17" t="s">
        <v>18</v>
      </c>
      <c r="C4" s="23"/>
      <c r="D4" s="23">
        <f t="shared" ref="D4:D107" si="0">J4+V4</f>
        <v>0</v>
      </c>
      <c r="E4" s="23">
        <f>E3-C4+D4</f>
        <v>-3459</v>
      </c>
      <c r="G4" s="19"/>
      <c r="H4" s="62"/>
      <c r="I4" s="51" t="b">
        <f>IF(M6&lt;&gt;"",N6+O6,IF(M8&lt;&gt;"",N8+O8,IF(M256&lt;&gt;"",N256+O256,IF(M257&lt;&gt;"",N257+O257,IF(M258&lt;&gt;"",N258+O258,IF(M259&lt;&gt;"",N259+O259))))))</f>
        <v>0</v>
      </c>
      <c r="J4" s="18"/>
      <c r="K4" s="18">
        <f>J4-I4+K3</f>
        <v>-145</v>
      </c>
      <c r="M4" s="273"/>
      <c r="N4" s="311"/>
      <c r="O4" s="260"/>
      <c r="P4" s="261"/>
      <c r="Q4" s="262"/>
      <c r="R4" s="263"/>
      <c r="S4" s="313"/>
      <c r="U4" s="51">
        <f t="shared" ref="U4:U15" si="1">C4-I4</f>
        <v>0</v>
      </c>
      <c r="V4" s="23"/>
      <c r="W4" s="18">
        <f>V4-U4+W3</f>
        <v>-3308</v>
      </c>
      <c r="X4" s="2"/>
      <c r="Y4" s="273"/>
      <c r="Z4" s="259"/>
      <c r="AA4" s="260"/>
      <c r="AB4" s="261"/>
      <c r="AC4" s="262"/>
      <c r="AD4" s="263"/>
      <c r="AE4" s="263"/>
      <c r="AG4" s="52"/>
    </row>
    <row r="5" spans="1:35" hidden="1" outlineLevel="1">
      <c r="A5" s="96">
        <v>45895</v>
      </c>
      <c r="B5" s="17" t="s">
        <v>19</v>
      </c>
      <c r="C5" s="23"/>
      <c r="D5" s="23">
        <f t="shared" si="0"/>
        <v>0</v>
      </c>
      <c r="E5" s="23">
        <f t="shared" ref="E5:E43" si="2">E4-C5+D5</f>
        <v>-3459</v>
      </c>
      <c r="G5" s="19"/>
      <c r="H5" s="62"/>
      <c r="I5" s="51" t="b">
        <f>IF(M7&lt;&gt;"",N7+O7,IF(M9&lt;&gt;"",N9+O9,IF(M257&lt;&gt;"",N257+O257,IF(M258&lt;&gt;"",N258+O258,IF(M259&lt;&gt;"",N259+O259,IF(M260&lt;&gt;"",N260+O260))))))</f>
        <v>0</v>
      </c>
      <c r="J5" s="18"/>
      <c r="K5" s="18">
        <f t="shared" ref="K5:K43" si="3">J5-I5+K4</f>
        <v>-145</v>
      </c>
      <c r="M5" s="273"/>
      <c r="N5" s="311"/>
      <c r="O5" s="260"/>
      <c r="P5" s="261"/>
      <c r="Q5" s="262"/>
      <c r="R5" s="263"/>
      <c r="S5" s="313"/>
      <c r="U5" s="51">
        <f t="shared" si="1"/>
        <v>0</v>
      </c>
      <c r="V5" s="23"/>
      <c r="W5" s="18">
        <f t="shared" ref="W5:W43" si="4">V5-U5+W4</f>
        <v>-3308</v>
      </c>
      <c r="X5" s="2"/>
      <c r="Y5" s="273"/>
      <c r="Z5" s="259"/>
      <c r="AA5" s="260"/>
      <c r="AB5" s="261"/>
      <c r="AC5" s="262"/>
      <c r="AD5" s="263"/>
      <c r="AE5" s="263"/>
      <c r="AG5" s="52"/>
    </row>
    <row r="6" spans="1:35" hidden="1" outlineLevel="1">
      <c r="A6" s="96">
        <v>45896</v>
      </c>
      <c r="B6" s="17" t="s">
        <v>20</v>
      </c>
      <c r="C6" s="23"/>
      <c r="D6" s="23">
        <f t="shared" si="0"/>
        <v>0</v>
      </c>
      <c r="E6" s="23">
        <f t="shared" si="2"/>
        <v>-3459</v>
      </c>
      <c r="G6" s="19"/>
      <c r="H6" s="62"/>
      <c r="I6" s="51" t="b">
        <f>IF(M8&lt;&gt;"",N8+O8,IF(M10&lt;&gt;"",N10+O10,IF(M258&lt;&gt;"",N258+O258,IF(M259&lt;&gt;"",N259+O259,IF(M260&lt;&gt;"",N260+O260,IF(M261&lt;&gt;"",N261+O261))))))</f>
        <v>0</v>
      </c>
      <c r="J6" s="18"/>
      <c r="K6" s="18">
        <f t="shared" si="3"/>
        <v>-145</v>
      </c>
      <c r="M6" s="273"/>
      <c r="N6" s="311"/>
      <c r="O6" s="260"/>
      <c r="P6" s="261"/>
      <c r="Q6" s="262"/>
      <c r="R6" s="263"/>
      <c r="S6" s="313"/>
      <c r="U6" s="51">
        <f t="shared" si="1"/>
        <v>0</v>
      </c>
      <c r="V6" s="23"/>
      <c r="W6" s="18">
        <f t="shared" si="4"/>
        <v>-3308</v>
      </c>
      <c r="X6" s="2"/>
      <c r="Y6" s="273"/>
      <c r="Z6" s="259"/>
      <c r="AA6" s="260"/>
      <c r="AB6" s="261"/>
      <c r="AC6" s="262"/>
      <c r="AD6" s="263"/>
      <c r="AE6" s="263"/>
      <c r="AG6" s="52"/>
    </row>
    <row r="7" spans="1:35" hidden="1" outlineLevel="1">
      <c r="A7" s="96">
        <v>45897</v>
      </c>
      <c r="B7" s="17" t="s">
        <v>14</v>
      </c>
      <c r="C7" s="23"/>
      <c r="D7" s="23">
        <f t="shared" si="0"/>
        <v>0</v>
      </c>
      <c r="E7" s="23">
        <f t="shared" si="2"/>
        <v>-3459</v>
      </c>
      <c r="G7" s="19"/>
      <c r="H7" s="62"/>
      <c r="I7" s="51" t="b">
        <f>IF(M9&lt;&gt;"",N9+O9,IF(M11&lt;&gt;"",N11+O11,IF(M259&lt;&gt;"",N259+O259,IF(M260&lt;&gt;"",N260+O260,IF(M261&lt;&gt;"",N261+O261,IF(M262&lt;&gt;"",N262+O262))))))</f>
        <v>0</v>
      </c>
      <c r="J7" s="18"/>
      <c r="K7" s="18">
        <f t="shared" si="3"/>
        <v>-145</v>
      </c>
      <c r="M7" s="273"/>
      <c r="N7" s="311"/>
      <c r="O7" s="260"/>
      <c r="P7" s="261"/>
      <c r="Q7" s="262"/>
      <c r="R7" s="263"/>
      <c r="S7" s="313"/>
      <c r="U7" s="51">
        <f t="shared" si="1"/>
        <v>0</v>
      </c>
      <c r="V7" s="23"/>
      <c r="W7" s="18">
        <f t="shared" si="4"/>
        <v>-3308</v>
      </c>
      <c r="X7" s="2"/>
      <c r="Y7" s="273"/>
      <c r="Z7" s="259"/>
      <c r="AA7" s="260"/>
      <c r="AB7" s="261"/>
      <c r="AC7" s="262"/>
      <c r="AD7" s="263"/>
      <c r="AE7" s="263"/>
      <c r="AG7" s="52"/>
    </row>
    <row r="8" spans="1:35" hidden="1" outlineLevel="1">
      <c r="A8" s="96">
        <v>45898</v>
      </c>
      <c r="B8" s="17" t="s">
        <v>15</v>
      </c>
      <c r="C8" s="23"/>
      <c r="D8" s="23">
        <f t="shared" si="0"/>
        <v>0</v>
      </c>
      <c r="E8" s="23">
        <f t="shared" si="2"/>
        <v>-3459</v>
      </c>
      <c r="G8" s="19"/>
      <c r="H8" s="62"/>
      <c r="I8" s="51" t="b">
        <f>IF(M10&lt;&gt;"",N10+O10,IF(M12&lt;&gt;"",N12+O12,IF(M260&lt;&gt;"",N260+O260,IF(M261&lt;&gt;"",N261+O261,IF(M262&lt;&gt;"",N262+O262,IF(M263&lt;&gt;"",N263+O263))))))</f>
        <v>0</v>
      </c>
      <c r="J8" s="18"/>
      <c r="K8" s="18">
        <f t="shared" si="3"/>
        <v>-145</v>
      </c>
      <c r="M8" s="273"/>
      <c r="N8" s="311"/>
      <c r="O8" s="260"/>
      <c r="P8" s="261"/>
      <c r="Q8" s="262"/>
      <c r="R8" s="263"/>
      <c r="S8" s="313"/>
      <c r="U8" s="51">
        <f t="shared" si="1"/>
        <v>0</v>
      </c>
      <c r="V8" s="23"/>
      <c r="W8" s="18">
        <f t="shared" si="4"/>
        <v>-3308</v>
      </c>
      <c r="X8" s="2"/>
      <c r="Y8" s="273"/>
      <c r="Z8" s="259"/>
      <c r="AA8" s="260"/>
      <c r="AB8" s="261"/>
      <c r="AC8" s="262"/>
      <c r="AD8" s="263"/>
      <c r="AE8" s="263"/>
      <c r="AG8" s="52"/>
    </row>
    <row r="9" spans="1:35" s="12" customFormat="1" hidden="1" outlineLevel="1">
      <c r="A9" s="95">
        <v>45899</v>
      </c>
      <c r="B9" s="25" t="s">
        <v>16</v>
      </c>
      <c r="C9" s="29"/>
      <c r="D9" s="29">
        <f t="shared" si="0"/>
        <v>0</v>
      </c>
      <c r="E9" s="29">
        <f t="shared" si="2"/>
        <v>-3459</v>
      </c>
      <c r="G9" s="64"/>
      <c r="H9" s="63"/>
      <c r="I9" s="53"/>
      <c r="J9" s="26"/>
      <c r="K9" s="26">
        <f t="shared" si="3"/>
        <v>-145</v>
      </c>
      <c r="M9" s="304"/>
      <c r="N9" s="311"/>
      <c r="O9" s="260"/>
      <c r="P9" s="261"/>
      <c r="Q9" s="262"/>
      <c r="R9" s="263"/>
      <c r="S9" s="313"/>
      <c r="T9" s="11"/>
      <c r="U9" s="53"/>
      <c r="V9" s="29"/>
      <c r="W9" s="26">
        <f t="shared" si="4"/>
        <v>-3308</v>
      </c>
      <c r="X9" s="10"/>
      <c r="Y9" s="304"/>
      <c r="Z9" s="259"/>
      <c r="AA9" s="260"/>
      <c r="AB9" s="261"/>
      <c r="AC9" s="262"/>
      <c r="AD9" s="263"/>
      <c r="AE9" s="263"/>
      <c r="AG9" s="54"/>
      <c r="AI9" s="11"/>
    </row>
    <row r="10" spans="1:35" s="12" customFormat="1" hidden="1" outlineLevel="1" collapsed="1">
      <c r="A10" s="95">
        <v>45900</v>
      </c>
      <c r="B10" s="25" t="s">
        <v>17</v>
      </c>
      <c r="C10" s="29"/>
      <c r="D10" s="29">
        <f t="shared" si="0"/>
        <v>0</v>
      </c>
      <c r="E10" s="29">
        <f t="shared" si="2"/>
        <v>-3459</v>
      </c>
      <c r="G10" s="64"/>
      <c r="H10" s="63"/>
      <c r="I10" s="53"/>
      <c r="J10" s="26"/>
      <c r="K10" s="26">
        <f t="shared" si="3"/>
        <v>-145</v>
      </c>
      <c r="M10" s="304"/>
      <c r="N10" s="311"/>
      <c r="O10" s="260"/>
      <c r="P10" s="261"/>
      <c r="Q10" s="262"/>
      <c r="R10" s="263"/>
      <c r="S10" s="313"/>
      <c r="T10" s="11"/>
      <c r="U10" s="53"/>
      <c r="V10" s="29"/>
      <c r="W10" s="26">
        <f t="shared" si="4"/>
        <v>-3308</v>
      </c>
      <c r="X10" s="10"/>
      <c r="Y10" s="304"/>
      <c r="Z10" s="259"/>
      <c r="AA10" s="260"/>
      <c r="AB10" s="261"/>
      <c r="AC10" s="262"/>
      <c r="AD10" s="263"/>
      <c r="AE10" s="263"/>
      <c r="AG10" s="54"/>
      <c r="AI10" s="11"/>
    </row>
    <row r="11" spans="1:35" hidden="1" outlineLevel="1">
      <c r="A11" s="96">
        <v>45901</v>
      </c>
      <c r="B11" s="17" t="s">
        <v>18</v>
      </c>
      <c r="C11" s="23"/>
      <c r="D11" s="23">
        <f t="shared" si="0"/>
        <v>0</v>
      </c>
      <c r="E11" s="23">
        <f>E10-C11+D11</f>
        <v>-3459</v>
      </c>
      <c r="G11" s="19"/>
      <c r="H11" s="62"/>
      <c r="I11" s="51">
        <f t="shared" ref="I11:I20" si="5">IF(M13&lt;&gt;"",N13+O13,IF(M15&lt;&gt;"",N15+O15,IF(M263&lt;&gt;"",N263+O263,IF(M264&lt;&gt;"",N264+O264,IF(M265&lt;&gt;"",N265+O265,IF(M266&lt;&gt;"",N266+O266))))))</f>
        <v>0</v>
      </c>
      <c r="J11" s="18"/>
      <c r="K11" s="18">
        <f>J11-I11+K10</f>
        <v>-145</v>
      </c>
      <c r="M11" s="273"/>
      <c r="N11" s="311"/>
      <c r="O11" s="260"/>
      <c r="P11" s="261"/>
      <c r="Q11" s="262"/>
      <c r="R11" s="263"/>
      <c r="S11" s="313"/>
      <c r="U11" s="51">
        <f t="shared" si="1"/>
        <v>0</v>
      </c>
      <c r="V11" s="23"/>
      <c r="W11" s="18">
        <f>V11-U11+W10</f>
        <v>-3308</v>
      </c>
      <c r="X11" s="2"/>
      <c r="Y11" s="273"/>
      <c r="Z11" s="259"/>
      <c r="AA11" s="260"/>
      <c r="AB11" s="261"/>
      <c r="AC11" s="262"/>
      <c r="AD11" s="263"/>
      <c r="AE11" s="263"/>
      <c r="AG11" s="52"/>
    </row>
    <row r="12" spans="1:35" hidden="1" outlineLevel="1">
      <c r="A12" s="96">
        <v>45902</v>
      </c>
      <c r="B12" s="17" t="s">
        <v>19</v>
      </c>
      <c r="C12" s="23"/>
      <c r="D12" s="23">
        <f t="shared" si="0"/>
        <v>0</v>
      </c>
      <c r="E12" s="23">
        <f t="shared" si="2"/>
        <v>-3459</v>
      </c>
      <c r="G12" s="19"/>
      <c r="H12" s="62"/>
      <c r="I12" s="51">
        <f t="shared" si="5"/>
        <v>0</v>
      </c>
      <c r="J12" s="18"/>
      <c r="K12" s="18">
        <f t="shared" si="3"/>
        <v>-145</v>
      </c>
      <c r="M12" s="273"/>
      <c r="N12" s="311"/>
      <c r="O12" s="260"/>
      <c r="P12" s="261"/>
      <c r="Q12" s="262"/>
      <c r="R12" s="263"/>
      <c r="S12" s="313"/>
      <c r="U12" s="51">
        <f t="shared" si="1"/>
        <v>0</v>
      </c>
      <c r="V12" s="23"/>
      <c r="W12" s="18">
        <f t="shared" si="4"/>
        <v>-3308</v>
      </c>
      <c r="X12" s="2"/>
      <c r="Y12" s="273"/>
      <c r="Z12" s="259"/>
      <c r="AA12" s="260"/>
      <c r="AB12" s="261"/>
      <c r="AC12" s="262"/>
      <c r="AD12" s="263"/>
      <c r="AE12" s="263"/>
      <c r="AG12" s="52"/>
    </row>
    <row r="13" spans="1:35" hidden="1" outlineLevel="1">
      <c r="A13" s="96">
        <v>45903</v>
      </c>
      <c r="B13" s="17" t="s">
        <v>20</v>
      </c>
      <c r="C13" s="23"/>
      <c r="D13" s="23">
        <f t="shared" si="0"/>
        <v>0</v>
      </c>
      <c r="E13" s="23">
        <f t="shared" si="2"/>
        <v>-3459</v>
      </c>
      <c r="G13" s="19"/>
      <c r="H13" s="62"/>
      <c r="I13" s="51">
        <f t="shared" si="5"/>
        <v>0</v>
      </c>
      <c r="J13" s="18"/>
      <c r="K13" s="18">
        <f t="shared" si="3"/>
        <v>-145</v>
      </c>
      <c r="M13" s="304">
        <v>0</v>
      </c>
      <c r="N13" s="311"/>
      <c r="O13" s="260"/>
      <c r="P13" s="261"/>
      <c r="Q13" s="262"/>
      <c r="R13" s="263"/>
      <c r="S13" s="313"/>
      <c r="U13" s="51">
        <f t="shared" si="1"/>
        <v>0</v>
      </c>
      <c r="V13" s="23"/>
      <c r="W13" s="18">
        <f t="shared" si="4"/>
        <v>-3308</v>
      </c>
      <c r="X13" s="2"/>
      <c r="Y13" s="304">
        <v>0</v>
      </c>
      <c r="Z13" s="259"/>
      <c r="AA13" s="260"/>
      <c r="AB13" s="261"/>
      <c r="AC13" s="262"/>
      <c r="AD13" s="263"/>
      <c r="AE13" s="263"/>
      <c r="AG13" s="52"/>
    </row>
    <row r="14" spans="1:35" hidden="1" outlineLevel="1">
      <c r="A14" s="96">
        <v>45904</v>
      </c>
      <c r="B14" s="17" t="s">
        <v>14</v>
      </c>
      <c r="C14" s="23"/>
      <c r="D14" s="23">
        <f t="shared" si="0"/>
        <v>0</v>
      </c>
      <c r="E14" s="23">
        <f t="shared" si="2"/>
        <v>-3459</v>
      </c>
      <c r="G14" s="19"/>
      <c r="H14" s="62"/>
      <c r="I14" s="51">
        <f t="shared" si="5"/>
        <v>0</v>
      </c>
      <c r="J14" s="18"/>
      <c r="K14" s="18">
        <f t="shared" si="3"/>
        <v>-145</v>
      </c>
      <c r="M14" s="304">
        <v>0</v>
      </c>
      <c r="N14" s="311"/>
      <c r="O14" s="260"/>
      <c r="P14" s="261"/>
      <c r="Q14" s="262"/>
      <c r="R14" s="263"/>
      <c r="S14" s="313"/>
      <c r="U14" s="51">
        <f t="shared" si="1"/>
        <v>0</v>
      </c>
      <c r="V14" s="23"/>
      <c r="W14" s="18">
        <f t="shared" si="4"/>
        <v>-3308</v>
      </c>
      <c r="X14" s="2"/>
      <c r="Y14" s="304">
        <v>0</v>
      </c>
      <c r="Z14" s="259"/>
      <c r="AA14" s="260"/>
      <c r="AB14" s="261"/>
      <c r="AC14" s="262"/>
      <c r="AD14" s="263"/>
      <c r="AE14" s="263"/>
      <c r="AG14" s="52"/>
    </row>
    <row r="15" spans="1:35" hidden="1" outlineLevel="1">
      <c r="A15" s="96">
        <v>45905</v>
      </c>
      <c r="B15" s="17" t="s">
        <v>15</v>
      </c>
      <c r="C15" s="23"/>
      <c r="D15" s="23">
        <f t="shared" si="0"/>
        <v>0</v>
      </c>
      <c r="E15" s="23">
        <f t="shared" si="2"/>
        <v>-3459</v>
      </c>
      <c r="G15" s="19"/>
      <c r="H15" s="62"/>
      <c r="I15" s="51">
        <f t="shared" si="5"/>
        <v>0</v>
      </c>
      <c r="J15" s="18"/>
      <c r="K15" s="18">
        <f t="shared" si="3"/>
        <v>-145</v>
      </c>
      <c r="M15" s="304">
        <v>0</v>
      </c>
      <c r="N15" s="311"/>
      <c r="O15" s="260"/>
      <c r="P15" s="261"/>
      <c r="Q15" s="262"/>
      <c r="R15" s="263"/>
      <c r="S15" s="313"/>
      <c r="U15" s="51">
        <f t="shared" si="1"/>
        <v>0</v>
      </c>
      <c r="V15" s="23"/>
      <c r="W15" s="18">
        <f t="shared" si="4"/>
        <v>-3308</v>
      </c>
      <c r="X15" s="2"/>
      <c r="Y15" s="304">
        <v>0</v>
      </c>
      <c r="Z15" s="259"/>
      <c r="AA15" s="260"/>
      <c r="AB15" s="261"/>
      <c r="AC15" s="262"/>
      <c r="AD15" s="263"/>
      <c r="AE15" s="263"/>
      <c r="AG15" s="52"/>
    </row>
    <row r="16" spans="1:35" s="12" customFormat="1" hidden="1" outlineLevel="1">
      <c r="A16" s="95">
        <v>45906</v>
      </c>
      <c r="B16" s="25" t="s">
        <v>16</v>
      </c>
      <c r="C16" s="29"/>
      <c r="D16" s="29">
        <f t="shared" si="0"/>
        <v>0</v>
      </c>
      <c r="E16" s="29">
        <f t="shared" si="2"/>
        <v>-3459</v>
      </c>
      <c r="G16" s="64"/>
      <c r="H16" s="63"/>
      <c r="I16" s="53">
        <f t="shared" si="5"/>
        <v>0</v>
      </c>
      <c r="J16" s="26"/>
      <c r="K16" s="26">
        <f t="shared" si="3"/>
        <v>-145</v>
      </c>
      <c r="M16" s="304">
        <v>0</v>
      </c>
      <c r="N16" s="311"/>
      <c r="O16" s="260"/>
      <c r="P16" s="261"/>
      <c r="Q16" s="262"/>
      <c r="R16" s="263"/>
      <c r="S16" s="313"/>
      <c r="T16" s="11"/>
      <c r="U16" s="53"/>
      <c r="V16" s="29"/>
      <c r="W16" s="26">
        <f t="shared" si="4"/>
        <v>-3308</v>
      </c>
      <c r="X16" s="10"/>
      <c r="Y16" s="304">
        <v>0</v>
      </c>
      <c r="Z16" s="259"/>
      <c r="AA16" s="260"/>
      <c r="AB16" s="261"/>
      <c r="AC16" s="262"/>
      <c r="AD16" s="263"/>
      <c r="AE16" s="263"/>
      <c r="AG16" s="54"/>
      <c r="AI16" s="11"/>
    </row>
    <row r="17" spans="1:35" s="12" customFormat="1" hidden="1" outlineLevel="1" collapsed="1">
      <c r="A17" s="95">
        <v>45907</v>
      </c>
      <c r="B17" s="25" t="s">
        <v>17</v>
      </c>
      <c r="C17" s="29"/>
      <c r="D17" s="29">
        <f t="shared" si="0"/>
        <v>0</v>
      </c>
      <c r="E17" s="29">
        <f t="shared" si="2"/>
        <v>-3459</v>
      </c>
      <c r="G17" s="64"/>
      <c r="H17" s="63"/>
      <c r="I17" s="53">
        <f t="shared" si="5"/>
        <v>0</v>
      </c>
      <c r="J17" s="26"/>
      <c r="K17" s="26">
        <f t="shared" si="3"/>
        <v>-145</v>
      </c>
      <c r="M17" s="304">
        <v>0</v>
      </c>
      <c r="N17" s="311"/>
      <c r="O17" s="260"/>
      <c r="P17" s="261"/>
      <c r="Q17" s="262"/>
      <c r="R17" s="263"/>
      <c r="S17" s="313"/>
      <c r="T17" s="11"/>
      <c r="U17" s="53"/>
      <c r="V17" s="29"/>
      <c r="W17" s="26">
        <f t="shared" si="4"/>
        <v>-3308</v>
      </c>
      <c r="X17" s="10"/>
      <c r="Y17" s="304">
        <v>0</v>
      </c>
      <c r="Z17" s="259"/>
      <c r="AA17" s="260"/>
      <c r="AB17" s="261"/>
      <c r="AC17" s="262"/>
      <c r="AD17" s="263"/>
      <c r="AE17" s="263"/>
      <c r="AG17" s="54"/>
      <c r="AI17" s="11"/>
    </row>
    <row r="18" spans="1:35" hidden="1" outlineLevel="1">
      <c r="A18" s="96">
        <v>45908</v>
      </c>
      <c r="B18" s="17" t="s">
        <v>18</v>
      </c>
      <c r="C18" s="23"/>
      <c r="D18" s="23">
        <f t="shared" si="0"/>
        <v>0</v>
      </c>
      <c r="E18" s="23">
        <f t="shared" si="2"/>
        <v>-3459</v>
      </c>
      <c r="G18" s="19"/>
      <c r="H18" s="62"/>
      <c r="I18" s="51">
        <f t="shared" si="5"/>
        <v>0</v>
      </c>
      <c r="J18" s="18"/>
      <c r="K18" s="18">
        <f t="shared" si="3"/>
        <v>-145</v>
      </c>
      <c r="M18" s="304">
        <v>0</v>
      </c>
      <c r="N18" s="311"/>
      <c r="O18" s="260"/>
      <c r="P18" s="261"/>
      <c r="Q18" s="262"/>
      <c r="R18" s="263"/>
      <c r="S18" s="313"/>
      <c r="U18" s="51">
        <f t="shared" ref="U18:U43" si="6">C18-I18</f>
        <v>0</v>
      </c>
      <c r="V18" s="23"/>
      <c r="W18" s="18">
        <f t="shared" si="4"/>
        <v>-3308</v>
      </c>
      <c r="X18" s="2"/>
      <c r="Y18" s="304">
        <v>0</v>
      </c>
      <c r="Z18" s="259"/>
      <c r="AA18" s="260"/>
      <c r="AB18" s="261"/>
      <c r="AC18" s="262"/>
      <c r="AD18" s="263"/>
      <c r="AE18" s="263"/>
      <c r="AG18" s="52"/>
    </row>
    <row r="19" spans="1:35" hidden="1" outlineLevel="1">
      <c r="A19" s="96">
        <v>45909</v>
      </c>
      <c r="B19" s="17" t="s">
        <v>19</v>
      </c>
      <c r="C19" s="23"/>
      <c r="D19" s="23">
        <f t="shared" si="0"/>
        <v>0</v>
      </c>
      <c r="E19" s="23">
        <f t="shared" si="2"/>
        <v>-3459</v>
      </c>
      <c r="G19" s="19"/>
      <c r="H19" s="62"/>
      <c r="I19" s="51">
        <f t="shared" si="5"/>
        <v>0</v>
      </c>
      <c r="J19" s="18"/>
      <c r="K19" s="18">
        <f t="shared" si="3"/>
        <v>-145</v>
      </c>
      <c r="M19" s="304">
        <v>0</v>
      </c>
      <c r="N19" s="311"/>
      <c r="O19" s="260"/>
      <c r="P19" s="261"/>
      <c r="Q19" s="262"/>
      <c r="R19" s="263"/>
      <c r="S19" s="313"/>
      <c r="U19" s="51">
        <f t="shared" si="6"/>
        <v>0</v>
      </c>
      <c r="V19" s="23"/>
      <c r="W19" s="18">
        <f t="shared" si="4"/>
        <v>-3308</v>
      </c>
      <c r="X19" s="2"/>
      <c r="Y19" s="304">
        <v>0</v>
      </c>
      <c r="Z19" s="259"/>
      <c r="AA19" s="260"/>
      <c r="AB19" s="261"/>
      <c r="AC19" s="262"/>
      <c r="AD19" s="263"/>
      <c r="AE19" s="263"/>
      <c r="AG19" s="52"/>
    </row>
    <row r="20" spans="1:35" hidden="1" outlineLevel="1">
      <c r="A20" s="96">
        <v>45910</v>
      </c>
      <c r="B20" s="17" t="s">
        <v>20</v>
      </c>
      <c r="C20" s="23"/>
      <c r="D20" s="23">
        <f t="shared" si="0"/>
        <v>0</v>
      </c>
      <c r="E20" s="23">
        <f t="shared" si="2"/>
        <v>-3459</v>
      </c>
      <c r="G20" s="19"/>
      <c r="H20" s="62"/>
      <c r="I20" s="51">
        <f t="shared" si="5"/>
        <v>0</v>
      </c>
      <c r="J20" s="18"/>
      <c r="K20" s="18">
        <f t="shared" si="3"/>
        <v>-145</v>
      </c>
      <c r="M20" s="304">
        <v>0</v>
      </c>
      <c r="N20" s="311"/>
      <c r="O20" s="260"/>
      <c r="P20" s="261"/>
      <c r="Q20" s="262"/>
      <c r="R20" s="263"/>
      <c r="S20" s="313"/>
      <c r="U20" s="51">
        <f t="shared" si="6"/>
        <v>0</v>
      </c>
      <c r="V20" s="23"/>
      <c r="W20" s="18">
        <f t="shared" si="4"/>
        <v>-3308</v>
      </c>
      <c r="X20" s="2"/>
      <c r="Y20" s="304">
        <v>0</v>
      </c>
      <c r="Z20" s="259"/>
      <c r="AA20" s="260"/>
      <c r="AB20" s="261"/>
      <c r="AC20" s="262"/>
      <c r="AD20" s="263"/>
      <c r="AE20" s="263"/>
      <c r="AG20" s="52"/>
    </row>
    <row r="21" spans="1:35" hidden="1" outlineLevel="1">
      <c r="A21" s="96">
        <v>45911</v>
      </c>
      <c r="B21" s="17" t="s">
        <v>14</v>
      </c>
      <c r="C21" s="23"/>
      <c r="D21" s="23">
        <f t="shared" si="0"/>
        <v>0</v>
      </c>
      <c r="E21" s="23">
        <f t="shared" si="2"/>
        <v>-3459</v>
      </c>
      <c r="G21" s="19"/>
      <c r="H21" s="62"/>
      <c r="I21" s="51">
        <f>M26</f>
        <v>0</v>
      </c>
      <c r="J21" s="18"/>
      <c r="K21" s="18">
        <f t="shared" si="3"/>
        <v>-145</v>
      </c>
      <c r="M21" s="304">
        <v>0</v>
      </c>
      <c r="N21" s="311"/>
      <c r="O21" s="260"/>
      <c r="P21" s="261"/>
      <c r="Q21" s="262"/>
      <c r="R21" s="263"/>
      <c r="S21" s="313"/>
      <c r="U21" s="51">
        <f t="shared" si="6"/>
        <v>0</v>
      </c>
      <c r="V21" s="23"/>
      <c r="W21" s="18">
        <f t="shared" si="4"/>
        <v>-3308</v>
      </c>
      <c r="X21" s="2"/>
      <c r="Y21" s="304">
        <v>0</v>
      </c>
      <c r="Z21" s="259"/>
      <c r="AA21" s="260"/>
      <c r="AB21" s="261"/>
      <c r="AC21" s="262"/>
      <c r="AD21" s="263"/>
      <c r="AE21" s="263"/>
      <c r="AG21" s="52"/>
    </row>
    <row r="22" spans="1:35" hidden="1" outlineLevel="1">
      <c r="A22" s="96">
        <v>45912</v>
      </c>
      <c r="B22" s="17" t="s">
        <v>15</v>
      </c>
      <c r="C22" s="23"/>
      <c r="D22" s="23">
        <f t="shared" si="0"/>
        <v>0</v>
      </c>
      <c r="E22" s="23">
        <f t="shared" si="2"/>
        <v>-3459</v>
      </c>
      <c r="G22" s="19"/>
      <c r="H22" s="62"/>
      <c r="I22" s="51">
        <f>M27</f>
        <v>0</v>
      </c>
      <c r="J22" s="18"/>
      <c r="K22" s="18">
        <f t="shared" si="3"/>
        <v>-145</v>
      </c>
      <c r="M22" s="304">
        <v>0</v>
      </c>
      <c r="N22" s="311"/>
      <c r="O22" s="260"/>
      <c r="P22" s="261"/>
      <c r="Q22" s="262"/>
      <c r="R22" s="263"/>
      <c r="S22" s="313"/>
      <c r="U22" s="51">
        <f t="shared" si="6"/>
        <v>0</v>
      </c>
      <c r="V22" s="23"/>
      <c r="W22" s="18">
        <f t="shared" si="4"/>
        <v>-3308</v>
      </c>
      <c r="X22" s="2"/>
      <c r="Y22" s="304">
        <v>0</v>
      </c>
      <c r="Z22" s="259"/>
      <c r="AA22" s="260"/>
      <c r="AB22" s="261"/>
      <c r="AC22" s="262"/>
      <c r="AD22" s="263"/>
      <c r="AE22" s="263"/>
      <c r="AG22" s="52"/>
    </row>
    <row r="23" spans="1:35" s="12" customFormat="1" hidden="1" outlineLevel="1">
      <c r="A23" s="95">
        <v>45913</v>
      </c>
      <c r="B23" s="25" t="s">
        <v>16</v>
      </c>
      <c r="C23" s="29"/>
      <c r="D23" s="29">
        <f t="shared" si="0"/>
        <v>0</v>
      </c>
      <c r="E23" s="29">
        <f t="shared" si="2"/>
        <v>-3459</v>
      </c>
      <c r="G23" s="64"/>
      <c r="H23" s="63"/>
      <c r="I23" s="53"/>
      <c r="J23" s="26"/>
      <c r="K23" s="26">
        <f t="shared" si="3"/>
        <v>-145</v>
      </c>
      <c r="M23" s="304">
        <v>0</v>
      </c>
      <c r="N23" s="311"/>
      <c r="O23" s="260"/>
      <c r="P23" s="261"/>
      <c r="Q23" s="262"/>
      <c r="R23" s="263"/>
      <c r="S23" s="313"/>
      <c r="T23" s="11"/>
      <c r="U23" s="53"/>
      <c r="V23" s="29"/>
      <c r="W23" s="26">
        <f t="shared" si="4"/>
        <v>-3308</v>
      </c>
      <c r="X23" s="10"/>
      <c r="Y23" s="304">
        <v>0</v>
      </c>
      <c r="Z23" s="259"/>
      <c r="AA23" s="260"/>
      <c r="AB23" s="261"/>
      <c r="AC23" s="262"/>
      <c r="AD23" s="263"/>
      <c r="AE23" s="263"/>
      <c r="AG23" s="54"/>
      <c r="AI23" s="11"/>
    </row>
    <row r="24" spans="1:35" s="12" customFormat="1" hidden="1" outlineLevel="1">
      <c r="A24" s="95">
        <v>45914</v>
      </c>
      <c r="B24" s="25" t="s">
        <v>17</v>
      </c>
      <c r="C24" s="29"/>
      <c r="D24" s="29">
        <f t="shared" si="0"/>
        <v>0</v>
      </c>
      <c r="E24" s="29">
        <f t="shared" si="2"/>
        <v>-3459</v>
      </c>
      <c r="G24" s="64"/>
      <c r="H24" s="63"/>
      <c r="I24" s="53"/>
      <c r="J24" s="26"/>
      <c r="K24" s="26">
        <f t="shared" si="3"/>
        <v>-145</v>
      </c>
      <c r="M24" s="304">
        <v>0</v>
      </c>
      <c r="N24" s="311"/>
      <c r="O24" s="260"/>
      <c r="P24" s="261"/>
      <c r="Q24" s="262"/>
      <c r="R24" s="263"/>
      <c r="S24" s="313"/>
      <c r="T24" s="11"/>
      <c r="U24" s="53"/>
      <c r="V24" s="29"/>
      <c r="W24" s="26">
        <f t="shared" si="4"/>
        <v>-3308</v>
      </c>
      <c r="X24" s="10"/>
      <c r="Y24" s="304">
        <v>0</v>
      </c>
      <c r="Z24" s="259"/>
      <c r="AA24" s="260"/>
      <c r="AB24" s="261"/>
      <c r="AC24" s="262"/>
      <c r="AD24" s="263"/>
      <c r="AE24" s="263"/>
      <c r="AG24" s="54"/>
      <c r="AI24" s="11"/>
    </row>
    <row r="25" spans="1:35" s="12" customFormat="1" collapsed="1">
      <c r="A25" s="95">
        <v>45915</v>
      </c>
      <c r="B25" s="25" t="s">
        <v>18</v>
      </c>
      <c r="C25" s="29"/>
      <c r="D25" s="29">
        <f t="shared" si="0"/>
        <v>0</v>
      </c>
      <c r="E25" s="29">
        <f t="shared" si="2"/>
        <v>-3459</v>
      </c>
      <c r="G25" s="64"/>
      <c r="H25" s="63"/>
      <c r="I25" s="53"/>
      <c r="J25" s="26"/>
      <c r="K25" s="26">
        <f t="shared" si="3"/>
        <v>-145</v>
      </c>
      <c r="M25" s="304">
        <v>0</v>
      </c>
      <c r="N25" s="311"/>
      <c r="O25" s="260"/>
      <c r="P25" s="261"/>
      <c r="Q25" s="262"/>
      <c r="R25" s="263"/>
      <c r="S25" s="313"/>
      <c r="T25" s="11"/>
      <c r="U25" s="53"/>
      <c r="V25" s="29"/>
      <c r="W25" s="26">
        <f t="shared" si="4"/>
        <v>-3308</v>
      </c>
      <c r="X25" s="10"/>
      <c r="Y25" s="304">
        <v>0</v>
      </c>
      <c r="Z25" s="259"/>
      <c r="AA25" s="260"/>
      <c r="AB25" s="261"/>
      <c r="AC25" s="262"/>
      <c r="AD25" s="263"/>
      <c r="AE25" s="263"/>
      <c r="AG25" s="54"/>
      <c r="AI25" s="11"/>
    </row>
    <row r="26" spans="1:35">
      <c r="A26" s="96">
        <v>45916</v>
      </c>
      <c r="B26" s="17" t="s">
        <v>19</v>
      </c>
      <c r="C26" s="23"/>
      <c r="D26" s="23">
        <f t="shared" si="0"/>
        <v>0</v>
      </c>
      <c r="E26" s="23">
        <f t="shared" si="2"/>
        <v>-3459</v>
      </c>
      <c r="G26" s="19"/>
      <c r="H26" s="62"/>
      <c r="I26" s="51">
        <f t="shared" ref="I26:I48" si="7">IF(M28&lt;&gt;"",N28+O28,IF(M30&lt;&gt;"",N30+O30,IF(M278&lt;&gt;"",N278+O278,IF(M279&lt;&gt;"",N279+O279,IF(M280&lt;&gt;"",N280+O280,IF(M281&lt;&gt;"",N281+O281))))))</f>
        <v>0</v>
      </c>
      <c r="J26" s="18"/>
      <c r="K26" s="18">
        <f t="shared" si="3"/>
        <v>-145</v>
      </c>
      <c r="M26" s="304">
        <v>0</v>
      </c>
      <c r="N26" s="311"/>
      <c r="O26" s="260"/>
      <c r="P26" s="261"/>
      <c r="Q26" s="262"/>
      <c r="R26" s="263"/>
      <c r="S26" s="313"/>
      <c r="U26" s="51">
        <f t="shared" si="6"/>
        <v>0</v>
      </c>
      <c r="V26" s="23"/>
      <c r="W26" s="18">
        <f t="shared" si="4"/>
        <v>-3308</v>
      </c>
      <c r="X26" s="2"/>
      <c r="Y26" s="304">
        <v>0</v>
      </c>
      <c r="Z26" s="259"/>
      <c r="AA26" s="260"/>
      <c r="AB26" s="261"/>
      <c r="AC26" s="262"/>
      <c r="AD26" s="263"/>
      <c r="AE26" s="263"/>
      <c r="AG26" s="52"/>
    </row>
    <row r="27" spans="1:35">
      <c r="A27" s="96">
        <v>45917</v>
      </c>
      <c r="B27" s="17" t="s">
        <v>20</v>
      </c>
      <c r="C27" s="23"/>
      <c r="D27" s="23">
        <f t="shared" si="0"/>
        <v>0</v>
      </c>
      <c r="E27" s="23">
        <f t="shared" si="2"/>
        <v>-3459</v>
      </c>
      <c r="G27" s="19"/>
      <c r="H27" s="62"/>
      <c r="I27" s="51">
        <f t="shared" si="7"/>
        <v>0</v>
      </c>
      <c r="J27" s="18"/>
      <c r="K27" s="18">
        <f t="shared" si="3"/>
        <v>-145</v>
      </c>
      <c r="M27" s="304">
        <v>0</v>
      </c>
      <c r="N27" s="311"/>
      <c r="O27" s="260"/>
      <c r="P27" s="261"/>
      <c r="Q27" s="262"/>
      <c r="R27" s="263"/>
      <c r="S27" s="313"/>
      <c r="U27" s="51">
        <f t="shared" si="6"/>
        <v>0</v>
      </c>
      <c r="V27" s="23"/>
      <c r="W27" s="18">
        <f t="shared" si="4"/>
        <v>-3308</v>
      </c>
      <c r="X27" s="2"/>
      <c r="Y27" s="304">
        <v>0</v>
      </c>
      <c r="Z27" s="259"/>
      <c r="AA27" s="260"/>
      <c r="AB27" s="261"/>
      <c r="AC27" s="262"/>
      <c r="AD27" s="263"/>
      <c r="AE27" s="263"/>
      <c r="AG27" s="52"/>
    </row>
    <row r="28" spans="1:35">
      <c r="A28" s="96">
        <v>45918</v>
      </c>
      <c r="B28" s="17" t="s">
        <v>14</v>
      </c>
      <c r="C28" s="23"/>
      <c r="D28" s="23">
        <f t="shared" si="0"/>
        <v>0</v>
      </c>
      <c r="E28" s="23">
        <f t="shared" si="2"/>
        <v>-3459</v>
      </c>
      <c r="G28" s="19"/>
      <c r="H28" s="62"/>
      <c r="I28" s="51">
        <f t="shared" si="7"/>
        <v>0</v>
      </c>
      <c r="J28" s="18"/>
      <c r="K28" s="18">
        <f t="shared" si="3"/>
        <v>-145</v>
      </c>
      <c r="M28" s="304">
        <v>0</v>
      </c>
      <c r="N28" s="311"/>
      <c r="O28" s="260"/>
      <c r="P28" s="261"/>
      <c r="Q28" s="262"/>
      <c r="R28" s="263"/>
      <c r="S28" s="313"/>
      <c r="U28" s="51">
        <f t="shared" si="6"/>
        <v>0</v>
      </c>
      <c r="V28" s="23"/>
      <c r="W28" s="18">
        <f t="shared" si="4"/>
        <v>-3308</v>
      </c>
      <c r="X28" s="2"/>
      <c r="Y28" s="304">
        <v>0</v>
      </c>
      <c r="Z28" s="259"/>
      <c r="AA28" s="260"/>
      <c r="AB28" s="261"/>
      <c r="AC28" s="262"/>
      <c r="AD28" s="263"/>
      <c r="AE28" s="263"/>
      <c r="AG28" s="52"/>
    </row>
    <row r="29" spans="1:35">
      <c r="A29" s="96">
        <v>45919</v>
      </c>
      <c r="B29" s="17" t="s">
        <v>15</v>
      </c>
      <c r="C29" s="23"/>
      <c r="D29" s="23">
        <f t="shared" si="0"/>
        <v>0</v>
      </c>
      <c r="E29" s="23">
        <f t="shared" si="2"/>
        <v>-3459</v>
      </c>
      <c r="G29" s="19"/>
      <c r="H29" s="62"/>
      <c r="I29" s="51">
        <f t="shared" si="7"/>
        <v>0</v>
      </c>
      <c r="J29" s="18"/>
      <c r="K29" s="18">
        <f t="shared" si="3"/>
        <v>-145</v>
      </c>
      <c r="M29" s="304">
        <v>0</v>
      </c>
      <c r="N29" s="311"/>
      <c r="O29" s="260"/>
      <c r="P29" s="261"/>
      <c r="Q29" s="262"/>
      <c r="R29" s="263"/>
      <c r="S29" s="313"/>
      <c r="U29" s="51">
        <f t="shared" si="6"/>
        <v>0</v>
      </c>
      <c r="V29" s="23"/>
      <c r="W29" s="18">
        <f t="shared" si="4"/>
        <v>-3308</v>
      </c>
      <c r="X29" s="2"/>
      <c r="Y29" s="304">
        <v>0</v>
      </c>
      <c r="Z29" s="259"/>
      <c r="AA29" s="260"/>
      <c r="AB29" s="261"/>
      <c r="AC29" s="262"/>
      <c r="AD29" s="263"/>
      <c r="AE29" s="263"/>
      <c r="AG29" s="52"/>
    </row>
    <row r="30" spans="1:35" s="12" customFormat="1">
      <c r="A30" s="95">
        <v>45920</v>
      </c>
      <c r="B30" s="25" t="s">
        <v>16</v>
      </c>
      <c r="C30" s="29"/>
      <c r="D30" s="29">
        <f t="shared" si="0"/>
        <v>0</v>
      </c>
      <c r="E30" s="29">
        <f t="shared" si="2"/>
        <v>-3459</v>
      </c>
      <c r="G30" s="64"/>
      <c r="H30" s="63"/>
      <c r="I30" s="53">
        <f t="shared" si="7"/>
        <v>0</v>
      </c>
      <c r="J30" s="26"/>
      <c r="K30" s="26">
        <f t="shared" si="3"/>
        <v>-145</v>
      </c>
      <c r="M30" s="304">
        <v>0</v>
      </c>
      <c r="N30" s="311"/>
      <c r="O30" s="260"/>
      <c r="P30" s="261"/>
      <c r="Q30" s="262"/>
      <c r="R30" s="263"/>
      <c r="S30" s="313"/>
      <c r="T30" s="11"/>
      <c r="U30" s="53"/>
      <c r="V30" s="29"/>
      <c r="W30" s="26">
        <f t="shared" si="4"/>
        <v>-3308</v>
      </c>
      <c r="X30" s="10"/>
      <c r="Y30" s="304">
        <v>0</v>
      </c>
      <c r="Z30" s="259"/>
      <c r="AA30" s="260"/>
      <c r="AB30" s="261"/>
      <c r="AC30" s="262"/>
      <c r="AD30" s="263"/>
      <c r="AE30" s="263"/>
      <c r="AG30" s="54"/>
      <c r="AI30" s="11"/>
    </row>
    <row r="31" spans="1:35" s="12" customFormat="1">
      <c r="A31" s="95">
        <v>45921</v>
      </c>
      <c r="B31" s="25" t="s">
        <v>17</v>
      </c>
      <c r="C31" s="29"/>
      <c r="D31" s="29">
        <f t="shared" si="0"/>
        <v>0</v>
      </c>
      <c r="E31" s="29">
        <f t="shared" si="2"/>
        <v>-3459</v>
      </c>
      <c r="G31" s="64"/>
      <c r="H31" s="63"/>
      <c r="I31" s="53">
        <f t="shared" si="7"/>
        <v>0</v>
      </c>
      <c r="J31" s="26"/>
      <c r="K31" s="26">
        <f t="shared" si="3"/>
        <v>-145</v>
      </c>
      <c r="M31" s="304">
        <v>0</v>
      </c>
      <c r="N31" s="311"/>
      <c r="O31" s="260"/>
      <c r="P31" s="261"/>
      <c r="Q31" s="262"/>
      <c r="R31" s="263"/>
      <c r="S31" s="313"/>
      <c r="T31" s="11"/>
      <c r="U31" s="53"/>
      <c r="V31" s="29"/>
      <c r="W31" s="26">
        <f t="shared" si="4"/>
        <v>-3308</v>
      </c>
      <c r="X31" s="10"/>
      <c r="Y31" s="304">
        <v>0</v>
      </c>
      <c r="Z31" s="259"/>
      <c r="AA31" s="260"/>
      <c r="AB31" s="261"/>
      <c r="AC31" s="262"/>
      <c r="AD31" s="263"/>
      <c r="AE31" s="263"/>
      <c r="AG31" s="54"/>
      <c r="AI31" s="11"/>
    </row>
    <row r="32" spans="1:35">
      <c r="A32" s="96">
        <v>45922</v>
      </c>
      <c r="B32" s="17" t="s">
        <v>18</v>
      </c>
      <c r="C32" s="136">
        <v>9</v>
      </c>
      <c r="D32" s="23">
        <f t="shared" si="0"/>
        <v>0</v>
      </c>
      <c r="E32" s="23">
        <f t="shared" si="2"/>
        <v>-3468</v>
      </c>
      <c r="G32" s="19"/>
      <c r="H32" s="62"/>
      <c r="I32" s="51">
        <f t="shared" si="7"/>
        <v>6</v>
      </c>
      <c r="J32" s="18"/>
      <c r="K32" s="18">
        <f t="shared" si="3"/>
        <v>-151</v>
      </c>
      <c r="M32" s="304">
        <v>0</v>
      </c>
      <c r="N32" s="311"/>
      <c r="O32" s="260"/>
      <c r="P32" s="261"/>
      <c r="Q32" s="262"/>
      <c r="R32" s="263">
        <f t="shared" ref="R32:R43" si="8">R31-M32+Q32</f>
        <v>0</v>
      </c>
      <c r="S32" s="313">
        <f t="shared" ref="S32:S43" si="9">S31-M32+N32</f>
        <v>0</v>
      </c>
      <c r="U32" s="51">
        <f t="shared" si="6"/>
        <v>3</v>
      </c>
      <c r="V32" s="23"/>
      <c r="W32" s="18">
        <f t="shared" si="4"/>
        <v>-3311</v>
      </c>
      <c r="X32" s="2"/>
      <c r="Y32" s="304">
        <v>0</v>
      </c>
      <c r="Z32" s="259"/>
      <c r="AA32" s="260"/>
      <c r="AB32" s="261"/>
      <c r="AC32" s="262"/>
      <c r="AD32" s="263">
        <f t="shared" ref="AD32:AD43" si="10">AD31-Y32+AC32</f>
        <v>0</v>
      </c>
      <c r="AE32" s="263">
        <v>0</v>
      </c>
      <c r="AG32" s="52"/>
    </row>
    <row r="33" spans="1:35">
      <c r="A33" s="96">
        <v>45923</v>
      </c>
      <c r="B33" s="17" t="s">
        <v>19</v>
      </c>
      <c r="C33" s="136">
        <v>0</v>
      </c>
      <c r="D33" s="23">
        <f t="shared" si="0"/>
        <v>0</v>
      </c>
      <c r="E33" s="23">
        <f t="shared" si="2"/>
        <v>-3468</v>
      </c>
      <c r="G33" s="19"/>
      <c r="H33" s="62"/>
      <c r="I33" s="51">
        <f t="shared" si="7"/>
        <v>0</v>
      </c>
      <c r="J33" s="18"/>
      <c r="K33" s="18">
        <f t="shared" si="3"/>
        <v>-151</v>
      </c>
      <c r="M33" s="304">
        <v>0</v>
      </c>
      <c r="N33" s="311"/>
      <c r="O33" s="260"/>
      <c r="P33" s="261"/>
      <c r="Q33" s="262"/>
      <c r="R33" s="263">
        <f t="shared" si="8"/>
        <v>0</v>
      </c>
      <c r="S33" s="313">
        <f t="shared" si="9"/>
        <v>0</v>
      </c>
      <c r="U33" s="51">
        <f t="shared" si="6"/>
        <v>0</v>
      </c>
      <c r="V33" s="23"/>
      <c r="W33" s="18">
        <f t="shared" si="4"/>
        <v>-3311</v>
      </c>
      <c r="X33" s="2"/>
      <c r="Y33" s="78">
        <v>0</v>
      </c>
      <c r="Z33" s="62">
        <f t="shared" ref="Z33:Z43" si="11">IF(U31&lt;&gt;"",U31+AA33,IF(U29&lt;&gt;"",U29+AA33,IF(U28&lt;&gt;"",U28+AA33,IF(U27&lt;&gt;"",U27+AA33,IF(U26&lt;&gt;"",U26+AA33,IF(U25&lt;&gt;"",U25+AA33))))))</f>
        <v>0</v>
      </c>
      <c r="AA33" s="20"/>
      <c r="AB33" s="21"/>
      <c r="AC33" s="42"/>
      <c r="AD33" s="23">
        <f t="shared" si="10"/>
        <v>0</v>
      </c>
      <c r="AE33" s="23">
        <f t="shared" ref="AE33:AE43" si="12">AE32-Y33+Z33</f>
        <v>0</v>
      </c>
      <c r="AG33" s="52"/>
    </row>
    <row r="34" spans="1:35">
      <c r="A34" s="96">
        <v>45924</v>
      </c>
      <c r="B34" s="17" t="s">
        <v>20</v>
      </c>
      <c r="C34" s="136">
        <v>0</v>
      </c>
      <c r="D34" s="23">
        <f t="shared" si="0"/>
        <v>0</v>
      </c>
      <c r="E34" s="23">
        <f t="shared" si="2"/>
        <v>-3468</v>
      </c>
      <c r="G34" s="19"/>
      <c r="H34" s="62"/>
      <c r="I34" s="51">
        <f t="shared" si="7"/>
        <v>0</v>
      </c>
      <c r="J34" s="18"/>
      <c r="K34" s="18">
        <f t="shared" si="3"/>
        <v>-151</v>
      </c>
      <c r="M34" s="78">
        <v>6</v>
      </c>
      <c r="N34" s="65">
        <f t="shared" ref="N34:N36" si="13">M34</f>
        <v>6</v>
      </c>
      <c r="O34" s="20"/>
      <c r="P34" s="21"/>
      <c r="Q34" s="42"/>
      <c r="R34" s="23">
        <f t="shared" si="8"/>
        <v>-6</v>
      </c>
      <c r="S34" s="52">
        <f t="shared" si="9"/>
        <v>0</v>
      </c>
      <c r="U34" s="51">
        <f t="shared" si="6"/>
        <v>0</v>
      </c>
      <c r="V34" s="23"/>
      <c r="W34" s="18">
        <f t="shared" si="4"/>
        <v>-3311</v>
      </c>
      <c r="X34" s="2"/>
      <c r="Y34" s="78">
        <v>3</v>
      </c>
      <c r="Z34" s="62">
        <f t="shared" si="11"/>
        <v>3</v>
      </c>
      <c r="AA34" s="20"/>
      <c r="AB34" s="21"/>
      <c r="AC34" s="42"/>
      <c r="AD34" s="23">
        <f t="shared" si="10"/>
        <v>-3</v>
      </c>
      <c r="AE34" s="23">
        <f t="shared" si="12"/>
        <v>0</v>
      </c>
      <c r="AG34" s="52"/>
    </row>
    <row r="35" spans="1:35">
      <c r="A35" s="96">
        <v>45925</v>
      </c>
      <c r="B35" s="17" t="s">
        <v>14</v>
      </c>
      <c r="C35" s="136">
        <v>57</v>
      </c>
      <c r="D35" s="23">
        <f t="shared" si="0"/>
        <v>0</v>
      </c>
      <c r="E35" s="23">
        <f t="shared" si="2"/>
        <v>-3525</v>
      </c>
      <c r="G35" s="19"/>
      <c r="H35" s="62"/>
      <c r="I35" s="51">
        <f t="shared" si="7"/>
        <v>6</v>
      </c>
      <c r="J35" s="18"/>
      <c r="K35" s="18">
        <f t="shared" si="3"/>
        <v>-157</v>
      </c>
      <c r="M35" s="78">
        <v>0</v>
      </c>
      <c r="N35" s="65">
        <f t="shared" si="13"/>
        <v>0</v>
      </c>
      <c r="O35" s="20"/>
      <c r="P35" s="21"/>
      <c r="Q35" s="42"/>
      <c r="R35" s="23">
        <f t="shared" si="8"/>
        <v>-6</v>
      </c>
      <c r="S35" s="52">
        <f t="shared" si="9"/>
        <v>0</v>
      </c>
      <c r="U35" s="51">
        <f t="shared" si="6"/>
        <v>51</v>
      </c>
      <c r="V35" s="23"/>
      <c r="W35" s="18">
        <f t="shared" si="4"/>
        <v>-3362</v>
      </c>
      <c r="X35" s="2"/>
      <c r="Y35" s="78">
        <v>0</v>
      </c>
      <c r="Z35" s="62">
        <f t="shared" si="11"/>
        <v>0</v>
      </c>
      <c r="AA35" s="20"/>
      <c r="AB35" s="21"/>
      <c r="AC35" s="42"/>
      <c r="AD35" s="23">
        <f t="shared" si="10"/>
        <v>-3</v>
      </c>
      <c r="AE35" s="23">
        <f t="shared" si="12"/>
        <v>0</v>
      </c>
      <c r="AG35" s="52"/>
    </row>
    <row r="36" spans="1:35">
      <c r="A36" s="96">
        <v>45926</v>
      </c>
      <c r="B36" s="17" t="s">
        <v>15</v>
      </c>
      <c r="C36" s="136">
        <v>54</v>
      </c>
      <c r="D36" s="23">
        <f t="shared" si="0"/>
        <v>0</v>
      </c>
      <c r="E36" s="23">
        <f t="shared" si="2"/>
        <v>-3579</v>
      </c>
      <c r="G36" s="19"/>
      <c r="H36" s="62"/>
      <c r="I36" s="51">
        <f t="shared" si="7"/>
        <v>6</v>
      </c>
      <c r="J36" s="18"/>
      <c r="K36" s="18">
        <f t="shared" si="3"/>
        <v>-163</v>
      </c>
      <c r="M36" s="78">
        <v>0</v>
      </c>
      <c r="N36" s="65">
        <f t="shared" si="13"/>
        <v>0</v>
      </c>
      <c r="O36" s="20"/>
      <c r="P36" s="21"/>
      <c r="Q36" s="42"/>
      <c r="R36" s="23">
        <f t="shared" si="8"/>
        <v>-6</v>
      </c>
      <c r="S36" s="52">
        <f t="shared" si="9"/>
        <v>0</v>
      </c>
      <c r="U36" s="51">
        <f t="shared" si="6"/>
        <v>48</v>
      </c>
      <c r="V36" s="23"/>
      <c r="W36" s="18">
        <f t="shared" si="4"/>
        <v>-3410</v>
      </c>
      <c r="X36" s="2"/>
      <c r="Y36" s="78">
        <v>0</v>
      </c>
      <c r="Z36" s="62">
        <f t="shared" si="11"/>
        <v>0</v>
      </c>
      <c r="AA36" s="20"/>
      <c r="AB36" s="21"/>
      <c r="AC36" s="42"/>
      <c r="AD36" s="23">
        <f t="shared" si="10"/>
        <v>-3</v>
      </c>
      <c r="AE36" s="23">
        <f t="shared" si="12"/>
        <v>0</v>
      </c>
      <c r="AG36" s="52"/>
      <c r="AI36">
        <f>SUM(M32:M36,Y32:Y36)/COUNT(Y32:Y36)</f>
        <v>1.8</v>
      </c>
    </row>
    <row r="37" spans="1:35" s="12" customFormat="1">
      <c r="A37" s="95">
        <v>45927</v>
      </c>
      <c r="B37" s="25" t="s">
        <v>16</v>
      </c>
      <c r="C37" s="29"/>
      <c r="D37" s="29">
        <f t="shared" si="0"/>
        <v>0</v>
      </c>
      <c r="E37" s="29">
        <f t="shared" si="2"/>
        <v>-3579</v>
      </c>
      <c r="G37" s="64"/>
      <c r="H37" s="63"/>
      <c r="I37" s="53"/>
      <c r="J37" s="26"/>
      <c r="K37" s="26">
        <f t="shared" si="3"/>
        <v>-163</v>
      </c>
      <c r="M37" s="79"/>
      <c r="N37" s="66"/>
      <c r="O37" s="27"/>
      <c r="P37" s="28"/>
      <c r="Q37" s="43"/>
      <c r="R37" s="29">
        <f t="shared" si="8"/>
        <v>-6</v>
      </c>
      <c r="S37" s="54">
        <f t="shared" si="9"/>
        <v>0</v>
      </c>
      <c r="T37" s="11"/>
      <c r="U37" s="53"/>
      <c r="V37" s="29"/>
      <c r="W37" s="26">
        <f t="shared" si="4"/>
        <v>-3410</v>
      </c>
      <c r="X37" s="10"/>
      <c r="Y37" s="79"/>
      <c r="Z37" s="63"/>
      <c r="AA37" s="27"/>
      <c r="AB37" s="28"/>
      <c r="AC37" s="43"/>
      <c r="AD37" s="29">
        <f t="shared" si="10"/>
        <v>-3</v>
      </c>
      <c r="AE37" s="29">
        <f t="shared" si="12"/>
        <v>0</v>
      </c>
      <c r="AG37" s="54"/>
      <c r="AI37" s="11"/>
    </row>
    <row r="38" spans="1:35" s="12" customFormat="1">
      <c r="A38" s="95">
        <v>45928</v>
      </c>
      <c r="B38" s="25" t="s">
        <v>17</v>
      </c>
      <c r="C38" s="29"/>
      <c r="D38" s="29">
        <f t="shared" si="0"/>
        <v>0</v>
      </c>
      <c r="E38" s="29">
        <f t="shared" si="2"/>
        <v>-3579</v>
      </c>
      <c r="G38" s="64"/>
      <c r="H38" s="63"/>
      <c r="I38" s="53"/>
      <c r="J38" s="26"/>
      <c r="K38" s="26">
        <f t="shared" si="3"/>
        <v>-163</v>
      </c>
      <c r="M38" s="79"/>
      <c r="N38" s="66"/>
      <c r="O38" s="27"/>
      <c r="P38" s="28"/>
      <c r="Q38" s="43"/>
      <c r="R38" s="29">
        <f t="shared" si="8"/>
        <v>-6</v>
      </c>
      <c r="S38" s="54">
        <f t="shared" si="9"/>
        <v>0</v>
      </c>
      <c r="T38" s="11"/>
      <c r="U38" s="53"/>
      <c r="V38" s="29"/>
      <c r="W38" s="26">
        <f t="shared" si="4"/>
        <v>-3410</v>
      </c>
      <c r="X38" s="10"/>
      <c r="Y38" s="79"/>
      <c r="Z38" s="63"/>
      <c r="AA38" s="27"/>
      <c r="AB38" s="28"/>
      <c r="AC38" s="43"/>
      <c r="AD38" s="29">
        <f t="shared" si="10"/>
        <v>-3</v>
      </c>
      <c r="AE38" s="29">
        <f t="shared" si="12"/>
        <v>0</v>
      </c>
      <c r="AG38" s="54"/>
      <c r="AI38" s="11"/>
    </row>
    <row r="39" spans="1:35">
      <c r="A39" s="96">
        <v>45929</v>
      </c>
      <c r="B39" s="17" t="s">
        <v>18</v>
      </c>
      <c r="C39" s="136">
        <v>54</v>
      </c>
      <c r="D39" s="23">
        <f t="shared" si="0"/>
        <v>0</v>
      </c>
      <c r="E39" s="23">
        <f t="shared" si="2"/>
        <v>-3633</v>
      </c>
      <c r="G39" s="19"/>
      <c r="H39" s="62"/>
      <c r="I39" s="51">
        <f t="shared" si="7"/>
        <v>9</v>
      </c>
      <c r="J39" s="18"/>
      <c r="K39" s="18">
        <f t="shared" si="3"/>
        <v>-172</v>
      </c>
      <c r="M39" s="78">
        <v>6</v>
      </c>
      <c r="N39" s="65">
        <f t="shared" ref="N39:N43" si="14">M39</f>
        <v>6</v>
      </c>
      <c r="O39" s="20"/>
      <c r="P39" s="21"/>
      <c r="Q39" s="42"/>
      <c r="R39" s="23">
        <f t="shared" si="8"/>
        <v>-12</v>
      </c>
      <c r="S39" s="52">
        <f t="shared" si="9"/>
        <v>0</v>
      </c>
      <c r="U39" s="51">
        <f t="shared" si="6"/>
        <v>45</v>
      </c>
      <c r="V39" s="23"/>
      <c r="W39" s="18">
        <f t="shared" si="4"/>
        <v>-3455</v>
      </c>
      <c r="X39" s="2"/>
      <c r="Y39" s="78">
        <v>51</v>
      </c>
      <c r="Z39" s="62">
        <f t="shared" si="11"/>
        <v>51</v>
      </c>
      <c r="AA39" s="20"/>
      <c r="AB39" s="21"/>
      <c r="AC39" s="42"/>
      <c r="AD39" s="23">
        <f t="shared" si="10"/>
        <v>-54</v>
      </c>
      <c r="AE39" s="23">
        <f t="shared" si="12"/>
        <v>0</v>
      </c>
      <c r="AG39" s="52"/>
    </row>
    <row r="40" spans="1:35">
      <c r="A40" s="96">
        <v>45930</v>
      </c>
      <c r="B40" s="17" t="s">
        <v>19</v>
      </c>
      <c r="C40" s="136">
        <v>54</v>
      </c>
      <c r="D40" s="23">
        <f t="shared" si="0"/>
        <v>0</v>
      </c>
      <c r="E40" s="23">
        <f t="shared" si="2"/>
        <v>-3687</v>
      </c>
      <c r="G40" s="19"/>
      <c r="H40" s="62"/>
      <c r="I40" s="51">
        <f t="shared" si="7"/>
        <v>3</v>
      </c>
      <c r="J40" s="18"/>
      <c r="K40" s="18">
        <f t="shared" si="3"/>
        <v>-175</v>
      </c>
      <c r="M40" s="78">
        <v>6</v>
      </c>
      <c r="N40" s="65">
        <f t="shared" si="14"/>
        <v>6</v>
      </c>
      <c r="O40" s="20"/>
      <c r="P40" s="21"/>
      <c r="Q40" s="42"/>
      <c r="R40" s="23">
        <f t="shared" si="8"/>
        <v>-18</v>
      </c>
      <c r="S40" s="52">
        <f t="shared" si="9"/>
        <v>0</v>
      </c>
      <c r="U40" s="51">
        <f t="shared" si="6"/>
        <v>51</v>
      </c>
      <c r="V40" s="23"/>
      <c r="W40" s="18">
        <f t="shared" si="4"/>
        <v>-3506</v>
      </c>
      <c r="X40" s="2"/>
      <c r="Y40" s="78">
        <v>36</v>
      </c>
      <c r="Z40" s="62">
        <f t="shared" si="11"/>
        <v>48</v>
      </c>
      <c r="AA40" s="20"/>
      <c r="AB40" s="21"/>
      <c r="AC40" s="42"/>
      <c r="AD40" s="23">
        <f t="shared" si="10"/>
        <v>-90</v>
      </c>
      <c r="AE40" s="23">
        <f t="shared" si="12"/>
        <v>12</v>
      </c>
      <c r="AG40" s="52"/>
    </row>
    <row r="41" spans="1:35">
      <c r="A41" s="96">
        <v>45931</v>
      </c>
      <c r="B41" s="17" t="s">
        <v>20</v>
      </c>
      <c r="C41" s="136">
        <v>54</v>
      </c>
      <c r="D41" s="23">
        <f t="shared" si="0"/>
        <v>0</v>
      </c>
      <c r="E41" s="23">
        <f t="shared" si="2"/>
        <v>-3741</v>
      </c>
      <c r="G41" s="19"/>
      <c r="H41" s="62"/>
      <c r="I41" s="51">
        <f t="shared" si="7"/>
        <v>3</v>
      </c>
      <c r="J41" s="18"/>
      <c r="K41" s="18">
        <f t="shared" si="3"/>
        <v>-178</v>
      </c>
      <c r="M41" s="78">
        <v>9</v>
      </c>
      <c r="N41" s="65">
        <f t="shared" si="14"/>
        <v>9</v>
      </c>
      <c r="O41" s="20"/>
      <c r="P41" s="21"/>
      <c r="Q41" s="42"/>
      <c r="R41" s="23">
        <f t="shared" si="8"/>
        <v>-27</v>
      </c>
      <c r="S41" s="52">
        <f t="shared" si="9"/>
        <v>0</v>
      </c>
      <c r="U41" s="51">
        <f t="shared" si="6"/>
        <v>51</v>
      </c>
      <c r="V41" s="23"/>
      <c r="W41" s="18">
        <f t="shared" si="4"/>
        <v>-3557</v>
      </c>
      <c r="X41" s="2"/>
      <c r="Y41" s="78">
        <v>54</v>
      </c>
      <c r="Z41" s="62">
        <f t="shared" si="11"/>
        <v>45</v>
      </c>
      <c r="AA41" s="20"/>
      <c r="AB41" s="21"/>
      <c r="AC41" s="42"/>
      <c r="AD41" s="23">
        <f t="shared" si="10"/>
        <v>-144</v>
      </c>
      <c r="AE41" s="23">
        <f t="shared" si="12"/>
        <v>3</v>
      </c>
      <c r="AG41" s="52"/>
    </row>
    <row r="42" spans="1:35">
      <c r="A42" s="96">
        <v>45932</v>
      </c>
      <c r="B42" s="17" t="s">
        <v>14</v>
      </c>
      <c r="C42" s="136">
        <v>51</v>
      </c>
      <c r="D42" s="23">
        <f t="shared" si="0"/>
        <v>0</v>
      </c>
      <c r="E42" s="23">
        <f t="shared" si="2"/>
        <v>-3792</v>
      </c>
      <c r="G42" s="19"/>
      <c r="H42" s="62"/>
      <c r="I42" s="51">
        <f t="shared" si="7"/>
        <v>3</v>
      </c>
      <c r="J42" s="18"/>
      <c r="K42" s="18">
        <f t="shared" si="3"/>
        <v>-181</v>
      </c>
      <c r="M42" s="78">
        <v>3</v>
      </c>
      <c r="N42" s="65">
        <f t="shared" si="14"/>
        <v>3</v>
      </c>
      <c r="O42" s="20"/>
      <c r="P42" s="21"/>
      <c r="Q42" s="42"/>
      <c r="R42" s="23">
        <f t="shared" si="8"/>
        <v>-30</v>
      </c>
      <c r="S42" s="52">
        <f t="shared" si="9"/>
        <v>0</v>
      </c>
      <c r="U42" s="51">
        <f t="shared" si="6"/>
        <v>48</v>
      </c>
      <c r="V42" s="23"/>
      <c r="W42" s="18">
        <f t="shared" si="4"/>
        <v>-3605</v>
      </c>
      <c r="X42" s="2"/>
      <c r="Y42" s="78">
        <v>51</v>
      </c>
      <c r="Z42" s="62">
        <f t="shared" si="11"/>
        <v>51</v>
      </c>
      <c r="AA42" s="20"/>
      <c r="AB42" s="21"/>
      <c r="AC42" s="42"/>
      <c r="AD42" s="23">
        <f t="shared" si="10"/>
        <v>-195</v>
      </c>
      <c r="AE42" s="23">
        <f t="shared" si="12"/>
        <v>3</v>
      </c>
      <c r="AG42" s="52"/>
    </row>
    <row r="43" spans="1:35">
      <c r="A43" s="96">
        <v>45933</v>
      </c>
      <c r="B43" s="17" t="s">
        <v>15</v>
      </c>
      <c r="C43" s="136">
        <v>51</v>
      </c>
      <c r="D43" s="23">
        <f t="shared" si="0"/>
        <v>0</v>
      </c>
      <c r="E43" s="23">
        <f t="shared" si="2"/>
        <v>-3843</v>
      </c>
      <c r="G43" s="19"/>
      <c r="H43" s="62"/>
      <c r="I43" s="51">
        <f t="shared" si="7"/>
        <v>6</v>
      </c>
      <c r="J43" s="18"/>
      <c r="K43" s="18">
        <f t="shared" si="3"/>
        <v>-187</v>
      </c>
      <c r="M43" s="19">
        <v>3</v>
      </c>
      <c r="N43" s="65">
        <f t="shared" si="14"/>
        <v>3</v>
      </c>
      <c r="O43" s="20"/>
      <c r="P43" s="21"/>
      <c r="Q43" s="42"/>
      <c r="R43" s="23">
        <f t="shared" si="8"/>
        <v>-33</v>
      </c>
      <c r="S43" s="52">
        <f t="shared" si="9"/>
        <v>0</v>
      </c>
      <c r="U43" s="51">
        <f t="shared" si="6"/>
        <v>45</v>
      </c>
      <c r="V43" s="23"/>
      <c r="W43" s="18">
        <f t="shared" si="4"/>
        <v>-3650</v>
      </c>
      <c r="X43" s="2"/>
      <c r="Y43" s="19">
        <v>42</v>
      </c>
      <c r="Z43" s="62">
        <f t="shared" si="11"/>
        <v>51</v>
      </c>
      <c r="AA43" s="20"/>
      <c r="AB43" s="21"/>
      <c r="AC43" s="42"/>
      <c r="AD43" s="23">
        <f t="shared" si="10"/>
        <v>-237</v>
      </c>
      <c r="AE43" s="23">
        <f t="shared" si="12"/>
        <v>12</v>
      </c>
      <c r="AG43" s="52"/>
      <c r="AI43">
        <f>SUM(M39:M43,Y39:Y43)/COUNT(Y39:Y43)</f>
        <v>52.2</v>
      </c>
    </row>
    <row r="44" spans="1:35" s="12" customFormat="1">
      <c r="A44" s="95">
        <v>45934</v>
      </c>
      <c r="B44" s="25" t="s">
        <v>16</v>
      </c>
      <c r="C44" s="29"/>
      <c r="D44" s="29">
        <f t="shared" si="0"/>
        <v>0</v>
      </c>
      <c r="E44" s="29">
        <f t="shared" ref="E44:E74" si="15">E43-C44+D44</f>
        <v>-3843</v>
      </c>
      <c r="G44" s="64"/>
      <c r="H44" s="63"/>
      <c r="I44" s="53"/>
      <c r="J44" s="26"/>
      <c r="K44" s="26">
        <f t="shared" ref="K44:K74" si="16">J44-I44+K43</f>
        <v>-187</v>
      </c>
      <c r="M44" s="64"/>
      <c r="N44" s="66"/>
      <c r="O44" s="27"/>
      <c r="P44" s="28"/>
      <c r="Q44" s="43"/>
      <c r="R44" s="29">
        <f t="shared" ref="R44:R74" si="17">R43-M44+Q44</f>
        <v>-33</v>
      </c>
      <c r="S44" s="54">
        <f t="shared" ref="S44:S74" si="18">S43-M44+N44</f>
        <v>0</v>
      </c>
      <c r="T44" s="11"/>
      <c r="U44" s="53"/>
      <c r="V44" s="29"/>
      <c r="W44" s="26">
        <f t="shared" ref="W44:W74" si="19">V44-U44+W43</f>
        <v>-3650</v>
      </c>
      <c r="X44" s="10"/>
      <c r="Y44" s="64"/>
      <c r="Z44" s="63"/>
      <c r="AA44" s="27"/>
      <c r="AB44" s="28"/>
      <c r="AC44" s="43"/>
      <c r="AD44" s="29">
        <f t="shared" ref="AD44:AD74" si="20">AD43-Y44+AC44</f>
        <v>-237</v>
      </c>
      <c r="AE44" s="29">
        <f t="shared" ref="AE44:AE74" si="21">AE43-Y44+Z44</f>
        <v>12</v>
      </c>
      <c r="AG44" s="54"/>
      <c r="AI44" s="11"/>
    </row>
    <row r="45" spans="1:35" s="12" customFormat="1">
      <c r="A45" s="95">
        <v>45935</v>
      </c>
      <c r="B45" s="25" t="s">
        <v>17</v>
      </c>
      <c r="C45" s="29"/>
      <c r="D45" s="29">
        <f t="shared" si="0"/>
        <v>0</v>
      </c>
      <c r="E45" s="29">
        <f t="shared" si="15"/>
        <v>-3843</v>
      </c>
      <c r="G45" s="64"/>
      <c r="H45" s="63"/>
      <c r="I45" s="53"/>
      <c r="J45" s="26"/>
      <c r="K45" s="26">
        <f t="shared" si="16"/>
        <v>-187</v>
      </c>
      <c r="M45" s="64"/>
      <c r="N45" s="66"/>
      <c r="O45" s="27"/>
      <c r="P45" s="28"/>
      <c r="Q45" s="43"/>
      <c r="R45" s="29">
        <f t="shared" si="17"/>
        <v>-33</v>
      </c>
      <c r="S45" s="54">
        <f t="shared" si="18"/>
        <v>0</v>
      </c>
      <c r="T45" s="11"/>
      <c r="U45" s="53"/>
      <c r="V45" s="29"/>
      <c r="W45" s="26">
        <f t="shared" si="19"/>
        <v>-3650</v>
      </c>
      <c r="X45" s="10"/>
      <c r="Y45" s="64"/>
      <c r="Z45" s="63"/>
      <c r="AA45" s="27"/>
      <c r="AB45" s="28"/>
      <c r="AC45" s="43"/>
      <c r="AD45" s="29">
        <f t="shared" si="20"/>
        <v>-237</v>
      </c>
      <c r="AE45" s="29">
        <f t="shared" si="21"/>
        <v>12</v>
      </c>
      <c r="AG45" s="54"/>
      <c r="AI45" s="11"/>
    </row>
    <row r="46" spans="1:35">
      <c r="A46" s="96">
        <v>45936</v>
      </c>
      <c r="B46" s="17" t="s">
        <v>18</v>
      </c>
      <c r="C46" s="23">
        <v>51</v>
      </c>
      <c r="D46" s="23">
        <f t="shared" si="0"/>
        <v>0</v>
      </c>
      <c r="E46" s="23">
        <f t="shared" si="15"/>
        <v>-3894</v>
      </c>
      <c r="G46" s="19"/>
      <c r="H46" s="62"/>
      <c r="I46" s="51">
        <f t="shared" si="7"/>
        <v>3</v>
      </c>
      <c r="J46" s="18"/>
      <c r="K46" s="18">
        <f t="shared" si="16"/>
        <v>-190</v>
      </c>
      <c r="M46" s="19">
        <v>3</v>
      </c>
      <c r="N46" s="65">
        <f t="shared" ref="N46:N50" si="22">M46</f>
        <v>3</v>
      </c>
      <c r="O46" s="20"/>
      <c r="P46" s="21"/>
      <c r="Q46" s="42"/>
      <c r="R46" s="23">
        <f t="shared" si="17"/>
        <v>-36</v>
      </c>
      <c r="S46" s="52">
        <f t="shared" si="18"/>
        <v>0</v>
      </c>
      <c r="U46" s="51">
        <f t="shared" ref="U46:U71" si="23">C46-I46</f>
        <v>48</v>
      </c>
      <c r="V46" s="23"/>
      <c r="W46" s="18">
        <f t="shared" si="19"/>
        <v>-3698</v>
      </c>
      <c r="X46" s="2"/>
      <c r="Y46" s="19">
        <v>54</v>
      </c>
      <c r="Z46" s="62">
        <f t="shared" ref="Z46:Z71" si="24">IF(U44&lt;&gt;"",U44+AA46,IF(U42&lt;&gt;"",U42+AA46,IF(U41&lt;&gt;"",U41+AA46,IF(U40&lt;&gt;"",U40+AA46,IF(U39&lt;&gt;"",U39+AA46,IF(U38&lt;&gt;"",U38+AA46))))))</f>
        <v>48</v>
      </c>
      <c r="AA46" s="20"/>
      <c r="AB46" s="21"/>
      <c r="AC46" s="42"/>
      <c r="AD46" s="23">
        <f t="shared" si="20"/>
        <v>-291</v>
      </c>
      <c r="AE46" s="23">
        <f t="shared" si="21"/>
        <v>6</v>
      </c>
      <c r="AG46" s="52"/>
    </row>
    <row r="47" spans="1:35">
      <c r="A47" s="96">
        <v>45937</v>
      </c>
      <c r="B47" s="17" t="s">
        <v>19</v>
      </c>
      <c r="C47" s="23">
        <v>48</v>
      </c>
      <c r="D47" s="23">
        <f t="shared" si="0"/>
        <v>0</v>
      </c>
      <c r="E47" s="23">
        <f t="shared" si="15"/>
        <v>-3942</v>
      </c>
      <c r="G47" s="19"/>
      <c r="H47" s="62"/>
      <c r="I47" s="51">
        <f t="shared" si="7"/>
        <v>3</v>
      </c>
      <c r="J47" s="18"/>
      <c r="K47" s="18">
        <f t="shared" si="16"/>
        <v>-193</v>
      </c>
      <c r="M47" s="19">
        <v>6</v>
      </c>
      <c r="N47" s="65">
        <f t="shared" si="22"/>
        <v>6</v>
      </c>
      <c r="O47" s="20"/>
      <c r="P47" s="21"/>
      <c r="Q47" s="42"/>
      <c r="R47" s="23">
        <f t="shared" si="17"/>
        <v>-42</v>
      </c>
      <c r="S47" s="52">
        <f t="shared" si="18"/>
        <v>0</v>
      </c>
      <c r="U47" s="51">
        <f t="shared" si="23"/>
        <v>45</v>
      </c>
      <c r="V47" s="23"/>
      <c r="W47" s="18">
        <f t="shared" si="19"/>
        <v>-3743</v>
      </c>
      <c r="X47" s="2"/>
      <c r="Y47" s="19">
        <v>42</v>
      </c>
      <c r="Z47" s="62">
        <f t="shared" si="24"/>
        <v>45</v>
      </c>
      <c r="AA47" s="20"/>
      <c r="AB47" s="21"/>
      <c r="AC47" s="42"/>
      <c r="AD47" s="23">
        <f t="shared" si="20"/>
        <v>-333</v>
      </c>
      <c r="AE47" s="23">
        <f t="shared" si="21"/>
        <v>9</v>
      </c>
      <c r="AG47" s="52"/>
    </row>
    <row r="48" spans="1:35">
      <c r="A48" s="96">
        <v>45938</v>
      </c>
      <c r="B48" s="17" t="s">
        <v>20</v>
      </c>
      <c r="C48" s="23">
        <v>51</v>
      </c>
      <c r="D48" s="23">
        <f t="shared" si="0"/>
        <v>0</v>
      </c>
      <c r="E48" s="23">
        <f t="shared" si="15"/>
        <v>-3993</v>
      </c>
      <c r="G48" s="19"/>
      <c r="H48" s="62"/>
      <c r="I48" s="51">
        <f t="shared" si="7"/>
        <v>3</v>
      </c>
      <c r="J48" s="18"/>
      <c r="K48" s="18">
        <f t="shared" si="16"/>
        <v>-196</v>
      </c>
      <c r="M48" s="19">
        <v>3</v>
      </c>
      <c r="N48" s="65">
        <f t="shared" si="22"/>
        <v>3</v>
      </c>
      <c r="O48" s="20"/>
      <c r="P48" s="21"/>
      <c r="Q48" s="42"/>
      <c r="R48" s="23">
        <f t="shared" si="17"/>
        <v>-45</v>
      </c>
      <c r="S48" s="52">
        <f t="shared" si="18"/>
        <v>0</v>
      </c>
      <c r="U48" s="51">
        <f t="shared" si="23"/>
        <v>48</v>
      </c>
      <c r="V48" s="23"/>
      <c r="W48" s="18">
        <f t="shared" si="19"/>
        <v>-3791</v>
      </c>
      <c r="X48" s="2"/>
      <c r="Y48" s="19">
        <v>54</v>
      </c>
      <c r="Z48" s="62">
        <f t="shared" si="24"/>
        <v>48</v>
      </c>
      <c r="AA48" s="20"/>
      <c r="AB48" s="21"/>
      <c r="AC48" s="42"/>
      <c r="AD48" s="23">
        <f t="shared" si="20"/>
        <v>-387</v>
      </c>
      <c r="AE48" s="23">
        <f t="shared" si="21"/>
        <v>3</v>
      </c>
      <c r="AG48" s="52"/>
    </row>
    <row r="49" spans="1:35">
      <c r="A49" s="96">
        <v>45939</v>
      </c>
      <c r="B49" s="17" t="s">
        <v>14</v>
      </c>
      <c r="C49" s="23">
        <v>48</v>
      </c>
      <c r="D49" s="23">
        <f t="shared" si="0"/>
        <v>0</v>
      </c>
      <c r="E49" s="23">
        <f t="shared" si="15"/>
        <v>-4041</v>
      </c>
      <c r="G49" s="19"/>
      <c r="H49" s="62"/>
      <c r="I49" s="51">
        <f>M54</f>
        <v>6</v>
      </c>
      <c r="J49" s="18"/>
      <c r="K49" s="18">
        <f t="shared" si="16"/>
        <v>-202</v>
      </c>
      <c r="M49" s="19">
        <v>3</v>
      </c>
      <c r="N49" s="65">
        <f t="shared" si="22"/>
        <v>3</v>
      </c>
      <c r="O49" s="20"/>
      <c r="P49" s="21"/>
      <c r="Q49" s="42"/>
      <c r="R49" s="23">
        <f t="shared" si="17"/>
        <v>-48</v>
      </c>
      <c r="S49" s="52">
        <f t="shared" si="18"/>
        <v>0</v>
      </c>
      <c r="U49" s="51">
        <f t="shared" si="23"/>
        <v>42</v>
      </c>
      <c r="V49" s="23"/>
      <c r="W49" s="18">
        <f t="shared" si="19"/>
        <v>-3833</v>
      </c>
      <c r="X49" s="2"/>
      <c r="Y49" s="19">
        <v>42</v>
      </c>
      <c r="Z49" s="62">
        <f t="shared" si="24"/>
        <v>45</v>
      </c>
      <c r="AA49" s="20"/>
      <c r="AB49" s="21"/>
      <c r="AC49" s="42"/>
      <c r="AD49" s="23">
        <f t="shared" si="20"/>
        <v>-429</v>
      </c>
      <c r="AE49" s="23">
        <f t="shared" si="21"/>
        <v>6</v>
      </c>
      <c r="AG49" s="52"/>
    </row>
    <row r="50" spans="1:35">
      <c r="A50" s="96">
        <v>45940</v>
      </c>
      <c r="B50" s="17" t="s">
        <v>15</v>
      </c>
      <c r="C50" s="23">
        <v>48</v>
      </c>
      <c r="D50" s="23">
        <f t="shared" si="0"/>
        <v>0</v>
      </c>
      <c r="E50" s="23">
        <f t="shared" si="15"/>
        <v>-4089</v>
      </c>
      <c r="G50" s="19"/>
      <c r="H50" s="62"/>
      <c r="I50" s="51">
        <f>M55</f>
        <v>3</v>
      </c>
      <c r="J50" s="18"/>
      <c r="K50" s="18">
        <f t="shared" si="16"/>
        <v>-205</v>
      </c>
      <c r="M50" s="19">
        <v>3</v>
      </c>
      <c r="N50" s="65">
        <f t="shared" si="22"/>
        <v>3</v>
      </c>
      <c r="O50" s="20"/>
      <c r="P50" s="21"/>
      <c r="Q50" s="42"/>
      <c r="R50" s="23">
        <f t="shared" si="17"/>
        <v>-51</v>
      </c>
      <c r="S50" s="52">
        <f t="shared" si="18"/>
        <v>0</v>
      </c>
      <c r="U50" s="51">
        <f t="shared" si="23"/>
        <v>45</v>
      </c>
      <c r="V50" s="23"/>
      <c r="W50" s="18">
        <f t="shared" si="19"/>
        <v>-3878</v>
      </c>
      <c r="X50" s="2"/>
      <c r="Y50" s="19">
        <v>45</v>
      </c>
      <c r="Z50" s="62">
        <f t="shared" si="24"/>
        <v>48</v>
      </c>
      <c r="AA50" s="20"/>
      <c r="AB50" s="21"/>
      <c r="AC50" s="42"/>
      <c r="AD50" s="23">
        <f t="shared" si="20"/>
        <v>-474</v>
      </c>
      <c r="AE50" s="23">
        <f t="shared" si="21"/>
        <v>9</v>
      </c>
      <c r="AG50" s="52"/>
      <c r="AI50">
        <f>SUM(M46:M50,Y46:Y50)/COUNT(Y46:Y50)</f>
        <v>51</v>
      </c>
    </row>
    <row r="51" spans="1:35" s="12" customFormat="1">
      <c r="A51" s="95">
        <v>45941</v>
      </c>
      <c r="B51" s="25" t="s">
        <v>16</v>
      </c>
      <c r="C51" s="29"/>
      <c r="D51" s="29">
        <f t="shared" si="0"/>
        <v>0</v>
      </c>
      <c r="E51" s="29">
        <f t="shared" si="15"/>
        <v>-4089</v>
      </c>
      <c r="G51" s="64"/>
      <c r="H51" s="63"/>
      <c r="I51" s="53"/>
      <c r="J51" s="26"/>
      <c r="K51" s="26">
        <f t="shared" si="16"/>
        <v>-205</v>
      </c>
      <c r="M51" s="64"/>
      <c r="N51" s="66"/>
      <c r="O51" s="27"/>
      <c r="P51" s="28"/>
      <c r="Q51" s="43"/>
      <c r="R51" s="29">
        <f t="shared" si="17"/>
        <v>-51</v>
      </c>
      <c r="S51" s="54">
        <f t="shared" si="18"/>
        <v>0</v>
      </c>
      <c r="T51" s="11"/>
      <c r="U51" s="53"/>
      <c r="V51" s="29"/>
      <c r="W51" s="26">
        <f t="shared" si="19"/>
        <v>-3878</v>
      </c>
      <c r="X51" s="10"/>
      <c r="Y51" s="64"/>
      <c r="Z51" s="63"/>
      <c r="AA51" s="27"/>
      <c r="AB51" s="28"/>
      <c r="AC51" s="43"/>
      <c r="AD51" s="29">
        <f t="shared" si="20"/>
        <v>-474</v>
      </c>
      <c r="AE51" s="29">
        <f t="shared" si="21"/>
        <v>9</v>
      </c>
      <c r="AG51" s="54"/>
      <c r="AI51" s="11"/>
    </row>
    <row r="52" spans="1:35" s="12" customFormat="1">
      <c r="A52" s="95">
        <v>45942</v>
      </c>
      <c r="B52" s="25" t="s">
        <v>17</v>
      </c>
      <c r="C52" s="29"/>
      <c r="D52" s="29">
        <f t="shared" si="0"/>
        <v>0</v>
      </c>
      <c r="E52" s="29">
        <f t="shared" si="15"/>
        <v>-4089</v>
      </c>
      <c r="G52" s="64"/>
      <c r="H52" s="63"/>
      <c r="I52" s="53"/>
      <c r="J52" s="26"/>
      <c r="K52" s="26">
        <f t="shared" si="16"/>
        <v>-205</v>
      </c>
      <c r="M52" s="64"/>
      <c r="N52" s="66"/>
      <c r="O52" s="27"/>
      <c r="P52" s="28"/>
      <c r="Q52" s="43"/>
      <c r="R52" s="29">
        <f t="shared" si="17"/>
        <v>-51</v>
      </c>
      <c r="S52" s="54">
        <f t="shared" si="18"/>
        <v>0</v>
      </c>
      <c r="T52" s="11"/>
      <c r="U52" s="53"/>
      <c r="V52" s="29"/>
      <c r="W52" s="26">
        <f t="shared" si="19"/>
        <v>-3878</v>
      </c>
      <c r="X52" s="10"/>
      <c r="Y52" s="64"/>
      <c r="Z52" s="63"/>
      <c r="AA52" s="27"/>
      <c r="AB52" s="28"/>
      <c r="AC52" s="43"/>
      <c r="AD52" s="29">
        <f t="shared" si="20"/>
        <v>-474</v>
      </c>
      <c r="AE52" s="29">
        <f t="shared" si="21"/>
        <v>9</v>
      </c>
      <c r="AG52" s="54"/>
      <c r="AI52" s="11"/>
    </row>
    <row r="53" spans="1:35" s="12" customFormat="1">
      <c r="A53" s="95">
        <v>45943</v>
      </c>
      <c r="B53" s="25" t="s">
        <v>18</v>
      </c>
      <c r="C53" s="29"/>
      <c r="D53" s="29">
        <f t="shared" si="0"/>
        <v>0</v>
      </c>
      <c r="E53" s="29">
        <f t="shared" si="15"/>
        <v>-4089</v>
      </c>
      <c r="G53" s="64"/>
      <c r="H53" s="63"/>
      <c r="I53" s="53"/>
      <c r="J53" s="26"/>
      <c r="K53" s="26">
        <f t="shared" si="16"/>
        <v>-205</v>
      </c>
      <c r="M53" s="64"/>
      <c r="N53" s="66"/>
      <c r="O53" s="27"/>
      <c r="P53" s="28"/>
      <c r="Q53" s="43"/>
      <c r="R53" s="29">
        <f t="shared" si="17"/>
        <v>-51</v>
      </c>
      <c r="S53" s="54">
        <f t="shared" si="18"/>
        <v>0</v>
      </c>
      <c r="T53" s="11"/>
      <c r="U53" s="53"/>
      <c r="V53" s="29"/>
      <c r="W53" s="26">
        <f t="shared" si="19"/>
        <v>-3878</v>
      </c>
      <c r="X53" s="10"/>
      <c r="Y53" s="64"/>
      <c r="Z53" s="63"/>
      <c r="AA53" s="27"/>
      <c r="AB53" s="28"/>
      <c r="AC53" s="43"/>
      <c r="AD53" s="29">
        <f t="shared" si="20"/>
        <v>-474</v>
      </c>
      <c r="AE53" s="29">
        <f t="shared" si="21"/>
        <v>9</v>
      </c>
      <c r="AG53" s="54"/>
      <c r="AI53" s="11"/>
    </row>
    <row r="54" spans="1:35">
      <c r="A54" s="96">
        <v>45944</v>
      </c>
      <c r="B54" s="17" t="s">
        <v>19</v>
      </c>
      <c r="C54" s="23">
        <v>45</v>
      </c>
      <c r="D54" s="23">
        <f t="shared" si="0"/>
        <v>0</v>
      </c>
      <c r="E54" s="23">
        <f t="shared" si="15"/>
        <v>-4134</v>
      </c>
      <c r="G54" s="19"/>
      <c r="H54" s="62"/>
      <c r="I54" s="51">
        <f t="shared" ref="I54:I64" si="25">IF(M56&lt;&gt;"",N56+O56,IF(M58&lt;&gt;"",N58+O58,IF(M306&lt;&gt;"",N306+O306,IF(M307&lt;&gt;"",N307+O307,IF(M308&lt;&gt;"",N308+O308,IF(M309&lt;&gt;"",N309+O309))))))</f>
        <v>6</v>
      </c>
      <c r="J54" s="18"/>
      <c r="K54" s="18">
        <f t="shared" si="16"/>
        <v>-211</v>
      </c>
      <c r="M54" s="19">
        <v>6</v>
      </c>
      <c r="N54" s="65">
        <f t="shared" ref="N54:N57" si="26">M54</f>
        <v>6</v>
      </c>
      <c r="O54" s="20"/>
      <c r="P54" s="21"/>
      <c r="Q54" s="42"/>
      <c r="R54" s="23">
        <f t="shared" si="17"/>
        <v>-57</v>
      </c>
      <c r="S54" s="52">
        <f t="shared" si="18"/>
        <v>0</v>
      </c>
      <c r="U54" s="51">
        <f t="shared" si="23"/>
        <v>39</v>
      </c>
      <c r="V54" s="23"/>
      <c r="W54" s="18">
        <f t="shared" si="19"/>
        <v>-3917</v>
      </c>
      <c r="X54" s="2"/>
      <c r="Y54" s="19">
        <v>42</v>
      </c>
      <c r="Z54" s="62">
        <f>U49</f>
        <v>42</v>
      </c>
      <c r="AA54" s="20"/>
      <c r="AB54" s="21"/>
      <c r="AC54" s="42"/>
      <c r="AD54" s="23">
        <f t="shared" si="20"/>
        <v>-516</v>
      </c>
      <c r="AE54" s="23">
        <f t="shared" si="21"/>
        <v>9</v>
      </c>
      <c r="AG54" s="52"/>
    </row>
    <row r="55" spans="1:35">
      <c r="A55" s="96">
        <v>45945</v>
      </c>
      <c r="B55" s="17" t="s">
        <v>20</v>
      </c>
      <c r="C55" s="23">
        <v>45</v>
      </c>
      <c r="D55" s="23">
        <f t="shared" si="0"/>
        <v>0</v>
      </c>
      <c r="E55" s="23">
        <f t="shared" si="15"/>
        <v>-4179</v>
      </c>
      <c r="G55" s="19"/>
      <c r="H55" s="62"/>
      <c r="I55" s="51">
        <f t="shared" si="25"/>
        <v>3</v>
      </c>
      <c r="J55" s="18"/>
      <c r="K55" s="18">
        <f t="shared" si="16"/>
        <v>-214</v>
      </c>
      <c r="M55" s="19">
        <v>3</v>
      </c>
      <c r="N55" s="65">
        <f t="shared" si="26"/>
        <v>3</v>
      </c>
      <c r="O55" s="20"/>
      <c r="P55" s="21"/>
      <c r="Q55" s="42"/>
      <c r="R55" s="23">
        <f t="shared" si="17"/>
        <v>-60</v>
      </c>
      <c r="S55" s="52">
        <f t="shared" si="18"/>
        <v>0</v>
      </c>
      <c r="U55" s="51">
        <f t="shared" si="23"/>
        <v>42</v>
      </c>
      <c r="V55" s="23"/>
      <c r="W55" s="18">
        <f t="shared" si="19"/>
        <v>-3959</v>
      </c>
      <c r="X55" s="2"/>
      <c r="Y55" s="19">
        <v>54</v>
      </c>
      <c r="Z55" s="62">
        <f t="shared" si="24"/>
        <v>45</v>
      </c>
      <c r="AA55" s="20"/>
      <c r="AB55" s="21"/>
      <c r="AC55" s="42"/>
      <c r="AD55" s="23">
        <f t="shared" si="20"/>
        <v>-570</v>
      </c>
      <c r="AE55" s="23">
        <f t="shared" si="21"/>
        <v>0</v>
      </c>
      <c r="AG55" s="52"/>
    </row>
    <row r="56" spans="1:35">
      <c r="A56" s="96">
        <v>45946</v>
      </c>
      <c r="B56" s="17" t="s">
        <v>14</v>
      </c>
      <c r="C56" s="23">
        <v>45</v>
      </c>
      <c r="D56" s="23">
        <f t="shared" si="0"/>
        <v>0</v>
      </c>
      <c r="E56" s="23">
        <f t="shared" si="15"/>
        <v>-4224</v>
      </c>
      <c r="G56" s="19"/>
      <c r="H56" s="62"/>
      <c r="I56" s="51">
        <f t="shared" si="25"/>
        <v>6</v>
      </c>
      <c r="J56" s="18"/>
      <c r="K56" s="18">
        <f t="shared" si="16"/>
        <v>-220</v>
      </c>
      <c r="M56" s="19">
        <v>6</v>
      </c>
      <c r="N56" s="65">
        <f t="shared" si="26"/>
        <v>6</v>
      </c>
      <c r="O56" s="20"/>
      <c r="P56" s="21"/>
      <c r="Q56" s="42"/>
      <c r="R56" s="23">
        <f t="shared" si="17"/>
        <v>-66</v>
      </c>
      <c r="S56" s="52">
        <f t="shared" si="18"/>
        <v>0</v>
      </c>
      <c r="U56" s="51">
        <f t="shared" si="23"/>
        <v>39</v>
      </c>
      <c r="V56" s="23"/>
      <c r="W56" s="18">
        <f t="shared" si="19"/>
        <v>-3998</v>
      </c>
      <c r="X56" s="2"/>
      <c r="Y56" s="19">
        <v>33</v>
      </c>
      <c r="Z56" s="62">
        <f t="shared" si="24"/>
        <v>39</v>
      </c>
      <c r="AA56" s="20"/>
      <c r="AB56" s="21"/>
      <c r="AC56" s="42"/>
      <c r="AD56" s="23">
        <f t="shared" si="20"/>
        <v>-603</v>
      </c>
      <c r="AE56" s="23">
        <f t="shared" si="21"/>
        <v>6</v>
      </c>
      <c r="AG56" s="52"/>
    </row>
    <row r="57" spans="1:35">
      <c r="A57" s="96">
        <v>45947</v>
      </c>
      <c r="B57" s="17" t="s">
        <v>15</v>
      </c>
      <c r="C57" s="23">
        <v>45</v>
      </c>
      <c r="D57" s="23">
        <f t="shared" si="0"/>
        <v>0</v>
      </c>
      <c r="E57" s="23">
        <f t="shared" si="15"/>
        <v>-4269</v>
      </c>
      <c r="G57" s="19"/>
      <c r="H57" s="62"/>
      <c r="I57" s="51">
        <f t="shared" si="25"/>
        <v>3</v>
      </c>
      <c r="J57" s="18"/>
      <c r="K57" s="18">
        <f t="shared" si="16"/>
        <v>-223</v>
      </c>
      <c r="M57" s="19">
        <v>3</v>
      </c>
      <c r="N57" s="65">
        <f t="shared" si="26"/>
        <v>3</v>
      </c>
      <c r="O57" s="20"/>
      <c r="P57" s="21"/>
      <c r="Q57" s="42"/>
      <c r="R57" s="23">
        <f t="shared" si="17"/>
        <v>-69</v>
      </c>
      <c r="S57" s="52">
        <f t="shared" si="18"/>
        <v>0</v>
      </c>
      <c r="U57" s="51">
        <f t="shared" si="23"/>
        <v>42</v>
      </c>
      <c r="V57" s="23"/>
      <c r="W57" s="18">
        <f t="shared" si="19"/>
        <v>-4040</v>
      </c>
      <c r="X57" s="2"/>
      <c r="Y57" s="19">
        <v>39</v>
      </c>
      <c r="Z57" s="62">
        <f t="shared" si="24"/>
        <v>42</v>
      </c>
      <c r="AA57" s="20"/>
      <c r="AB57" s="21"/>
      <c r="AC57" s="42"/>
      <c r="AD57" s="23">
        <f t="shared" si="20"/>
        <v>-642</v>
      </c>
      <c r="AE57" s="23">
        <f t="shared" si="21"/>
        <v>9</v>
      </c>
      <c r="AG57" s="52"/>
      <c r="AI57">
        <f>SUM(M54:M57,Y54:Y57)/COUNT(Y54:Y57)</f>
        <v>46.5</v>
      </c>
    </row>
    <row r="58" spans="1:35" s="12" customFormat="1">
      <c r="A58" s="95">
        <v>45948</v>
      </c>
      <c r="B58" s="25" t="s">
        <v>16</v>
      </c>
      <c r="C58" s="29"/>
      <c r="D58" s="29">
        <f t="shared" si="0"/>
        <v>0</v>
      </c>
      <c r="E58" s="29">
        <f t="shared" si="15"/>
        <v>-4269</v>
      </c>
      <c r="G58" s="64"/>
      <c r="H58" s="63"/>
      <c r="I58" s="53"/>
      <c r="J58" s="26"/>
      <c r="K58" s="26">
        <f t="shared" si="16"/>
        <v>-223</v>
      </c>
      <c r="M58" s="64"/>
      <c r="N58" s="66"/>
      <c r="O58" s="27"/>
      <c r="P58" s="28"/>
      <c r="Q58" s="43"/>
      <c r="R58" s="29">
        <f t="shared" si="17"/>
        <v>-69</v>
      </c>
      <c r="S58" s="54">
        <f t="shared" si="18"/>
        <v>0</v>
      </c>
      <c r="T58" s="11"/>
      <c r="U58" s="53"/>
      <c r="V58" s="29"/>
      <c r="W58" s="26">
        <f t="shared" si="19"/>
        <v>-4040</v>
      </c>
      <c r="X58" s="10"/>
      <c r="Y58" s="64"/>
      <c r="Z58" s="63"/>
      <c r="AA58" s="27"/>
      <c r="AB58" s="28"/>
      <c r="AC58" s="43"/>
      <c r="AD58" s="29">
        <f t="shared" si="20"/>
        <v>-642</v>
      </c>
      <c r="AE58" s="29">
        <f t="shared" si="21"/>
        <v>9</v>
      </c>
      <c r="AG58" s="54"/>
      <c r="AI58" s="11"/>
    </row>
    <row r="59" spans="1:35" s="12" customFormat="1">
      <c r="A59" s="95">
        <v>45949</v>
      </c>
      <c r="B59" s="25" t="s">
        <v>17</v>
      </c>
      <c r="C59" s="29"/>
      <c r="D59" s="29">
        <f t="shared" si="0"/>
        <v>0</v>
      </c>
      <c r="E59" s="29">
        <f t="shared" si="15"/>
        <v>-4269</v>
      </c>
      <c r="G59" s="64"/>
      <c r="H59" s="63"/>
      <c r="I59" s="53"/>
      <c r="J59" s="26"/>
      <c r="K59" s="26">
        <f t="shared" si="16"/>
        <v>-223</v>
      </c>
      <c r="M59" s="64"/>
      <c r="N59" s="66"/>
      <c r="O59" s="27"/>
      <c r="P59" s="28"/>
      <c r="Q59" s="43"/>
      <c r="R59" s="29">
        <f t="shared" si="17"/>
        <v>-69</v>
      </c>
      <c r="S59" s="54">
        <f t="shared" si="18"/>
        <v>0</v>
      </c>
      <c r="T59" s="11"/>
      <c r="U59" s="53"/>
      <c r="V59" s="29"/>
      <c r="W59" s="26">
        <f t="shared" si="19"/>
        <v>-4040</v>
      </c>
      <c r="X59" s="10"/>
      <c r="Y59" s="64"/>
      <c r="Z59" s="63"/>
      <c r="AA59" s="27"/>
      <c r="AB59" s="28"/>
      <c r="AC59" s="43"/>
      <c r="AD59" s="29">
        <f t="shared" si="20"/>
        <v>-642</v>
      </c>
      <c r="AE59" s="29">
        <f t="shared" si="21"/>
        <v>9</v>
      </c>
      <c r="AG59" s="54"/>
      <c r="AI59" s="11"/>
    </row>
    <row r="60" spans="1:35">
      <c r="A60" s="96">
        <v>45950</v>
      </c>
      <c r="B60" s="17" t="s">
        <v>18</v>
      </c>
      <c r="C60" s="23">
        <v>51</v>
      </c>
      <c r="D60" s="23">
        <f t="shared" si="0"/>
        <v>0</v>
      </c>
      <c r="E60" s="23">
        <f t="shared" si="15"/>
        <v>-4320</v>
      </c>
      <c r="G60" s="19"/>
      <c r="H60" s="62"/>
      <c r="I60" s="51">
        <f t="shared" si="25"/>
        <v>3</v>
      </c>
      <c r="J60" s="18"/>
      <c r="K60" s="18">
        <f t="shared" si="16"/>
        <v>-226</v>
      </c>
      <c r="M60" s="19">
        <v>6</v>
      </c>
      <c r="N60" s="65">
        <f t="shared" ref="N60:N64" si="27">M60</f>
        <v>6</v>
      </c>
      <c r="O60" s="20"/>
      <c r="P60" s="21"/>
      <c r="Q60" s="42"/>
      <c r="R60" s="23">
        <f t="shared" si="17"/>
        <v>-75</v>
      </c>
      <c r="S60" s="52">
        <f t="shared" si="18"/>
        <v>0</v>
      </c>
      <c r="U60" s="51">
        <f t="shared" si="23"/>
        <v>48</v>
      </c>
      <c r="V60" s="23"/>
      <c r="W60" s="18">
        <f t="shared" si="19"/>
        <v>-4088</v>
      </c>
      <c r="X60" s="2"/>
      <c r="Y60" s="19">
        <v>42</v>
      </c>
      <c r="Z60" s="62">
        <f t="shared" si="24"/>
        <v>39</v>
      </c>
      <c r="AA60" s="20"/>
      <c r="AB60" s="21"/>
      <c r="AC60" s="42"/>
      <c r="AD60" s="23">
        <f t="shared" si="20"/>
        <v>-684</v>
      </c>
      <c r="AE60" s="23">
        <f t="shared" si="21"/>
        <v>6</v>
      </c>
      <c r="AG60" s="52"/>
    </row>
    <row r="61" spans="1:35">
      <c r="A61" s="96">
        <v>45951</v>
      </c>
      <c r="B61" s="17" t="s">
        <v>19</v>
      </c>
      <c r="C61" s="23">
        <v>51</v>
      </c>
      <c r="D61" s="23">
        <f t="shared" si="0"/>
        <v>0</v>
      </c>
      <c r="E61" s="23">
        <f t="shared" si="15"/>
        <v>-4371</v>
      </c>
      <c r="G61" s="19"/>
      <c r="H61" s="62"/>
      <c r="I61" s="51">
        <f t="shared" si="25"/>
        <v>3</v>
      </c>
      <c r="J61" s="18"/>
      <c r="K61" s="18">
        <f t="shared" si="16"/>
        <v>-229</v>
      </c>
      <c r="M61" s="19">
        <v>3</v>
      </c>
      <c r="N61" s="65">
        <f t="shared" si="27"/>
        <v>3</v>
      </c>
      <c r="O61" s="20"/>
      <c r="P61" s="21"/>
      <c r="Q61" s="42"/>
      <c r="R61" s="23">
        <f t="shared" si="17"/>
        <v>-78</v>
      </c>
      <c r="S61" s="52">
        <f t="shared" si="18"/>
        <v>0</v>
      </c>
      <c r="U61" s="51">
        <f t="shared" si="23"/>
        <v>48</v>
      </c>
      <c r="V61" s="23"/>
      <c r="W61" s="18">
        <f t="shared" si="19"/>
        <v>-4136</v>
      </c>
      <c r="X61" s="2"/>
      <c r="Y61" s="19">
        <v>36</v>
      </c>
      <c r="Z61" s="62">
        <f t="shared" si="24"/>
        <v>42</v>
      </c>
      <c r="AA61" s="20"/>
      <c r="AB61" s="21"/>
      <c r="AC61" s="42"/>
      <c r="AD61" s="23">
        <f t="shared" si="20"/>
        <v>-720</v>
      </c>
      <c r="AE61" s="23">
        <f t="shared" si="21"/>
        <v>12</v>
      </c>
      <c r="AG61" s="52"/>
    </row>
    <row r="62" spans="1:35">
      <c r="A62" s="96">
        <v>45952</v>
      </c>
      <c r="B62" s="17" t="s">
        <v>20</v>
      </c>
      <c r="C62" s="23">
        <v>51</v>
      </c>
      <c r="D62" s="23">
        <f t="shared" si="0"/>
        <v>0</v>
      </c>
      <c r="E62" s="23">
        <f t="shared" si="15"/>
        <v>-4422</v>
      </c>
      <c r="G62" s="19"/>
      <c r="H62" s="62"/>
      <c r="I62" s="51">
        <f t="shared" si="25"/>
        <v>0</v>
      </c>
      <c r="J62" s="18"/>
      <c r="K62" s="18">
        <f t="shared" si="16"/>
        <v>-229</v>
      </c>
      <c r="M62" s="19">
        <v>3</v>
      </c>
      <c r="N62" s="65">
        <f t="shared" si="27"/>
        <v>3</v>
      </c>
      <c r="O62" s="20"/>
      <c r="P62" s="21"/>
      <c r="Q62" s="42"/>
      <c r="R62" s="23">
        <f t="shared" si="17"/>
        <v>-81</v>
      </c>
      <c r="S62" s="52">
        <f t="shared" si="18"/>
        <v>0</v>
      </c>
      <c r="U62" s="51">
        <f t="shared" si="23"/>
        <v>51</v>
      </c>
      <c r="V62" s="23"/>
      <c r="W62" s="18">
        <f t="shared" si="19"/>
        <v>-4187</v>
      </c>
      <c r="X62" s="2"/>
      <c r="Y62" s="19">
        <v>54</v>
      </c>
      <c r="Z62" s="62">
        <f t="shared" si="24"/>
        <v>48</v>
      </c>
      <c r="AA62" s="20"/>
      <c r="AB62" s="21"/>
      <c r="AC62" s="42"/>
      <c r="AD62" s="23">
        <f t="shared" si="20"/>
        <v>-774</v>
      </c>
      <c r="AE62" s="23">
        <f t="shared" si="21"/>
        <v>6</v>
      </c>
      <c r="AG62" s="52"/>
    </row>
    <row r="63" spans="1:35">
      <c r="A63" s="96">
        <v>45953</v>
      </c>
      <c r="B63" s="17" t="s">
        <v>14</v>
      </c>
      <c r="C63" s="23">
        <v>51</v>
      </c>
      <c r="D63" s="23">
        <f t="shared" si="0"/>
        <v>0</v>
      </c>
      <c r="E63" s="23">
        <f t="shared" si="15"/>
        <v>-4473</v>
      </c>
      <c r="G63" s="19"/>
      <c r="H63" s="62"/>
      <c r="I63" s="51">
        <f t="shared" si="25"/>
        <v>0</v>
      </c>
      <c r="J63" s="18"/>
      <c r="K63" s="18">
        <f t="shared" si="16"/>
        <v>-229</v>
      </c>
      <c r="M63" s="19">
        <v>3</v>
      </c>
      <c r="N63" s="65">
        <f t="shared" si="27"/>
        <v>3</v>
      </c>
      <c r="O63" s="20"/>
      <c r="P63" s="21"/>
      <c r="Q63" s="42"/>
      <c r="R63" s="23">
        <f t="shared" si="17"/>
        <v>-84</v>
      </c>
      <c r="S63" s="52">
        <f t="shared" si="18"/>
        <v>0</v>
      </c>
      <c r="U63" s="51">
        <f t="shared" si="23"/>
        <v>51</v>
      </c>
      <c r="V63" s="23"/>
      <c r="W63" s="18">
        <f t="shared" si="19"/>
        <v>-4238</v>
      </c>
      <c r="X63" s="2"/>
      <c r="Y63" s="19">
        <v>54</v>
      </c>
      <c r="Z63" s="62">
        <f t="shared" si="24"/>
        <v>48</v>
      </c>
      <c r="AA63" s="20"/>
      <c r="AB63" s="21"/>
      <c r="AC63" s="42"/>
      <c r="AD63" s="23">
        <f t="shared" si="20"/>
        <v>-828</v>
      </c>
      <c r="AE63" s="23">
        <f t="shared" si="21"/>
        <v>0</v>
      </c>
      <c r="AG63" s="52"/>
    </row>
    <row r="64" spans="1:35">
      <c r="A64" s="96">
        <v>45954</v>
      </c>
      <c r="B64" s="17" t="s">
        <v>15</v>
      </c>
      <c r="C64" s="23">
        <v>51</v>
      </c>
      <c r="D64" s="23">
        <f t="shared" si="0"/>
        <v>0</v>
      </c>
      <c r="E64" s="23">
        <f t="shared" si="15"/>
        <v>-4524</v>
      </c>
      <c r="G64" s="19"/>
      <c r="H64" s="62"/>
      <c r="I64" s="51">
        <f t="shared" si="25"/>
        <v>6</v>
      </c>
      <c r="J64" s="18"/>
      <c r="K64" s="18">
        <f t="shared" si="16"/>
        <v>-235</v>
      </c>
      <c r="M64" s="19">
        <v>0</v>
      </c>
      <c r="N64" s="65">
        <f t="shared" si="27"/>
        <v>0</v>
      </c>
      <c r="O64" s="20"/>
      <c r="P64" s="21"/>
      <c r="Q64" s="42"/>
      <c r="R64" s="23">
        <f t="shared" si="17"/>
        <v>-84</v>
      </c>
      <c r="S64" s="52">
        <f t="shared" si="18"/>
        <v>0</v>
      </c>
      <c r="U64" s="51">
        <f t="shared" si="23"/>
        <v>45</v>
      </c>
      <c r="V64" s="23"/>
      <c r="W64" s="18">
        <f t="shared" si="19"/>
        <v>-4283</v>
      </c>
      <c r="X64" s="2"/>
      <c r="Y64" s="19">
        <v>42</v>
      </c>
      <c r="Z64" s="62">
        <f t="shared" si="24"/>
        <v>51</v>
      </c>
      <c r="AA64" s="20"/>
      <c r="AB64" s="21"/>
      <c r="AC64" s="42"/>
      <c r="AD64" s="23">
        <f t="shared" si="20"/>
        <v>-870</v>
      </c>
      <c r="AE64" s="23">
        <f t="shared" si="21"/>
        <v>9</v>
      </c>
      <c r="AG64" s="52"/>
      <c r="AI64">
        <f>SUM(M60:M64,Y60:Y64)/COUNT(Y60:Y64)</f>
        <v>48.6</v>
      </c>
    </row>
    <row r="65" spans="1:35" s="12" customFormat="1">
      <c r="A65" s="95">
        <v>45955</v>
      </c>
      <c r="B65" s="25" t="s">
        <v>16</v>
      </c>
      <c r="C65" s="29"/>
      <c r="D65" s="29">
        <f t="shared" si="0"/>
        <v>0</v>
      </c>
      <c r="E65" s="29">
        <f t="shared" si="15"/>
        <v>-4524</v>
      </c>
      <c r="G65" s="64"/>
      <c r="H65" s="63"/>
      <c r="I65" s="53"/>
      <c r="J65" s="26"/>
      <c r="K65" s="26">
        <f t="shared" si="16"/>
        <v>-235</v>
      </c>
      <c r="M65" s="64"/>
      <c r="N65" s="66"/>
      <c r="O65" s="27"/>
      <c r="P65" s="28"/>
      <c r="Q65" s="43"/>
      <c r="R65" s="29">
        <f t="shared" si="17"/>
        <v>-84</v>
      </c>
      <c r="S65" s="54">
        <f t="shared" si="18"/>
        <v>0</v>
      </c>
      <c r="T65" s="11"/>
      <c r="U65" s="53"/>
      <c r="V65" s="29"/>
      <c r="W65" s="26">
        <f t="shared" si="19"/>
        <v>-4283</v>
      </c>
      <c r="X65" s="10"/>
      <c r="Y65" s="64"/>
      <c r="Z65" s="63"/>
      <c r="AA65" s="27"/>
      <c r="AB65" s="28"/>
      <c r="AC65" s="43"/>
      <c r="AD65" s="29">
        <f t="shared" si="20"/>
        <v>-870</v>
      </c>
      <c r="AE65" s="29">
        <f t="shared" si="21"/>
        <v>9</v>
      </c>
      <c r="AG65" s="54"/>
      <c r="AI65" s="11"/>
    </row>
    <row r="66" spans="1:35" s="12" customFormat="1">
      <c r="A66" s="95">
        <v>45956</v>
      </c>
      <c r="B66" s="25" t="s">
        <v>17</v>
      </c>
      <c r="C66" s="29"/>
      <c r="D66" s="29">
        <f t="shared" si="0"/>
        <v>0</v>
      </c>
      <c r="E66" s="29">
        <f t="shared" si="15"/>
        <v>-4524</v>
      </c>
      <c r="G66" s="64"/>
      <c r="H66" s="63"/>
      <c r="I66" s="53"/>
      <c r="J66" s="26"/>
      <c r="K66" s="26">
        <f t="shared" si="16"/>
        <v>-235</v>
      </c>
      <c r="M66" s="64"/>
      <c r="N66" s="66"/>
      <c r="O66" s="27"/>
      <c r="P66" s="28"/>
      <c r="Q66" s="43"/>
      <c r="R66" s="29">
        <f t="shared" si="17"/>
        <v>-84</v>
      </c>
      <c r="S66" s="54">
        <f t="shared" si="18"/>
        <v>0</v>
      </c>
      <c r="T66" s="11"/>
      <c r="U66" s="53"/>
      <c r="V66" s="29"/>
      <c r="W66" s="26">
        <f t="shared" si="19"/>
        <v>-4283</v>
      </c>
      <c r="X66" s="10"/>
      <c r="Y66" s="64"/>
      <c r="Z66" s="63"/>
      <c r="AA66" s="27"/>
      <c r="AB66" s="28"/>
      <c r="AC66" s="43"/>
      <c r="AD66" s="29">
        <f t="shared" si="20"/>
        <v>-870</v>
      </c>
      <c r="AE66" s="29">
        <f t="shared" si="21"/>
        <v>9</v>
      </c>
      <c r="AG66" s="54"/>
      <c r="AI66" s="11"/>
    </row>
    <row r="67" spans="1:35">
      <c r="A67" s="96">
        <v>45957</v>
      </c>
      <c r="B67" s="17" t="s">
        <v>18</v>
      </c>
      <c r="C67" s="23">
        <v>48</v>
      </c>
      <c r="D67" s="23">
        <f t="shared" si="0"/>
        <v>0</v>
      </c>
      <c r="E67" s="23">
        <f t="shared" si="15"/>
        <v>-4572</v>
      </c>
      <c r="G67" s="19"/>
      <c r="H67" s="62"/>
      <c r="I67" s="51">
        <f t="shared" ref="I67:I89" si="28">IF(M69&lt;&gt;"",N69+O69,IF(M71&lt;&gt;"",N71+O71,IF(M319&lt;&gt;"",N319+O319,IF(M320&lt;&gt;"",N320+O320,IF(M321&lt;&gt;"",N321+O321,IF(M322&lt;&gt;"",N322+O322))))))</f>
        <v>3</v>
      </c>
      <c r="J67" s="18"/>
      <c r="K67" s="18">
        <f t="shared" si="16"/>
        <v>-238</v>
      </c>
      <c r="M67" s="19">
        <v>0</v>
      </c>
      <c r="N67" s="65">
        <f t="shared" ref="N67:N71" si="29">M67</f>
        <v>0</v>
      </c>
      <c r="O67" s="20"/>
      <c r="P67" s="21"/>
      <c r="Q67" s="42"/>
      <c r="R67" s="23">
        <f t="shared" si="17"/>
        <v>-84</v>
      </c>
      <c r="S67" s="52">
        <f t="shared" si="18"/>
        <v>0</v>
      </c>
      <c r="U67" s="51">
        <f t="shared" si="23"/>
        <v>45</v>
      </c>
      <c r="V67" s="23"/>
      <c r="W67" s="18">
        <f t="shared" si="19"/>
        <v>-4328</v>
      </c>
      <c r="X67" s="2"/>
      <c r="Y67" s="19">
        <v>60</v>
      </c>
      <c r="Z67" s="62">
        <f t="shared" si="24"/>
        <v>51</v>
      </c>
      <c r="AA67" s="20"/>
      <c r="AB67" s="21"/>
      <c r="AC67" s="42"/>
      <c r="AD67" s="23">
        <f t="shared" si="20"/>
        <v>-930</v>
      </c>
      <c r="AE67" s="23">
        <f t="shared" si="21"/>
        <v>0</v>
      </c>
      <c r="AG67" s="52"/>
    </row>
    <row r="68" spans="1:35">
      <c r="A68" s="96">
        <v>45958</v>
      </c>
      <c r="B68" s="17" t="s">
        <v>19</v>
      </c>
      <c r="C68" s="23">
        <v>48</v>
      </c>
      <c r="D68" s="23">
        <f t="shared" si="0"/>
        <v>0</v>
      </c>
      <c r="E68" s="23">
        <f t="shared" si="15"/>
        <v>-4620</v>
      </c>
      <c r="G68" s="19"/>
      <c r="H68" s="62"/>
      <c r="I68" s="51">
        <f t="shared" si="28"/>
        <v>6</v>
      </c>
      <c r="J68" s="18"/>
      <c r="K68" s="18">
        <f t="shared" si="16"/>
        <v>-244</v>
      </c>
      <c r="M68" s="19">
        <v>6</v>
      </c>
      <c r="N68" s="65">
        <f t="shared" si="29"/>
        <v>6</v>
      </c>
      <c r="O68" s="20"/>
      <c r="P68" s="21"/>
      <c r="Q68" s="42"/>
      <c r="R68" s="23">
        <f t="shared" si="17"/>
        <v>-90</v>
      </c>
      <c r="S68" s="52">
        <f t="shared" si="18"/>
        <v>0</v>
      </c>
      <c r="U68" s="51">
        <f t="shared" si="23"/>
        <v>42</v>
      </c>
      <c r="V68" s="23"/>
      <c r="W68" s="18">
        <f t="shared" si="19"/>
        <v>-4370</v>
      </c>
      <c r="X68" s="2"/>
      <c r="Y68" s="19">
        <v>45</v>
      </c>
      <c r="Z68" s="62">
        <f t="shared" si="24"/>
        <v>45</v>
      </c>
      <c r="AA68" s="20"/>
      <c r="AB68" s="21"/>
      <c r="AC68" s="42"/>
      <c r="AD68" s="23">
        <f t="shared" si="20"/>
        <v>-975</v>
      </c>
      <c r="AE68" s="23">
        <f t="shared" si="21"/>
        <v>0</v>
      </c>
      <c r="AG68" s="52"/>
    </row>
    <row r="69" spans="1:35">
      <c r="A69" s="96">
        <v>45959</v>
      </c>
      <c r="B69" s="17" t="s">
        <v>20</v>
      </c>
      <c r="C69" s="23">
        <v>48</v>
      </c>
      <c r="D69" s="23">
        <f t="shared" si="0"/>
        <v>0</v>
      </c>
      <c r="E69" s="23">
        <f t="shared" si="15"/>
        <v>-4668</v>
      </c>
      <c r="G69" s="19"/>
      <c r="H69" s="62"/>
      <c r="I69" s="51">
        <f t="shared" si="28"/>
        <v>3</v>
      </c>
      <c r="J69" s="18"/>
      <c r="K69" s="18">
        <f t="shared" si="16"/>
        <v>-247</v>
      </c>
      <c r="M69" s="19">
        <v>3</v>
      </c>
      <c r="N69" s="65">
        <f t="shared" si="29"/>
        <v>3</v>
      </c>
      <c r="O69" s="20"/>
      <c r="P69" s="21"/>
      <c r="Q69" s="42"/>
      <c r="R69" s="23">
        <f t="shared" si="17"/>
        <v>-93</v>
      </c>
      <c r="S69" s="52">
        <f t="shared" si="18"/>
        <v>0</v>
      </c>
      <c r="U69" s="51">
        <f t="shared" si="23"/>
        <v>45</v>
      </c>
      <c r="V69" s="23"/>
      <c r="W69" s="18">
        <f t="shared" si="19"/>
        <v>-4415</v>
      </c>
      <c r="X69" s="2"/>
      <c r="Y69" s="19">
        <v>39</v>
      </c>
      <c r="Z69" s="62">
        <f t="shared" si="24"/>
        <v>45</v>
      </c>
      <c r="AA69" s="20"/>
      <c r="AB69" s="21"/>
      <c r="AC69" s="42"/>
      <c r="AD69" s="23">
        <f t="shared" si="20"/>
        <v>-1014</v>
      </c>
      <c r="AE69" s="23">
        <f t="shared" si="21"/>
        <v>6</v>
      </c>
      <c r="AG69" s="52"/>
    </row>
    <row r="70" spans="1:35">
      <c r="A70" s="96">
        <v>45960</v>
      </c>
      <c r="B70" s="17" t="s">
        <v>14</v>
      </c>
      <c r="C70" s="23">
        <v>45</v>
      </c>
      <c r="D70" s="23">
        <f t="shared" si="0"/>
        <v>0</v>
      </c>
      <c r="E70" s="23">
        <f t="shared" si="15"/>
        <v>-4713</v>
      </c>
      <c r="G70" s="19"/>
      <c r="H70" s="62"/>
      <c r="I70" s="51">
        <f>N75</f>
        <v>6</v>
      </c>
      <c r="J70" s="18"/>
      <c r="K70" s="18">
        <f t="shared" si="16"/>
        <v>-253</v>
      </c>
      <c r="M70" s="19">
        <v>6</v>
      </c>
      <c r="N70" s="65">
        <f t="shared" si="29"/>
        <v>6</v>
      </c>
      <c r="O70" s="20"/>
      <c r="P70" s="21"/>
      <c r="Q70" s="42"/>
      <c r="R70" s="23">
        <f t="shared" si="17"/>
        <v>-99</v>
      </c>
      <c r="S70" s="52">
        <f t="shared" si="18"/>
        <v>0</v>
      </c>
      <c r="U70" s="51">
        <f t="shared" si="23"/>
        <v>39</v>
      </c>
      <c r="V70" s="23"/>
      <c r="W70" s="18">
        <f t="shared" si="19"/>
        <v>-4454</v>
      </c>
      <c r="X70" s="2"/>
      <c r="Y70" s="19">
        <v>42</v>
      </c>
      <c r="Z70" s="62">
        <f t="shared" si="24"/>
        <v>42</v>
      </c>
      <c r="AA70" s="20"/>
      <c r="AB70" s="21"/>
      <c r="AC70" s="42"/>
      <c r="AD70" s="23">
        <f t="shared" si="20"/>
        <v>-1056</v>
      </c>
      <c r="AE70" s="23">
        <f t="shared" si="21"/>
        <v>6</v>
      </c>
      <c r="AG70" s="52"/>
    </row>
    <row r="71" spans="1:35">
      <c r="A71" s="96">
        <v>45961</v>
      </c>
      <c r="B71" s="17" t="s">
        <v>15</v>
      </c>
      <c r="C71" s="23">
        <v>45</v>
      </c>
      <c r="D71" s="23">
        <f t="shared" si="0"/>
        <v>0</v>
      </c>
      <c r="E71" s="23">
        <f t="shared" si="15"/>
        <v>-4758</v>
      </c>
      <c r="G71" s="19"/>
      <c r="H71" s="62"/>
      <c r="I71" s="51">
        <f>N76</f>
        <v>6</v>
      </c>
      <c r="J71" s="18"/>
      <c r="K71" s="18">
        <f t="shared" si="16"/>
        <v>-259</v>
      </c>
      <c r="M71" s="19">
        <v>3</v>
      </c>
      <c r="N71" s="65">
        <f t="shared" si="29"/>
        <v>3</v>
      </c>
      <c r="O71" s="20"/>
      <c r="P71" s="21"/>
      <c r="Q71" s="42"/>
      <c r="R71" s="23">
        <f t="shared" si="17"/>
        <v>-102</v>
      </c>
      <c r="S71" s="52">
        <f t="shared" si="18"/>
        <v>0</v>
      </c>
      <c r="U71" s="51">
        <f t="shared" si="23"/>
        <v>39</v>
      </c>
      <c r="V71" s="23"/>
      <c r="W71" s="18">
        <f t="shared" si="19"/>
        <v>-4493</v>
      </c>
      <c r="X71" s="2"/>
      <c r="Y71" s="19">
        <v>42</v>
      </c>
      <c r="Z71" s="62">
        <f t="shared" si="24"/>
        <v>45</v>
      </c>
      <c r="AA71" s="20"/>
      <c r="AB71" s="21"/>
      <c r="AC71" s="42"/>
      <c r="AD71" s="23">
        <f t="shared" si="20"/>
        <v>-1098</v>
      </c>
      <c r="AE71" s="23">
        <f t="shared" si="21"/>
        <v>9</v>
      </c>
      <c r="AG71" s="52"/>
      <c r="AI71">
        <f>SUM(M67:M71,Y67:Y71)/COUNT(Y67:Y71)</f>
        <v>49.2</v>
      </c>
    </row>
    <row r="72" spans="1:35" s="12" customFormat="1">
      <c r="A72" s="95">
        <v>45962</v>
      </c>
      <c r="B72" s="25" t="s">
        <v>16</v>
      </c>
      <c r="C72" s="29"/>
      <c r="D72" s="29">
        <f t="shared" si="0"/>
        <v>0</v>
      </c>
      <c r="E72" s="29">
        <f t="shared" si="15"/>
        <v>-4758</v>
      </c>
      <c r="G72" s="64"/>
      <c r="H72" s="63"/>
      <c r="I72" s="53"/>
      <c r="J72" s="26"/>
      <c r="K72" s="26">
        <f t="shared" si="16"/>
        <v>-259</v>
      </c>
      <c r="M72" s="64"/>
      <c r="N72" s="66"/>
      <c r="O72" s="27"/>
      <c r="P72" s="28"/>
      <c r="Q72" s="43"/>
      <c r="R72" s="29">
        <f t="shared" si="17"/>
        <v>-102</v>
      </c>
      <c r="S72" s="54">
        <f t="shared" si="18"/>
        <v>0</v>
      </c>
      <c r="T72" s="11"/>
      <c r="U72" s="53"/>
      <c r="V72" s="29"/>
      <c r="W72" s="26">
        <f t="shared" si="19"/>
        <v>-4493</v>
      </c>
      <c r="X72" s="10"/>
      <c r="Y72" s="64"/>
      <c r="Z72" s="63"/>
      <c r="AA72" s="27"/>
      <c r="AB72" s="28"/>
      <c r="AC72" s="43"/>
      <c r="AD72" s="29">
        <f t="shared" si="20"/>
        <v>-1098</v>
      </c>
      <c r="AE72" s="29">
        <f t="shared" si="21"/>
        <v>9</v>
      </c>
      <c r="AG72" s="54"/>
      <c r="AI72" s="11"/>
    </row>
    <row r="73" spans="1:35" s="12" customFormat="1">
      <c r="A73" s="95">
        <v>45963</v>
      </c>
      <c r="B73" s="25" t="s">
        <v>17</v>
      </c>
      <c r="C73" s="29"/>
      <c r="D73" s="29">
        <f t="shared" si="0"/>
        <v>0</v>
      </c>
      <c r="E73" s="29">
        <f t="shared" si="15"/>
        <v>-4758</v>
      </c>
      <c r="G73" s="64"/>
      <c r="H73" s="63"/>
      <c r="I73" s="53"/>
      <c r="J73" s="26"/>
      <c r="K73" s="26">
        <f t="shared" si="16"/>
        <v>-259</v>
      </c>
      <c r="M73" s="64"/>
      <c r="N73" s="66"/>
      <c r="O73" s="27"/>
      <c r="P73" s="28"/>
      <c r="Q73" s="43"/>
      <c r="R73" s="29">
        <f t="shared" si="17"/>
        <v>-102</v>
      </c>
      <c r="S73" s="54">
        <f t="shared" si="18"/>
        <v>0</v>
      </c>
      <c r="T73" s="11"/>
      <c r="U73" s="53"/>
      <c r="V73" s="29"/>
      <c r="W73" s="26">
        <f t="shared" si="19"/>
        <v>-4493</v>
      </c>
      <c r="X73" s="10"/>
      <c r="Y73" s="64"/>
      <c r="Z73" s="63"/>
      <c r="AA73" s="27"/>
      <c r="AB73" s="28"/>
      <c r="AC73" s="43"/>
      <c r="AD73" s="29">
        <f t="shared" si="20"/>
        <v>-1098</v>
      </c>
      <c r="AE73" s="29">
        <f t="shared" si="21"/>
        <v>9</v>
      </c>
      <c r="AG73" s="54"/>
      <c r="AI73" s="11"/>
    </row>
    <row r="74" spans="1:35" s="12" customFormat="1">
      <c r="A74" s="95">
        <v>45964</v>
      </c>
      <c r="B74" s="25" t="s">
        <v>18</v>
      </c>
      <c r="C74" s="29"/>
      <c r="D74" s="29">
        <f t="shared" si="0"/>
        <v>0</v>
      </c>
      <c r="E74" s="29">
        <f t="shared" si="15"/>
        <v>-4758</v>
      </c>
      <c r="G74" s="64"/>
      <c r="H74" s="63"/>
      <c r="I74" s="53"/>
      <c r="J74" s="26"/>
      <c r="K74" s="26">
        <f t="shared" si="16"/>
        <v>-259</v>
      </c>
      <c r="M74" s="64"/>
      <c r="N74" s="66"/>
      <c r="O74" s="27"/>
      <c r="P74" s="28"/>
      <c r="Q74" s="43"/>
      <c r="R74" s="29">
        <f t="shared" si="17"/>
        <v>-102</v>
      </c>
      <c r="S74" s="54">
        <f t="shared" si="18"/>
        <v>0</v>
      </c>
      <c r="T74" s="11"/>
      <c r="U74" s="53"/>
      <c r="V74" s="29"/>
      <c r="W74" s="26">
        <f t="shared" si="19"/>
        <v>-4493</v>
      </c>
      <c r="X74" s="10"/>
      <c r="Y74" s="64"/>
      <c r="Z74" s="63"/>
      <c r="AA74" s="27"/>
      <c r="AB74" s="28"/>
      <c r="AC74" s="43"/>
      <c r="AD74" s="29">
        <f t="shared" si="20"/>
        <v>-1098</v>
      </c>
      <c r="AE74" s="29">
        <f t="shared" si="21"/>
        <v>9</v>
      </c>
      <c r="AG74" s="54"/>
      <c r="AI74" s="11"/>
    </row>
    <row r="75" spans="1:35">
      <c r="A75" s="96">
        <v>45965</v>
      </c>
      <c r="B75" s="17" t="s">
        <v>19</v>
      </c>
      <c r="C75" s="23">
        <v>45</v>
      </c>
      <c r="D75" s="23">
        <f t="shared" ref="D75:D106" si="30">J75+V75</f>
        <v>0</v>
      </c>
      <c r="E75" s="23">
        <f t="shared" ref="E75:E106" si="31">E74-C75+D75</f>
        <v>-4803</v>
      </c>
      <c r="G75" s="19"/>
      <c r="H75" s="62"/>
      <c r="I75" s="51">
        <f t="shared" ref="I75:I78" si="32">IF(M77&lt;&gt;"",N77,IF(M79&lt;&gt;"",N79,IF(M327&lt;&gt;"",N327,IF(M328&lt;&gt;"",N328,IF(M329&lt;&gt;"",N329,IF(M330&lt;&gt;"",N330))))))</f>
        <v>3</v>
      </c>
      <c r="J75" s="18"/>
      <c r="K75" s="18">
        <f t="shared" ref="K75:K106" si="33">J75-I75+K74</f>
        <v>-262</v>
      </c>
      <c r="M75" s="19">
        <v>6</v>
      </c>
      <c r="N75" s="65">
        <f t="shared" ref="N75:N106" si="34">M75</f>
        <v>6</v>
      </c>
      <c r="O75" s="20"/>
      <c r="P75" s="21"/>
      <c r="Q75" s="42"/>
      <c r="R75" s="23">
        <f t="shared" ref="R75:R106" si="35">R74-M75+Q75</f>
        <v>-108</v>
      </c>
      <c r="S75" s="52">
        <f t="shared" ref="S75:S106" si="36">S74-M75+N75</f>
        <v>0</v>
      </c>
      <c r="U75" s="51">
        <f t="shared" ref="U75:U106" si="37">C75-I75</f>
        <v>42</v>
      </c>
      <c r="V75" s="23"/>
      <c r="W75" s="18">
        <f t="shared" ref="W75:W106" si="38">V75-U75+W74</f>
        <v>-4535</v>
      </c>
      <c r="X75" s="2"/>
      <c r="Y75" s="19">
        <v>42</v>
      </c>
      <c r="Z75" s="62">
        <f>U70</f>
        <v>39</v>
      </c>
      <c r="AA75" s="20"/>
      <c r="AB75" s="21"/>
      <c r="AC75" s="42"/>
      <c r="AD75" s="23">
        <f t="shared" ref="AD75:AD106" si="39">AD74-Y75+AC75</f>
        <v>-1140</v>
      </c>
      <c r="AE75" s="23">
        <f t="shared" ref="AE75:AE106" si="40">AE74-Y75+Z75</f>
        <v>6</v>
      </c>
      <c r="AG75" s="52"/>
    </row>
    <row r="76" spans="1:35">
      <c r="A76" s="96">
        <v>45966</v>
      </c>
      <c r="B76" s="17" t="s">
        <v>20</v>
      </c>
      <c r="C76" s="23">
        <v>45</v>
      </c>
      <c r="D76" s="23">
        <f t="shared" si="30"/>
        <v>0</v>
      </c>
      <c r="E76" s="23">
        <f t="shared" si="31"/>
        <v>-4848</v>
      </c>
      <c r="G76" s="19"/>
      <c r="H76" s="62"/>
      <c r="I76" s="51">
        <f t="shared" si="32"/>
        <v>3</v>
      </c>
      <c r="J76" s="18"/>
      <c r="K76" s="18">
        <f t="shared" si="33"/>
        <v>-265</v>
      </c>
      <c r="M76" s="19">
        <v>6</v>
      </c>
      <c r="N76" s="65">
        <f t="shared" si="34"/>
        <v>6</v>
      </c>
      <c r="O76" s="20"/>
      <c r="P76" s="21"/>
      <c r="Q76" s="42"/>
      <c r="R76" s="23">
        <f t="shared" si="35"/>
        <v>-114</v>
      </c>
      <c r="S76" s="52">
        <f t="shared" si="36"/>
        <v>0</v>
      </c>
      <c r="U76" s="51">
        <f t="shared" si="37"/>
        <v>42</v>
      </c>
      <c r="V76" s="23"/>
      <c r="W76" s="18">
        <f t="shared" si="38"/>
        <v>-4577</v>
      </c>
      <c r="X76" s="2"/>
      <c r="Y76" s="19">
        <v>42</v>
      </c>
      <c r="Z76" s="62">
        <f>U71</f>
        <v>39</v>
      </c>
      <c r="AA76" s="20"/>
      <c r="AB76" s="21"/>
      <c r="AC76" s="42"/>
      <c r="AD76" s="23">
        <f t="shared" si="39"/>
        <v>-1182</v>
      </c>
      <c r="AE76" s="23">
        <f t="shared" si="40"/>
        <v>3</v>
      </c>
      <c r="AG76" s="52"/>
    </row>
    <row r="77" spans="1:35">
      <c r="A77" s="96">
        <v>45967</v>
      </c>
      <c r="B77" s="17" t="s">
        <v>14</v>
      </c>
      <c r="C77" s="23">
        <v>45</v>
      </c>
      <c r="D77" s="23">
        <f t="shared" si="30"/>
        <v>0</v>
      </c>
      <c r="E77" s="23">
        <f t="shared" si="31"/>
        <v>-4893</v>
      </c>
      <c r="G77" s="19"/>
      <c r="H77" s="62"/>
      <c r="I77" s="51">
        <f t="shared" si="32"/>
        <v>6</v>
      </c>
      <c r="J77" s="18"/>
      <c r="K77" s="18">
        <f t="shared" si="33"/>
        <v>-271</v>
      </c>
      <c r="M77" s="19">
        <v>3</v>
      </c>
      <c r="N77" s="65">
        <f t="shared" si="34"/>
        <v>3</v>
      </c>
      <c r="O77" s="20"/>
      <c r="P77" s="21"/>
      <c r="Q77" s="42"/>
      <c r="R77" s="23">
        <f t="shared" si="35"/>
        <v>-117</v>
      </c>
      <c r="S77" s="52">
        <f t="shared" si="36"/>
        <v>0</v>
      </c>
      <c r="U77" s="51">
        <f t="shared" si="37"/>
        <v>39</v>
      </c>
      <c r="V77" s="23"/>
      <c r="W77" s="18">
        <f t="shared" si="38"/>
        <v>-4616</v>
      </c>
      <c r="X77" s="2"/>
      <c r="Y77" s="19">
        <v>42</v>
      </c>
      <c r="Z77" s="62">
        <f t="shared" ref="Z77:Z106" si="41">IF(U75&lt;&gt;"",U75+AA77,IF(U73&lt;&gt;"",U73+AA77,IF(U72&lt;&gt;"",U72+AA77,IF(U71&lt;&gt;"",U71+AA77,IF(U70&lt;&gt;"",U70+AA77,IF(U69&lt;&gt;"",U69+AA77))))))</f>
        <v>42</v>
      </c>
      <c r="AA77" s="20"/>
      <c r="AB77" s="21"/>
      <c r="AC77" s="42"/>
      <c r="AD77" s="23">
        <f t="shared" si="39"/>
        <v>-1224</v>
      </c>
      <c r="AE77" s="23">
        <f t="shared" si="40"/>
        <v>3</v>
      </c>
      <c r="AG77" s="52"/>
    </row>
    <row r="78" spans="1:35">
      <c r="A78" s="96">
        <v>45968</v>
      </c>
      <c r="B78" s="17" t="s">
        <v>15</v>
      </c>
      <c r="C78" s="23">
        <v>45</v>
      </c>
      <c r="D78" s="23">
        <f t="shared" si="30"/>
        <v>0</v>
      </c>
      <c r="E78" s="23">
        <f t="shared" si="31"/>
        <v>-4938</v>
      </c>
      <c r="G78" s="19"/>
      <c r="H78" s="62"/>
      <c r="I78" s="51">
        <f t="shared" si="32"/>
        <v>3</v>
      </c>
      <c r="J78" s="18"/>
      <c r="K78" s="18">
        <f t="shared" si="33"/>
        <v>-274</v>
      </c>
      <c r="M78" s="19">
        <v>3</v>
      </c>
      <c r="N78" s="65">
        <f t="shared" si="34"/>
        <v>3</v>
      </c>
      <c r="O78" s="20"/>
      <c r="P78" s="21"/>
      <c r="Q78" s="42"/>
      <c r="R78" s="23">
        <f t="shared" si="35"/>
        <v>-120</v>
      </c>
      <c r="S78" s="52">
        <f t="shared" si="36"/>
        <v>0</v>
      </c>
      <c r="U78" s="51">
        <f t="shared" si="37"/>
        <v>42</v>
      </c>
      <c r="V78" s="23"/>
      <c r="W78" s="18">
        <f t="shared" si="38"/>
        <v>-4658</v>
      </c>
      <c r="X78" s="2"/>
      <c r="Y78" s="19">
        <v>42</v>
      </c>
      <c r="Z78" s="62">
        <f t="shared" si="41"/>
        <v>42</v>
      </c>
      <c r="AA78" s="20"/>
      <c r="AB78" s="21"/>
      <c r="AC78" s="42"/>
      <c r="AD78" s="23">
        <f t="shared" si="39"/>
        <v>-1266</v>
      </c>
      <c r="AE78" s="23">
        <f t="shared" si="40"/>
        <v>3</v>
      </c>
      <c r="AG78" s="52"/>
    </row>
    <row r="79" spans="1:35" s="12" customFormat="1">
      <c r="A79" s="95">
        <v>45969</v>
      </c>
      <c r="B79" s="25" t="s">
        <v>16</v>
      </c>
      <c r="C79" s="29"/>
      <c r="D79" s="29">
        <f t="shared" si="30"/>
        <v>0</v>
      </c>
      <c r="E79" s="29">
        <f t="shared" si="31"/>
        <v>-4938</v>
      </c>
      <c r="G79" s="64"/>
      <c r="H79" s="63"/>
      <c r="I79" s="53"/>
      <c r="J79" s="26"/>
      <c r="K79" s="26">
        <f t="shared" si="33"/>
        <v>-274</v>
      </c>
      <c r="M79" s="64"/>
      <c r="N79" s="66"/>
      <c r="O79" s="27"/>
      <c r="P79" s="28"/>
      <c r="Q79" s="43"/>
      <c r="R79" s="29">
        <f t="shared" si="35"/>
        <v>-120</v>
      </c>
      <c r="S79" s="54">
        <f t="shared" si="36"/>
        <v>0</v>
      </c>
      <c r="T79" s="11"/>
      <c r="U79" s="53"/>
      <c r="V79" s="29"/>
      <c r="W79" s="26">
        <f t="shared" si="38"/>
        <v>-4658</v>
      </c>
      <c r="X79" s="10"/>
      <c r="Y79" s="64"/>
      <c r="Z79" s="63"/>
      <c r="AA79" s="27"/>
      <c r="AB79" s="28"/>
      <c r="AC79" s="43"/>
      <c r="AD79" s="29">
        <f t="shared" si="39"/>
        <v>-1266</v>
      </c>
      <c r="AE79" s="29">
        <f t="shared" si="40"/>
        <v>3</v>
      </c>
      <c r="AG79" s="54"/>
      <c r="AI79" s="11"/>
    </row>
    <row r="80" spans="1:35" s="12" customFormat="1">
      <c r="A80" s="95">
        <v>45970</v>
      </c>
      <c r="B80" s="25" t="s">
        <v>17</v>
      </c>
      <c r="C80" s="29"/>
      <c r="D80" s="29">
        <f t="shared" si="30"/>
        <v>0</v>
      </c>
      <c r="E80" s="29">
        <f t="shared" si="31"/>
        <v>-4938</v>
      </c>
      <c r="G80" s="64"/>
      <c r="H80" s="63"/>
      <c r="I80" s="53"/>
      <c r="J80" s="26"/>
      <c r="K80" s="26">
        <f t="shared" si="33"/>
        <v>-274</v>
      </c>
      <c r="M80" s="64"/>
      <c r="N80" s="66"/>
      <c r="O80" s="27"/>
      <c r="P80" s="28"/>
      <c r="Q80" s="43"/>
      <c r="R80" s="29">
        <f t="shared" si="35"/>
        <v>-120</v>
      </c>
      <c r="S80" s="54">
        <f t="shared" si="36"/>
        <v>0</v>
      </c>
      <c r="T80" s="11"/>
      <c r="U80" s="53"/>
      <c r="V80" s="29"/>
      <c r="W80" s="26">
        <f t="shared" si="38"/>
        <v>-4658</v>
      </c>
      <c r="X80" s="10"/>
      <c r="Y80" s="64"/>
      <c r="Z80" s="63"/>
      <c r="AA80" s="27"/>
      <c r="AB80" s="28"/>
      <c r="AC80" s="43"/>
      <c r="AD80" s="29">
        <f t="shared" si="39"/>
        <v>-1266</v>
      </c>
      <c r="AE80" s="29">
        <f t="shared" si="40"/>
        <v>3</v>
      </c>
      <c r="AG80" s="54"/>
      <c r="AI80" s="11"/>
    </row>
    <row r="81" spans="1:35">
      <c r="A81" s="96">
        <v>45971</v>
      </c>
      <c r="B81" s="17" t="s">
        <v>18</v>
      </c>
      <c r="C81" s="23">
        <v>48</v>
      </c>
      <c r="D81" s="23">
        <f t="shared" si="30"/>
        <v>0</v>
      </c>
      <c r="E81" s="23">
        <f t="shared" si="31"/>
        <v>-4986</v>
      </c>
      <c r="G81" s="19"/>
      <c r="H81" s="62"/>
      <c r="I81" s="51">
        <f t="shared" ref="I81:I85" si="42">IF(M83&lt;&gt;"",N83,IF(M85&lt;&gt;"",N85,IF(M333&lt;&gt;"",N333,IF(M334&lt;&gt;"",N334,IF(M335&lt;&gt;"",N335,IF(M336&lt;&gt;"",N336))))))</f>
        <v>6</v>
      </c>
      <c r="J81" s="18"/>
      <c r="K81" s="18">
        <f t="shared" si="33"/>
        <v>-280</v>
      </c>
      <c r="M81" s="19">
        <v>6</v>
      </c>
      <c r="N81" s="65">
        <f t="shared" si="34"/>
        <v>6</v>
      </c>
      <c r="O81" s="20"/>
      <c r="P81" s="21"/>
      <c r="Q81" s="42"/>
      <c r="R81" s="23">
        <f t="shared" si="35"/>
        <v>-126</v>
      </c>
      <c r="S81" s="52">
        <f t="shared" si="36"/>
        <v>0</v>
      </c>
      <c r="U81" s="51">
        <f t="shared" si="37"/>
        <v>42</v>
      </c>
      <c r="V81" s="23"/>
      <c r="W81" s="18">
        <f t="shared" si="38"/>
        <v>-4700</v>
      </c>
      <c r="X81" s="2"/>
      <c r="Y81" s="19">
        <v>42</v>
      </c>
      <c r="Z81" s="62">
        <f t="shared" si="41"/>
        <v>39</v>
      </c>
      <c r="AA81" s="20"/>
      <c r="AB81" s="21"/>
      <c r="AC81" s="42"/>
      <c r="AD81" s="23">
        <f t="shared" si="39"/>
        <v>-1308</v>
      </c>
      <c r="AE81" s="23">
        <f t="shared" si="40"/>
        <v>0</v>
      </c>
      <c r="AG81" s="52"/>
    </row>
    <row r="82" spans="1:35">
      <c r="A82" s="96">
        <v>45972</v>
      </c>
      <c r="B82" s="17" t="s">
        <v>19</v>
      </c>
      <c r="C82" s="23">
        <v>48</v>
      </c>
      <c r="D82" s="23">
        <f t="shared" si="30"/>
        <v>0</v>
      </c>
      <c r="E82" s="23">
        <f t="shared" si="31"/>
        <v>-5034</v>
      </c>
      <c r="G82" s="19"/>
      <c r="H82" s="62"/>
      <c r="I82" s="51">
        <f t="shared" si="42"/>
        <v>3</v>
      </c>
      <c r="J82" s="18"/>
      <c r="K82" s="18">
        <f t="shared" si="33"/>
        <v>-283</v>
      </c>
      <c r="M82" s="19">
        <v>3</v>
      </c>
      <c r="N82" s="65">
        <f t="shared" si="34"/>
        <v>3</v>
      </c>
      <c r="O82" s="20"/>
      <c r="P82" s="21"/>
      <c r="Q82" s="42"/>
      <c r="R82" s="23">
        <f t="shared" si="35"/>
        <v>-129</v>
      </c>
      <c r="S82" s="52">
        <f t="shared" si="36"/>
        <v>0</v>
      </c>
      <c r="U82" s="51">
        <f t="shared" si="37"/>
        <v>45</v>
      </c>
      <c r="V82" s="23"/>
      <c r="W82" s="18">
        <f t="shared" si="38"/>
        <v>-4745</v>
      </c>
      <c r="X82" s="2"/>
      <c r="Y82" s="19">
        <v>42</v>
      </c>
      <c r="Z82" s="62">
        <f t="shared" si="41"/>
        <v>42</v>
      </c>
      <c r="AA82" s="20"/>
      <c r="AB82" s="21"/>
      <c r="AC82" s="42"/>
      <c r="AD82" s="23">
        <f t="shared" si="39"/>
        <v>-1350</v>
      </c>
      <c r="AE82" s="23">
        <f t="shared" si="40"/>
        <v>0</v>
      </c>
      <c r="AG82" s="52"/>
    </row>
    <row r="83" spans="1:35">
      <c r="A83" s="96">
        <v>45973</v>
      </c>
      <c r="B83" s="17" t="s">
        <v>20</v>
      </c>
      <c r="C83" s="23">
        <v>48</v>
      </c>
      <c r="D83" s="23">
        <f t="shared" si="30"/>
        <v>0</v>
      </c>
      <c r="E83" s="23">
        <f t="shared" si="31"/>
        <v>-5082</v>
      </c>
      <c r="G83" s="19"/>
      <c r="H83" s="62"/>
      <c r="I83" s="51">
        <f t="shared" si="42"/>
        <v>3</v>
      </c>
      <c r="J83" s="18"/>
      <c r="K83" s="18">
        <f t="shared" si="33"/>
        <v>-286</v>
      </c>
      <c r="M83" s="19">
        <v>6</v>
      </c>
      <c r="N83" s="65">
        <f t="shared" si="34"/>
        <v>6</v>
      </c>
      <c r="O83" s="20"/>
      <c r="P83" s="21"/>
      <c r="Q83" s="42"/>
      <c r="R83" s="23">
        <f t="shared" si="35"/>
        <v>-135</v>
      </c>
      <c r="S83" s="52">
        <f t="shared" si="36"/>
        <v>0</v>
      </c>
      <c r="U83" s="51">
        <f t="shared" si="37"/>
        <v>45</v>
      </c>
      <c r="V83" s="23"/>
      <c r="W83" s="18">
        <f t="shared" si="38"/>
        <v>-4790</v>
      </c>
      <c r="X83" s="2"/>
      <c r="Y83" s="19">
        <v>39</v>
      </c>
      <c r="Z83" s="62">
        <f t="shared" si="41"/>
        <v>42</v>
      </c>
      <c r="AA83" s="20"/>
      <c r="AB83" s="21"/>
      <c r="AC83" s="42"/>
      <c r="AD83" s="23">
        <f t="shared" si="39"/>
        <v>-1389</v>
      </c>
      <c r="AE83" s="23">
        <f t="shared" si="40"/>
        <v>3</v>
      </c>
      <c r="AG83" s="52"/>
    </row>
    <row r="84" spans="1:35">
      <c r="A84" s="96">
        <v>45974</v>
      </c>
      <c r="B84" s="17" t="s">
        <v>14</v>
      </c>
      <c r="C84" s="23">
        <v>48</v>
      </c>
      <c r="D84" s="23">
        <f t="shared" si="30"/>
        <v>0</v>
      </c>
      <c r="E84" s="23">
        <f t="shared" si="31"/>
        <v>-5130</v>
      </c>
      <c r="G84" s="19"/>
      <c r="H84" s="62"/>
      <c r="I84" s="51">
        <f t="shared" si="42"/>
        <v>6</v>
      </c>
      <c r="J84" s="18"/>
      <c r="K84" s="18">
        <f t="shared" si="33"/>
        <v>-292</v>
      </c>
      <c r="M84" s="19">
        <v>3</v>
      </c>
      <c r="N84" s="65">
        <f t="shared" si="34"/>
        <v>3</v>
      </c>
      <c r="O84" s="20"/>
      <c r="P84" s="21"/>
      <c r="Q84" s="42"/>
      <c r="R84" s="23">
        <f t="shared" si="35"/>
        <v>-138</v>
      </c>
      <c r="S84" s="52">
        <f t="shared" si="36"/>
        <v>0</v>
      </c>
      <c r="U84" s="51">
        <f t="shared" si="37"/>
        <v>42</v>
      </c>
      <c r="V84" s="23"/>
      <c r="W84" s="18">
        <f t="shared" si="38"/>
        <v>-4832</v>
      </c>
      <c r="X84" s="2"/>
      <c r="Y84" s="19">
        <v>42</v>
      </c>
      <c r="Z84" s="62">
        <f t="shared" si="41"/>
        <v>45</v>
      </c>
      <c r="AA84" s="20"/>
      <c r="AB84" s="21"/>
      <c r="AC84" s="42"/>
      <c r="AD84" s="23">
        <f t="shared" si="39"/>
        <v>-1431</v>
      </c>
      <c r="AE84" s="23">
        <f t="shared" si="40"/>
        <v>6</v>
      </c>
      <c r="AG84" s="52"/>
    </row>
    <row r="85" spans="1:35">
      <c r="A85" s="96">
        <v>45975</v>
      </c>
      <c r="B85" s="17" t="s">
        <v>15</v>
      </c>
      <c r="C85" s="23">
        <v>54</v>
      </c>
      <c r="D85" s="23">
        <f t="shared" si="30"/>
        <v>0</v>
      </c>
      <c r="E85" s="23">
        <f t="shared" si="31"/>
        <v>-5184</v>
      </c>
      <c r="G85" s="19"/>
      <c r="H85" s="62"/>
      <c r="I85" s="51">
        <f t="shared" si="42"/>
        <v>3</v>
      </c>
      <c r="J85" s="18"/>
      <c r="K85" s="18">
        <f t="shared" si="33"/>
        <v>-295</v>
      </c>
      <c r="M85" s="19">
        <v>3</v>
      </c>
      <c r="N85" s="65">
        <f t="shared" si="34"/>
        <v>3</v>
      </c>
      <c r="O85" s="20"/>
      <c r="P85" s="21"/>
      <c r="Q85" s="42"/>
      <c r="R85" s="23">
        <f t="shared" si="35"/>
        <v>-141</v>
      </c>
      <c r="S85" s="52">
        <f t="shared" si="36"/>
        <v>0</v>
      </c>
      <c r="U85" s="51">
        <f t="shared" si="37"/>
        <v>51</v>
      </c>
      <c r="V85" s="23"/>
      <c r="W85" s="18">
        <f t="shared" si="38"/>
        <v>-4883</v>
      </c>
      <c r="X85" s="2"/>
      <c r="Y85" s="19">
        <v>45</v>
      </c>
      <c r="Z85" s="62">
        <f t="shared" si="41"/>
        <v>45</v>
      </c>
      <c r="AA85" s="20"/>
      <c r="AB85" s="21"/>
      <c r="AC85" s="42"/>
      <c r="AD85" s="23">
        <f t="shared" si="39"/>
        <v>-1476</v>
      </c>
      <c r="AE85" s="23">
        <f t="shared" si="40"/>
        <v>6</v>
      </c>
      <c r="AG85" s="52"/>
    </row>
    <row r="86" spans="1:35" s="12" customFormat="1">
      <c r="A86" s="95">
        <v>45976</v>
      </c>
      <c r="B86" s="25" t="s">
        <v>16</v>
      </c>
      <c r="C86" s="29"/>
      <c r="D86" s="29">
        <f t="shared" si="30"/>
        <v>0</v>
      </c>
      <c r="E86" s="29">
        <f t="shared" si="31"/>
        <v>-5184</v>
      </c>
      <c r="G86" s="64"/>
      <c r="H86" s="63"/>
      <c r="I86" s="53"/>
      <c r="J86" s="26"/>
      <c r="K86" s="26">
        <f t="shared" si="33"/>
        <v>-295</v>
      </c>
      <c r="M86" s="64"/>
      <c r="N86" s="66"/>
      <c r="O86" s="27"/>
      <c r="P86" s="28"/>
      <c r="Q86" s="43"/>
      <c r="R86" s="29">
        <f t="shared" si="35"/>
        <v>-141</v>
      </c>
      <c r="S86" s="54">
        <f t="shared" si="36"/>
        <v>0</v>
      </c>
      <c r="T86" s="11"/>
      <c r="U86" s="53"/>
      <c r="V86" s="29"/>
      <c r="W86" s="26">
        <f t="shared" si="38"/>
        <v>-4883</v>
      </c>
      <c r="X86" s="10"/>
      <c r="Y86" s="64"/>
      <c r="Z86" s="63"/>
      <c r="AA86" s="27"/>
      <c r="AB86" s="28"/>
      <c r="AC86" s="43"/>
      <c r="AD86" s="29">
        <f t="shared" si="39"/>
        <v>-1476</v>
      </c>
      <c r="AE86" s="29">
        <f t="shared" si="40"/>
        <v>6</v>
      </c>
      <c r="AG86" s="54"/>
      <c r="AI86" s="11"/>
    </row>
    <row r="87" spans="1:35" s="12" customFormat="1">
      <c r="A87" s="95">
        <v>45977</v>
      </c>
      <c r="B87" s="25" t="s">
        <v>17</v>
      </c>
      <c r="C87" s="29"/>
      <c r="D87" s="29">
        <f t="shared" si="30"/>
        <v>0</v>
      </c>
      <c r="E87" s="29">
        <f t="shared" si="31"/>
        <v>-5184</v>
      </c>
      <c r="G87" s="64"/>
      <c r="H87" s="63"/>
      <c r="I87" s="53"/>
      <c r="J87" s="26"/>
      <c r="K87" s="26">
        <f t="shared" si="33"/>
        <v>-295</v>
      </c>
      <c r="M87" s="64"/>
      <c r="N87" s="66"/>
      <c r="O87" s="27"/>
      <c r="P87" s="28"/>
      <c r="Q87" s="43"/>
      <c r="R87" s="29">
        <f t="shared" si="35"/>
        <v>-141</v>
      </c>
      <c r="S87" s="54">
        <f t="shared" si="36"/>
        <v>0</v>
      </c>
      <c r="T87" s="11"/>
      <c r="U87" s="53"/>
      <c r="V87" s="29"/>
      <c r="W87" s="26">
        <f t="shared" si="38"/>
        <v>-4883</v>
      </c>
      <c r="X87" s="10"/>
      <c r="Y87" s="64"/>
      <c r="Z87" s="63"/>
      <c r="AA87" s="27"/>
      <c r="AB87" s="28"/>
      <c r="AC87" s="43"/>
      <c r="AD87" s="29">
        <f t="shared" si="39"/>
        <v>-1476</v>
      </c>
      <c r="AE87" s="29">
        <f t="shared" si="40"/>
        <v>6</v>
      </c>
      <c r="AG87" s="54"/>
      <c r="AI87" s="11"/>
    </row>
    <row r="88" spans="1:35">
      <c r="A88" s="96">
        <v>45978</v>
      </c>
      <c r="B88" s="17" t="s">
        <v>18</v>
      </c>
      <c r="C88" s="23">
        <v>54</v>
      </c>
      <c r="D88" s="23">
        <f t="shared" si="30"/>
        <v>0</v>
      </c>
      <c r="E88" s="23">
        <f t="shared" si="31"/>
        <v>-5238</v>
      </c>
      <c r="G88" s="19"/>
      <c r="H88" s="62"/>
      <c r="I88" s="51">
        <f t="shared" si="28"/>
        <v>0</v>
      </c>
      <c r="J88" s="18"/>
      <c r="K88" s="18">
        <f t="shared" si="33"/>
        <v>-295</v>
      </c>
      <c r="M88" s="19">
        <v>6</v>
      </c>
      <c r="N88" s="65">
        <f t="shared" si="34"/>
        <v>6</v>
      </c>
      <c r="O88" s="20"/>
      <c r="P88" s="21"/>
      <c r="Q88" s="42"/>
      <c r="R88" s="23">
        <f t="shared" si="35"/>
        <v>-147</v>
      </c>
      <c r="S88" s="52">
        <f t="shared" si="36"/>
        <v>0</v>
      </c>
      <c r="U88" s="51">
        <f t="shared" si="37"/>
        <v>54</v>
      </c>
      <c r="V88" s="23"/>
      <c r="W88" s="18">
        <f t="shared" si="38"/>
        <v>-4937</v>
      </c>
      <c r="X88" s="2"/>
      <c r="Y88" s="19">
        <v>48</v>
      </c>
      <c r="Z88" s="62">
        <f t="shared" si="41"/>
        <v>42</v>
      </c>
      <c r="AA88" s="20"/>
      <c r="AB88" s="21"/>
      <c r="AC88" s="42"/>
      <c r="AD88" s="23">
        <f t="shared" si="39"/>
        <v>-1524</v>
      </c>
      <c r="AE88" s="23">
        <f t="shared" si="40"/>
        <v>0</v>
      </c>
      <c r="AG88" s="52"/>
    </row>
    <row r="89" spans="1:35">
      <c r="A89" s="96">
        <v>45979</v>
      </c>
      <c r="B89" s="17" t="s">
        <v>19</v>
      </c>
      <c r="C89" s="23">
        <v>54</v>
      </c>
      <c r="D89" s="23">
        <f t="shared" si="30"/>
        <v>0</v>
      </c>
      <c r="E89" s="23">
        <f t="shared" si="31"/>
        <v>-5292</v>
      </c>
      <c r="G89" s="19"/>
      <c r="H89" s="62"/>
      <c r="I89" s="51">
        <f t="shared" si="28"/>
        <v>0</v>
      </c>
      <c r="J89" s="18"/>
      <c r="K89" s="18">
        <f t="shared" si="33"/>
        <v>-295</v>
      </c>
      <c r="M89" s="19">
        <v>3</v>
      </c>
      <c r="N89" s="65">
        <f t="shared" si="34"/>
        <v>3</v>
      </c>
      <c r="O89" s="20"/>
      <c r="P89" s="21"/>
      <c r="Q89" s="42"/>
      <c r="R89" s="23">
        <f t="shared" si="35"/>
        <v>-150</v>
      </c>
      <c r="S89" s="52">
        <f t="shared" si="36"/>
        <v>0</v>
      </c>
      <c r="U89" s="51">
        <f t="shared" si="37"/>
        <v>54</v>
      </c>
      <c r="V89" s="23"/>
      <c r="W89" s="18">
        <f t="shared" si="38"/>
        <v>-4991</v>
      </c>
      <c r="X89" s="2"/>
      <c r="Y89" s="19">
        <v>45</v>
      </c>
      <c r="Z89" s="62">
        <f t="shared" si="41"/>
        <v>51</v>
      </c>
      <c r="AA89" s="20"/>
      <c r="AB89" s="21"/>
      <c r="AC89" s="42"/>
      <c r="AD89" s="23">
        <f t="shared" si="39"/>
        <v>-1569</v>
      </c>
      <c r="AE89" s="23">
        <f t="shared" si="40"/>
        <v>6</v>
      </c>
      <c r="AG89" s="52"/>
    </row>
    <row r="90" spans="1:35">
      <c r="A90" s="96">
        <v>45980</v>
      </c>
      <c r="B90" s="17" t="s">
        <v>20</v>
      </c>
      <c r="C90" s="23">
        <v>54</v>
      </c>
      <c r="D90" s="23">
        <f t="shared" si="30"/>
        <v>0</v>
      </c>
      <c r="E90" s="23">
        <f t="shared" si="31"/>
        <v>-5346</v>
      </c>
      <c r="G90" s="19"/>
      <c r="H90" s="62"/>
      <c r="I90" s="51">
        <f>IF(M92&lt;&gt;"",N92,IF(M94&lt;&gt;"",N94,IF(M342&lt;&gt;"",N342,IF(M343&lt;&gt;"",N343,IF(M344&lt;&gt;"",N344,IF(M345&lt;&gt;"",N345))))))</f>
        <v>3</v>
      </c>
      <c r="J90" s="18"/>
      <c r="K90" s="18">
        <f t="shared" si="33"/>
        <v>-298</v>
      </c>
      <c r="M90" s="19">
        <v>0</v>
      </c>
      <c r="N90" s="65">
        <f t="shared" si="34"/>
        <v>0</v>
      </c>
      <c r="O90" s="20"/>
      <c r="P90" s="21"/>
      <c r="Q90" s="42"/>
      <c r="R90" s="23">
        <f t="shared" si="35"/>
        <v>-150</v>
      </c>
      <c r="S90" s="52">
        <f t="shared" si="36"/>
        <v>0</v>
      </c>
      <c r="U90" s="51">
        <f t="shared" si="37"/>
        <v>51</v>
      </c>
      <c r="V90" s="23"/>
      <c r="W90" s="18">
        <f t="shared" si="38"/>
        <v>-5042</v>
      </c>
      <c r="X90" s="2"/>
      <c r="Y90" s="19">
        <v>51</v>
      </c>
      <c r="Z90" s="62">
        <f t="shared" si="41"/>
        <v>54</v>
      </c>
      <c r="AA90" s="20"/>
      <c r="AB90" s="21"/>
      <c r="AC90" s="42"/>
      <c r="AD90" s="23">
        <f t="shared" si="39"/>
        <v>-1620</v>
      </c>
      <c r="AE90" s="23">
        <f t="shared" si="40"/>
        <v>9</v>
      </c>
      <c r="AG90" s="52"/>
    </row>
    <row r="91" spans="1:35">
      <c r="A91" s="96">
        <v>45981</v>
      </c>
      <c r="B91" s="17" t="s">
        <v>14</v>
      </c>
      <c r="C91" s="23">
        <v>0</v>
      </c>
      <c r="D91" s="23">
        <f t="shared" si="30"/>
        <v>0</v>
      </c>
      <c r="E91" s="23">
        <f t="shared" si="31"/>
        <v>-5346</v>
      </c>
      <c r="G91" s="19"/>
      <c r="H91" s="62"/>
      <c r="I91" s="51">
        <f t="shared" ref="I91:I92" si="43">IF(M93&lt;&gt;"",N93,IF(M95&lt;&gt;"",N95,IF(M343&lt;&gt;"",N343,IF(M344&lt;&gt;"",N344,IF(M345&lt;&gt;"",N345,IF(M346&lt;&gt;"",N346))))))</f>
        <v>0</v>
      </c>
      <c r="J91" s="18"/>
      <c r="K91" s="18">
        <f t="shared" si="33"/>
        <v>-298</v>
      </c>
      <c r="M91" s="19">
        <v>0</v>
      </c>
      <c r="N91" s="65">
        <f t="shared" si="34"/>
        <v>0</v>
      </c>
      <c r="O91" s="20"/>
      <c r="P91" s="21"/>
      <c r="Q91" s="42"/>
      <c r="R91" s="23">
        <f t="shared" si="35"/>
        <v>-150</v>
      </c>
      <c r="S91" s="52">
        <f t="shared" si="36"/>
        <v>0</v>
      </c>
      <c r="U91" s="51">
        <f t="shared" si="37"/>
        <v>0</v>
      </c>
      <c r="V91" s="23"/>
      <c r="W91" s="18">
        <f t="shared" si="38"/>
        <v>-5042</v>
      </c>
      <c r="X91" s="2"/>
      <c r="Y91" s="19">
        <v>54</v>
      </c>
      <c r="Z91" s="62">
        <f t="shared" si="41"/>
        <v>54</v>
      </c>
      <c r="AA91" s="20"/>
      <c r="AB91" s="21"/>
      <c r="AC91" s="42"/>
      <c r="AD91" s="23">
        <f t="shared" si="39"/>
        <v>-1674</v>
      </c>
      <c r="AE91" s="23">
        <f t="shared" si="40"/>
        <v>9</v>
      </c>
      <c r="AG91" s="52"/>
    </row>
    <row r="92" spans="1:35">
      <c r="A92" s="96">
        <v>45982</v>
      </c>
      <c r="B92" s="17" t="s">
        <v>15</v>
      </c>
      <c r="C92" s="23">
        <v>30</v>
      </c>
      <c r="D92" s="23">
        <f t="shared" si="30"/>
        <v>0</v>
      </c>
      <c r="E92" s="23">
        <f t="shared" si="31"/>
        <v>-5376</v>
      </c>
      <c r="G92" s="19"/>
      <c r="H92" s="62"/>
      <c r="I92" s="51">
        <f t="shared" si="43"/>
        <v>3</v>
      </c>
      <c r="J92" s="18"/>
      <c r="K92" s="18">
        <f t="shared" si="33"/>
        <v>-301</v>
      </c>
      <c r="M92" s="19">
        <v>0</v>
      </c>
      <c r="N92" s="65">
        <f>M92+O92</f>
        <v>3</v>
      </c>
      <c r="O92" s="20">
        <v>3</v>
      </c>
      <c r="P92" s="21"/>
      <c r="Q92" s="42"/>
      <c r="R92" s="23">
        <f t="shared" si="35"/>
        <v>-150</v>
      </c>
      <c r="S92" s="52">
        <f t="shared" si="36"/>
        <v>3</v>
      </c>
      <c r="U92" s="51">
        <f t="shared" si="37"/>
        <v>27</v>
      </c>
      <c r="V92" s="23"/>
      <c r="W92" s="18">
        <f t="shared" si="38"/>
        <v>-5069</v>
      </c>
      <c r="X92" s="2"/>
      <c r="Y92" s="19">
        <v>66</v>
      </c>
      <c r="Z92" s="62">
        <f t="shared" si="41"/>
        <v>51</v>
      </c>
      <c r="AA92" s="20"/>
      <c r="AB92" s="21"/>
      <c r="AC92" s="42"/>
      <c r="AD92" s="23">
        <f t="shared" si="39"/>
        <v>-1740</v>
      </c>
      <c r="AE92" s="23">
        <f t="shared" si="40"/>
        <v>-6</v>
      </c>
      <c r="AG92" s="52"/>
    </row>
    <row r="93" spans="1:35" s="12" customFormat="1">
      <c r="A93" s="95">
        <v>45983</v>
      </c>
      <c r="B93" s="25" t="s">
        <v>16</v>
      </c>
      <c r="C93" s="29"/>
      <c r="D93" s="29">
        <f t="shared" si="30"/>
        <v>0</v>
      </c>
      <c r="E93" s="29">
        <f t="shared" si="31"/>
        <v>-5376</v>
      </c>
      <c r="G93" s="64"/>
      <c r="H93" s="63"/>
      <c r="I93" s="53"/>
      <c r="J93" s="26"/>
      <c r="K93" s="26">
        <f t="shared" si="33"/>
        <v>-301</v>
      </c>
      <c r="M93" s="64"/>
      <c r="N93" s="66"/>
      <c r="O93" s="27"/>
      <c r="P93" s="28"/>
      <c r="Q93" s="43"/>
      <c r="R93" s="29">
        <f t="shared" si="35"/>
        <v>-150</v>
      </c>
      <c r="S93" s="54">
        <f t="shared" si="36"/>
        <v>3</v>
      </c>
      <c r="T93" s="11"/>
      <c r="U93" s="53"/>
      <c r="V93" s="29"/>
      <c r="W93" s="26">
        <f t="shared" si="38"/>
        <v>-5069</v>
      </c>
      <c r="X93" s="10"/>
      <c r="Y93" s="64"/>
      <c r="Z93" s="63"/>
      <c r="AA93" s="27"/>
      <c r="AB93" s="28"/>
      <c r="AC93" s="43"/>
      <c r="AD93" s="29">
        <f t="shared" si="39"/>
        <v>-1740</v>
      </c>
      <c r="AE93" s="29">
        <f t="shared" si="40"/>
        <v>-6</v>
      </c>
      <c r="AG93" s="54"/>
      <c r="AI93" s="11"/>
    </row>
    <row r="94" spans="1:35" s="12" customFormat="1">
      <c r="A94" s="95">
        <v>45984</v>
      </c>
      <c r="B94" s="25" t="s">
        <v>17</v>
      </c>
      <c r="C94" s="29"/>
      <c r="D94" s="29">
        <f t="shared" si="30"/>
        <v>0</v>
      </c>
      <c r="E94" s="29">
        <f t="shared" si="31"/>
        <v>-5376</v>
      </c>
      <c r="G94" s="64"/>
      <c r="H94" s="63"/>
      <c r="I94" s="53"/>
      <c r="J94" s="26"/>
      <c r="K94" s="26">
        <f t="shared" si="33"/>
        <v>-301</v>
      </c>
      <c r="M94" s="64"/>
      <c r="N94" s="66"/>
      <c r="O94" s="27"/>
      <c r="P94" s="28"/>
      <c r="Q94" s="43"/>
      <c r="R94" s="29">
        <f t="shared" si="35"/>
        <v>-150</v>
      </c>
      <c r="S94" s="54">
        <f t="shared" si="36"/>
        <v>3</v>
      </c>
      <c r="T94" s="11"/>
      <c r="U94" s="53"/>
      <c r="V94" s="29"/>
      <c r="W94" s="26">
        <f t="shared" si="38"/>
        <v>-5069</v>
      </c>
      <c r="X94" s="10"/>
      <c r="Y94" s="64"/>
      <c r="Z94" s="63"/>
      <c r="AA94" s="27"/>
      <c r="AB94" s="28"/>
      <c r="AC94" s="43"/>
      <c r="AD94" s="29">
        <f t="shared" si="39"/>
        <v>-1740</v>
      </c>
      <c r="AE94" s="29">
        <f t="shared" si="40"/>
        <v>-6</v>
      </c>
      <c r="AG94" s="54"/>
      <c r="AI94" s="11"/>
    </row>
    <row r="95" spans="1:35">
      <c r="A95" s="96">
        <v>45985</v>
      </c>
      <c r="B95" s="17" t="s">
        <v>18</v>
      </c>
      <c r="C95" s="23">
        <v>45</v>
      </c>
      <c r="D95" s="23">
        <f t="shared" si="30"/>
        <v>0</v>
      </c>
      <c r="E95" s="23">
        <f t="shared" si="31"/>
        <v>-5421</v>
      </c>
      <c r="G95" s="19"/>
      <c r="H95" s="62"/>
      <c r="I95" s="51">
        <f t="shared" ref="I95:I99" si="44">IF(M97&lt;&gt;"",N97,IF(M99&lt;&gt;"",N99,IF(M347&lt;&gt;"",N347,IF(M348&lt;&gt;"",N348,IF(M349&lt;&gt;"",N349,IF(M350&lt;&gt;"",N350))))))</f>
        <v>6</v>
      </c>
      <c r="J95" s="18"/>
      <c r="K95" s="18">
        <f t="shared" si="33"/>
        <v>-307</v>
      </c>
      <c r="M95" s="19">
        <v>3</v>
      </c>
      <c r="N95" s="65">
        <f>M95+O95</f>
        <v>0</v>
      </c>
      <c r="O95" s="20">
        <v>-3</v>
      </c>
      <c r="P95" s="21"/>
      <c r="Q95" s="42"/>
      <c r="R95" s="23">
        <f t="shared" si="35"/>
        <v>-153</v>
      </c>
      <c r="S95" s="52">
        <f t="shared" si="36"/>
        <v>0</v>
      </c>
      <c r="U95" s="51">
        <f t="shared" si="37"/>
        <v>39</v>
      </c>
      <c r="V95" s="23"/>
      <c r="W95" s="18">
        <f t="shared" si="38"/>
        <v>-5108</v>
      </c>
      <c r="X95" s="2"/>
      <c r="Y95" s="19">
        <v>0</v>
      </c>
      <c r="Z95" s="62">
        <f t="shared" si="41"/>
        <v>0</v>
      </c>
      <c r="AA95" s="20"/>
      <c r="AB95" s="21"/>
      <c r="AC95" s="42"/>
      <c r="AD95" s="23">
        <f t="shared" si="39"/>
        <v>-1740</v>
      </c>
      <c r="AE95" s="23">
        <f t="shared" si="40"/>
        <v>-6</v>
      </c>
      <c r="AG95" s="52"/>
    </row>
    <row r="96" spans="1:35">
      <c r="A96" s="96">
        <v>45986</v>
      </c>
      <c r="B96" s="17" t="s">
        <v>19</v>
      </c>
      <c r="C96" s="23">
        <v>45</v>
      </c>
      <c r="D96" s="23">
        <f t="shared" si="30"/>
        <v>0</v>
      </c>
      <c r="E96" s="23">
        <f t="shared" si="31"/>
        <v>-5466</v>
      </c>
      <c r="G96" s="19"/>
      <c r="H96" s="62"/>
      <c r="I96" s="51">
        <f t="shared" si="44"/>
        <v>3</v>
      </c>
      <c r="J96" s="18"/>
      <c r="K96" s="18">
        <f t="shared" si="33"/>
        <v>-310</v>
      </c>
      <c r="M96" s="19">
        <v>3</v>
      </c>
      <c r="N96" s="65">
        <f t="shared" si="34"/>
        <v>3</v>
      </c>
      <c r="O96" s="20"/>
      <c r="P96" s="21"/>
      <c r="Q96" s="42"/>
      <c r="R96" s="23">
        <f t="shared" si="35"/>
        <v>-156</v>
      </c>
      <c r="S96" s="52">
        <f t="shared" si="36"/>
        <v>0</v>
      </c>
      <c r="U96" s="51">
        <f t="shared" si="37"/>
        <v>42</v>
      </c>
      <c r="V96" s="23"/>
      <c r="W96" s="18">
        <f t="shared" si="38"/>
        <v>-5150</v>
      </c>
      <c r="X96" s="2"/>
      <c r="Y96" s="19">
        <v>24</v>
      </c>
      <c r="Z96" s="62">
        <f t="shared" si="41"/>
        <v>27</v>
      </c>
      <c r="AA96" s="20"/>
      <c r="AB96" s="21"/>
      <c r="AC96" s="42"/>
      <c r="AD96" s="23">
        <f t="shared" si="39"/>
        <v>-1764</v>
      </c>
      <c r="AE96" s="23">
        <f t="shared" si="40"/>
        <v>-3</v>
      </c>
      <c r="AG96" s="52"/>
    </row>
    <row r="97" spans="1:35">
      <c r="A97" s="96">
        <v>45987</v>
      </c>
      <c r="B97" s="17" t="s">
        <v>20</v>
      </c>
      <c r="C97" s="23">
        <v>30</v>
      </c>
      <c r="D97" s="23">
        <f t="shared" si="30"/>
        <v>0</v>
      </c>
      <c r="E97" s="23">
        <f t="shared" si="31"/>
        <v>-5496</v>
      </c>
      <c r="G97" s="19"/>
      <c r="H97" s="62"/>
      <c r="I97" s="51">
        <f t="shared" si="44"/>
        <v>0</v>
      </c>
      <c r="J97" s="18"/>
      <c r="K97" s="18">
        <f t="shared" si="33"/>
        <v>-310</v>
      </c>
      <c r="M97" s="19">
        <v>6</v>
      </c>
      <c r="N97" s="65">
        <f t="shared" si="34"/>
        <v>6</v>
      </c>
      <c r="O97" s="20"/>
      <c r="P97" s="21"/>
      <c r="Q97" s="42"/>
      <c r="R97" s="23">
        <f t="shared" si="35"/>
        <v>-162</v>
      </c>
      <c r="S97" s="52">
        <f t="shared" si="36"/>
        <v>0</v>
      </c>
      <c r="U97" s="51">
        <f t="shared" si="37"/>
        <v>30</v>
      </c>
      <c r="V97" s="23"/>
      <c r="W97" s="18">
        <f t="shared" si="38"/>
        <v>-5180</v>
      </c>
      <c r="X97" s="2"/>
      <c r="Y97" s="19">
        <v>42</v>
      </c>
      <c r="Z97" s="62">
        <f t="shared" si="41"/>
        <v>39</v>
      </c>
      <c r="AA97" s="20"/>
      <c r="AB97" s="21"/>
      <c r="AC97" s="42"/>
      <c r="AD97" s="23">
        <f t="shared" si="39"/>
        <v>-1806</v>
      </c>
      <c r="AE97" s="23">
        <f t="shared" si="40"/>
        <v>-6</v>
      </c>
      <c r="AG97" s="52"/>
    </row>
    <row r="98" spans="1:35">
      <c r="A98" s="96">
        <v>45988</v>
      </c>
      <c r="B98" s="17" t="s">
        <v>14</v>
      </c>
      <c r="C98" s="23">
        <v>30</v>
      </c>
      <c r="D98" s="23">
        <f t="shared" si="30"/>
        <v>0</v>
      </c>
      <c r="E98" s="23">
        <f t="shared" si="31"/>
        <v>-5526</v>
      </c>
      <c r="G98" s="19"/>
      <c r="H98" s="62"/>
      <c r="I98" s="51" t="b">
        <f t="shared" si="44"/>
        <v>0</v>
      </c>
      <c r="J98" s="18"/>
      <c r="K98" s="18">
        <f t="shared" si="33"/>
        <v>-310</v>
      </c>
      <c r="M98" s="19">
        <v>3</v>
      </c>
      <c r="N98" s="65">
        <f t="shared" si="34"/>
        <v>3</v>
      </c>
      <c r="O98" s="20"/>
      <c r="P98" s="21"/>
      <c r="Q98" s="42"/>
      <c r="R98" s="23">
        <f t="shared" si="35"/>
        <v>-165</v>
      </c>
      <c r="S98" s="52">
        <f t="shared" si="36"/>
        <v>0</v>
      </c>
      <c r="U98" s="51">
        <f t="shared" si="37"/>
        <v>30</v>
      </c>
      <c r="V98" s="23"/>
      <c r="W98" s="18">
        <f t="shared" si="38"/>
        <v>-5210</v>
      </c>
      <c r="X98" s="2"/>
      <c r="Y98" s="19">
        <v>42</v>
      </c>
      <c r="Z98" s="62">
        <f t="shared" si="41"/>
        <v>42</v>
      </c>
      <c r="AA98" s="20"/>
      <c r="AB98" s="21"/>
      <c r="AC98" s="42"/>
      <c r="AD98" s="23">
        <f t="shared" si="39"/>
        <v>-1848</v>
      </c>
      <c r="AE98" s="23">
        <f t="shared" si="40"/>
        <v>-6</v>
      </c>
      <c r="AG98" s="52"/>
    </row>
    <row r="99" spans="1:35">
      <c r="A99" s="96">
        <v>45989</v>
      </c>
      <c r="B99" s="17" t="s">
        <v>15</v>
      </c>
      <c r="C99" s="23">
        <v>30</v>
      </c>
      <c r="D99" s="23">
        <f t="shared" si="30"/>
        <v>0</v>
      </c>
      <c r="E99" s="23">
        <f t="shared" si="31"/>
        <v>-5556</v>
      </c>
      <c r="G99" s="19"/>
      <c r="H99" s="62"/>
      <c r="I99" s="51" t="b">
        <f t="shared" si="44"/>
        <v>0</v>
      </c>
      <c r="J99" s="18"/>
      <c r="K99" s="18">
        <f t="shared" si="33"/>
        <v>-310</v>
      </c>
      <c r="M99" s="19">
        <v>0</v>
      </c>
      <c r="N99" s="65">
        <f t="shared" si="34"/>
        <v>0</v>
      </c>
      <c r="O99" s="20"/>
      <c r="P99" s="21"/>
      <c r="Q99" s="42"/>
      <c r="R99" s="23">
        <f t="shared" si="35"/>
        <v>-165</v>
      </c>
      <c r="S99" s="52">
        <f t="shared" si="36"/>
        <v>0</v>
      </c>
      <c r="U99" s="51">
        <f t="shared" si="37"/>
        <v>30</v>
      </c>
      <c r="V99" s="23"/>
      <c r="W99" s="18">
        <f t="shared" si="38"/>
        <v>-5240</v>
      </c>
      <c r="X99" s="2"/>
      <c r="Y99" s="19">
        <v>0</v>
      </c>
      <c r="Z99" s="62">
        <f t="shared" si="41"/>
        <v>30</v>
      </c>
      <c r="AA99" s="20"/>
      <c r="AB99" s="21"/>
      <c r="AC99" s="42"/>
      <c r="AD99" s="23">
        <f t="shared" si="39"/>
        <v>-1848</v>
      </c>
      <c r="AE99" s="23">
        <f t="shared" si="40"/>
        <v>24</v>
      </c>
      <c r="AG99" s="52"/>
    </row>
    <row r="100" spans="1:35" s="12" customFormat="1">
      <c r="A100" s="95">
        <v>45990</v>
      </c>
      <c r="B100" s="25" t="s">
        <v>16</v>
      </c>
      <c r="C100" s="29"/>
      <c r="D100" s="29">
        <f t="shared" si="30"/>
        <v>0</v>
      </c>
      <c r="E100" s="29">
        <f t="shared" si="31"/>
        <v>-5556</v>
      </c>
      <c r="G100" s="64"/>
      <c r="H100" s="63"/>
      <c r="I100" s="53"/>
      <c r="J100" s="26"/>
      <c r="K100" s="26">
        <f t="shared" si="33"/>
        <v>-310</v>
      </c>
      <c r="M100" s="64"/>
      <c r="N100" s="66"/>
      <c r="O100" s="27"/>
      <c r="P100" s="28"/>
      <c r="Q100" s="43"/>
      <c r="R100" s="29">
        <f t="shared" si="35"/>
        <v>-165</v>
      </c>
      <c r="S100" s="54">
        <f t="shared" si="36"/>
        <v>0</v>
      </c>
      <c r="T100" s="11"/>
      <c r="U100" s="53"/>
      <c r="V100" s="29"/>
      <c r="W100" s="26">
        <f t="shared" si="38"/>
        <v>-5240</v>
      </c>
      <c r="X100" s="10"/>
      <c r="Y100" s="64"/>
      <c r="Z100" s="63"/>
      <c r="AA100" s="27"/>
      <c r="AB100" s="28"/>
      <c r="AC100" s="43"/>
      <c r="AD100" s="29">
        <f t="shared" si="39"/>
        <v>-1848</v>
      </c>
      <c r="AE100" s="29">
        <f t="shared" si="40"/>
        <v>24</v>
      </c>
      <c r="AG100" s="54"/>
      <c r="AI100" s="11"/>
    </row>
    <row r="101" spans="1:35" s="12" customFormat="1">
      <c r="A101" s="95">
        <v>45991</v>
      </c>
      <c r="B101" s="25" t="s">
        <v>17</v>
      </c>
      <c r="C101" s="29"/>
      <c r="D101" s="29">
        <f t="shared" si="30"/>
        <v>0</v>
      </c>
      <c r="E101" s="29">
        <f t="shared" si="31"/>
        <v>-5556</v>
      </c>
      <c r="G101" s="64"/>
      <c r="H101" s="63"/>
      <c r="I101" s="53"/>
      <c r="J101" s="26"/>
      <c r="K101" s="26">
        <f t="shared" si="33"/>
        <v>-310</v>
      </c>
      <c r="M101" s="64"/>
      <c r="N101" s="66"/>
      <c r="O101" s="27"/>
      <c r="P101" s="28"/>
      <c r="Q101" s="43"/>
      <c r="R101" s="29">
        <f t="shared" si="35"/>
        <v>-165</v>
      </c>
      <c r="S101" s="54">
        <f t="shared" si="36"/>
        <v>0</v>
      </c>
      <c r="T101" s="11"/>
      <c r="U101" s="53"/>
      <c r="V101" s="29"/>
      <c r="W101" s="26">
        <f t="shared" si="38"/>
        <v>-5240</v>
      </c>
      <c r="X101" s="10"/>
      <c r="Y101" s="64"/>
      <c r="Z101" s="63"/>
      <c r="AA101" s="27"/>
      <c r="AB101" s="28"/>
      <c r="AC101" s="43"/>
      <c r="AD101" s="29">
        <f t="shared" si="39"/>
        <v>-1848</v>
      </c>
      <c r="AE101" s="29">
        <f t="shared" si="40"/>
        <v>24</v>
      </c>
      <c r="AG101" s="54"/>
      <c r="AI101" s="11"/>
    </row>
    <row r="102" spans="1:35">
      <c r="A102" s="96">
        <v>45992</v>
      </c>
      <c r="B102" s="17" t="s">
        <v>18</v>
      </c>
      <c r="C102" s="23">
        <v>48</v>
      </c>
      <c r="D102" s="23">
        <f t="shared" si="30"/>
        <v>0</v>
      </c>
      <c r="E102" s="23">
        <f t="shared" si="31"/>
        <v>-5604</v>
      </c>
      <c r="G102" s="19"/>
      <c r="H102" s="62"/>
      <c r="I102" s="51" t="b">
        <f t="shared" ref="I102" si="45">IF(M104&lt;&gt;"",N104,IF(M106&lt;&gt;"",N106,IF(M354&lt;&gt;"",N354,IF(M355&lt;&gt;"",N355,IF(M356&lt;&gt;"",N356,IF(M357&lt;&gt;"",N357))))))</f>
        <v>0</v>
      </c>
      <c r="J102" s="18"/>
      <c r="K102" s="18">
        <f t="shared" si="33"/>
        <v>-310</v>
      </c>
      <c r="M102" s="19"/>
      <c r="N102" s="65">
        <f t="shared" si="34"/>
        <v>0</v>
      </c>
      <c r="O102" s="20"/>
      <c r="P102" s="21"/>
      <c r="Q102" s="42"/>
      <c r="R102" s="23">
        <f t="shared" si="35"/>
        <v>-165</v>
      </c>
      <c r="S102" s="52">
        <f t="shared" si="36"/>
        <v>0</v>
      </c>
      <c r="U102" s="51">
        <f t="shared" si="37"/>
        <v>48</v>
      </c>
      <c r="V102" s="23"/>
      <c r="W102" s="18">
        <f t="shared" si="38"/>
        <v>-5288</v>
      </c>
      <c r="X102" s="2"/>
      <c r="Y102" s="19"/>
      <c r="Z102" s="62">
        <f t="shared" si="41"/>
        <v>30</v>
      </c>
      <c r="AA102" s="20"/>
      <c r="AB102" s="21"/>
      <c r="AC102" s="42"/>
      <c r="AD102" s="23">
        <f t="shared" si="39"/>
        <v>-1848</v>
      </c>
      <c r="AE102" s="23">
        <f t="shared" si="40"/>
        <v>54</v>
      </c>
      <c r="AG102" s="52"/>
    </row>
    <row r="103" spans="1:35">
      <c r="A103" s="96">
        <v>45993</v>
      </c>
      <c r="B103" s="17" t="s">
        <v>19</v>
      </c>
      <c r="C103" s="23">
        <v>48</v>
      </c>
      <c r="D103" s="23">
        <f t="shared" si="30"/>
        <v>0</v>
      </c>
      <c r="E103" s="23">
        <f t="shared" si="31"/>
        <v>-5652</v>
      </c>
      <c r="G103" s="19"/>
      <c r="H103" s="62"/>
      <c r="I103" s="51"/>
      <c r="J103" s="18"/>
      <c r="K103" s="18">
        <f t="shared" si="33"/>
        <v>-310</v>
      </c>
      <c r="M103" s="19"/>
      <c r="N103" s="65">
        <f t="shared" si="34"/>
        <v>0</v>
      </c>
      <c r="O103" s="20"/>
      <c r="P103" s="21"/>
      <c r="Q103" s="42"/>
      <c r="R103" s="23">
        <f t="shared" si="35"/>
        <v>-165</v>
      </c>
      <c r="S103" s="52">
        <f t="shared" si="36"/>
        <v>0</v>
      </c>
      <c r="U103" s="51">
        <f t="shared" si="37"/>
        <v>48</v>
      </c>
      <c r="V103" s="23"/>
      <c r="W103" s="18">
        <f t="shared" si="38"/>
        <v>-5336</v>
      </c>
      <c r="X103" s="2"/>
      <c r="Y103" s="19"/>
      <c r="Z103" s="62">
        <f t="shared" si="41"/>
        <v>30</v>
      </c>
      <c r="AA103" s="20"/>
      <c r="AB103" s="21"/>
      <c r="AC103" s="42"/>
      <c r="AD103" s="23">
        <f t="shared" si="39"/>
        <v>-1848</v>
      </c>
      <c r="AE103" s="23">
        <f t="shared" si="40"/>
        <v>84</v>
      </c>
      <c r="AG103" s="52"/>
    </row>
    <row r="104" spans="1:35">
      <c r="A104" s="96">
        <v>45994</v>
      </c>
      <c r="B104" s="17" t="s">
        <v>20</v>
      </c>
      <c r="C104" s="23">
        <v>48</v>
      </c>
      <c r="D104" s="23">
        <f t="shared" si="30"/>
        <v>0</v>
      </c>
      <c r="E104" s="23">
        <f t="shared" si="31"/>
        <v>-5700</v>
      </c>
      <c r="G104" s="19"/>
      <c r="H104" s="62"/>
      <c r="I104" s="51"/>
      <c r="J104" s="18"/>
      <c r="K104" s="18">
        <f t="shared" si="33"/>
        <v>-310</v>
      </c>
      <c r="M104" s="19"/>
      <c r="N104" s="65">
        <f t="shared" si="34"/>
        <v>0</v>
      </c>
      <c r="O104" s="20"/>
      <c r="P104" s="21"/>
      <c r="Q104" s="42"/>
      <c r="R104" s="23">
        <f t="shared" si="35"/>
        <v>-165</v>
      </c>
      <c r="S104" s="52">
        <f t="shared" si="36"/>
        <v>0</v>
      </c>
      <c r="U104" s="51">
        <f t="shared" si="37"/>
        <v>48</v>
      </c>
      <c r="V104" s="23"/>
      <c r="W104" s="18">
        <f t="shared" si="38"/>
        <v>-5384</v>
      </c>
      <c r="X104" s="2"/>
      <c r="Y104" s="19"/>
      <c r="Z104" s="62">
        <f t="shared" si="41"/>
        <v>48</v>
      </c>
      <c r="AA104" s="20"/>
      <c r="AB104" s="21"/>
      <c r="AC104" s="42"/>
      <c r="AD104" s="23">
        <f t="shared" si="39"/>
        <v>-1848</v>
      </c>
      <c r="AE104" s="23">
        <f t="shared" si="40"/>
        <v>132</v>
      </c>
      <c r="AG104" s="52"/>
    </row>
    <row r="105" spans="1:35">
      <c r="A105" s="96">
        <v>45995</v>
      </c>
      <c r="B105" s="17" t="s">
        <v>14</v>
      </c>
      <c r="C105" s="23">
        <v>48</v>
      </c>
      <c r="D105" s="23">
        <f t="shared" si="30"/>
        <v>0</v>
      </c>
      <c r="E105" s="23">
        <f t="shared" si="31"/>
        <v>-5748</v>
      </c>
      <c r="G105" s="19"/>
      <c r="H105" s="62"/>
      <c r="I105" s="51"/>
      <c r="J105" s="18"/>
      <c r="K105" s="18">
        <f t="shared" si="33"/>
        <v>-310</v>
      </c>
      <c r="M105" s="19"/>
      <c r="N105" s="65">
        <f t="shared" si="34"/>
        <v>0</v>
      </c>
      <c r="O105" s="20"/>
      <c r="P105" s="21"/>
      <c r="Q105" s="42"/>
      <c r="R105" s="23">
        <f t="shared" si="35"/>
        <v>-165</v>
      </c>
      <c r="S105" s="52">
        <f t="shared" si="36"/>
        <v>0</v>
      </c>
      <c r="U105" s="51">
        <f t="shared" si="37"/>
        <v>48</v>
      </c>
      <c r="V105" s="23"/>
      <c r="W105" s="18">
        <f t="shared" si="38"/>
        <v>-5432</v>
      </c>
      <c r="X105" s="2"/>
      <c r="Y105" s="19"/>
      <c r="Z105" s="62">
        <f t="shared" si="41"/>
        <v>48</v>
      </c>
      <c r="AA105" s="20"/>
      <c r="AB105" s="21"/>
      <c r="AC105" s="42"/>
      <c r="AD105" s="23">
        <f t="shared" si="39"/>
        <v>-1848</v>
      </c>
      <c r="AE105" s="23">
        <f t="shared" si="40"/>
        <v>180</v>
      </c>
      <c r="AG105" s="52"/>
    </row>
    <row r="106" spans="1:35">
      <c r="A106" s="96">
        <v>45996</v>
      </c>
      <c r="B106" s="17" t="s">
        <v>15</v>
      </c>
      <c r="C106" s="23">
        <v>48</v>
      </c>
      <c r="D106" s="23">
        <f t="shared" si="30"/>
        <v>0</v>
      </c>
      <c r="E106" s="23">
        <f t="shared" si="31"/>
        <v>-5796</v>
      </c>
      <c r="G106" s="19"/>
      <c r="H106" s="62"/>
      <c r="I106" s="51"/>
      <c r="J106" s="18"/>
      <c r="K106" s="18">
        <f t="shared" si="33"/>
        <v>-310</v>
      </c>
      <c r="M106" s="19"/>
      <c r="N106" s="65">
        <f t="shared" si="34"/>
        <v>0</v>
      </c>
      <c r="O106" s="20"/>
      <c r="P106" s="21"/>
      <c r="Q106" s="42"/>
      <c r="R106" s="23">
        <f t="shared" si="35"/>
        <v>-165</v>
      </c>
      <c r="S106" s="52">
        <f t="shared" si="36"/>
        <v>0</v>
      </c>
      <c r="U106" s="51">
        <f t="shared" si="37"/>
        <v>48</v>
      </c>
      <c r="V106" s="23"/>
      <c r="W106" s="18">
        <f t="shared" si="38"/>
        <v>-5480</v>
      </c>
      <c r="X106" s="2"/>
      <c r="Y106" s="19"/>
      <c r="Z106" s="62">
        <f t="shared" si="41"/>
        <v>48</v>
      </c>
      <c r="AA106" s="20"/>
      <c r="AB106" s="21"/>
      <c r="AC106" s="42"/>
      <c r="AD106" s="23">
        <f t="shared" si="39"/>
        <v>-1848</v>
      </c>
      <c r="AE106" s="23">
        <f t="shared" si="40"/>
        <v>228</v>
      </c>
      <c r="AG106" s="52"/>
    </row>
    <row r="107" spans="1:35">
      <c r="A107" s="96"/>
      <c r="B107" s="17"/>
      <c r="C107" s="23"/>
      <c r="D107" s="23">
        <f t="shared" si="0"/>
        <v>0</v>
      </c>
      <c r="E107" s="23"/>
      <c r="G107" s="19"/>
      <c r="H107" s="62"/>
      <c r="I107" s="51"/>
      <c r="J107" s="18"/>
      <c r="K107" s="18"/>
      <c r="M107" s="19"/>
      <c r="N107" s="65"/>
      <c r="O107" s="20"/>
      <c r="P107" s="21"/>
      <c r="Q107" s="42"/>
      <c r="R107" s="23"/>
      <c r="S107" s="52"/>
      <c r="U107" s="51"/>
      <c r="V107" s="23"/>
      <c r="W107" s="18"/>
      <c r="X107" s="2"/>
      <c r="Y107" s="19"/>
      <c r="Z107" s="62"/>
      <c r="AA107" s="20"/>
      <c r="AB107" s="21"/>
      <c r="AC107" s="42"/>
      <c r="AD107" s="23"/>
      <c r="AE107" s="23"/>
      <c r="AG107" s="52"/>
    </row>
    <row r="108" spans="1:35">
      <c r="A108" s="1"/>
      <c r="C108" s="1"/>
      <c r="D108" s="1"/>
      <c r="G108" s="1"/>
    </row>
    <row r="109" spans="1:35">
      <c r="A109" s="1"/>
      <c r="C109" s="1"/>
      <c r="D109" s="1"/>
      <c r="G109" s="1"/>
    </row>
    <row r="110" spans="1:35">
      <c r="A110" s="228"/>
      <c r="C110" t="s">
        <v>63</v>
      </c>
      <c r="E110" s="1" t="s">
        <v>62</v>
      </c>
      <c r="G110" s="1" t="s">
        <v>48</v>
      </c>
    </row>
    <row r="111" spans="1:35">
      <c r="A111" s="2" t="s">
        <v>44</v>
      </c>
      <c r="B111" s="1">
        <v>22</v>
      </c>
      <c r="C111" s="208">
        <v>48</v>
      </c>
      <c r="D111" s="208"/>
      <c r="E111" s="208">
        <v>978</v>
      </c>
      <c r="G111" s="210">
        <f>(E111+C111)/B111</f>
        <v>46.636363636363633</v>
      </c>
    </row>
    <row r="112" spans="1:35">
      <c r="A112" s="2" t="s">
        <v>45</v>
      </c>
      <c r="B112" s="1">
        <v>22</v>
      </c>
      <c r="C112" s="208">
        <v>54</v>
      </c>
      <c r="D112" s="208"/>
      <c r="E112" s="208">
        <v>1143</v>
      </c>
      <c r="G112" s="210">
        <f t="shared" ref="G112:G120" si="46">(E112+C112)/B112</f>
        <v>54.409090909090907</v>
      </c>
    </row>
    <row r="113" spans="1:7">
      <c r="A113" s="2" t="s">
        <v>46</v>
      </c>
      <c r="B113" s="1">
        <v>21</v>
      </c>
      <c r="C113" s="208">
        <v>33</v>
      </c>
      <c r="D113" s="208"/>
      <c r="E113" s="208">
        <v>735</v>
      </c>
      <c r="G113" s="210">
        <f t="shared" si="46"/>
        <v>36.571428571428569</v>
      </c>
    </row>
    <row r="114" spans="1:7">
      <c r="A114" s="2" t="s">
        <v>47</v>
      </c>
      <c r="B114" s="1">
        <v>20</v>
      </c>
      <c r="C114" s="208">
        <v>12</v>
      </c>
      <c r="D114" s="208"/>
      <c r="E114" s="208">
        <v>648</v>
      </c>
      <c r="G114" s="210">
        <f t="shared" si="46"/>
        <v>33</v>
      </c>
    </row>
    <row r="115" spans="1:7">
      <c r="A115" s="2" t="s">
        <v>71</v>
      </c>
      <c r="B115" s="1">
        <v>20</v>
      </c>
      <c r="C115" s="208">
        <v>42</v>
      </c>
      <c r="D115" s="208"/>
      <c r="E115" s="208">
        <v>825</v>
      </c>
      <c r="G115" s="210">
        <f t="shared" si="46"/>
        <v>43.35</v>
      </c>
    </row>
    <row r="116" spans="1:7">
      <c r="A116" s="2" t="s">
        <v>72</v>
      </c>
      <c r="B116" s="1">
        <v>21</v>
      </c>
      <c r="C116" s="208">
        <v>45</v>
      </c>
      <c r="D116" s="208"/>
      <c r="E116" s="208">
        <v>981</v>
      </c>
      <c r="G116" s="210">
        <f t="shared" si="46"/>
        <v>48.857142857142854</v>
      </c>
    </row>
    <row r="117" spans="1:7">
      <c r="A117" s="2" t="s">
        <v>73</v>
      </c>
      <c r="B117" s="1">
        <v>22</v>
      </c>
      <c r="C117" s="208">
        <v>42</v>
      </c>
      <c r="D117" s="208"/>
      <c r="E117" s="208">
        <v>1062</v>
      </c>
      <c r="G117" s="210">
        <f t="shared" si="46"/>
        <v>50.18181818181818</v>
      </c>
    </row>
    <row r="118" spans="1:7">
      <c r="A118" s="2" t="s">
        <v>74</v>
      </c>
      <c r="B118" s="1">
        <v>19</v>
      </c>
      <c r="C118" s="208">
        <v>39</v>
      </c>
      <c r="D118" s="208"/>
      <c r="E118" s="208">
        <v>1002</v>
      </c>
      <c r="G118" s="210">
        <f t="shared" si="46"/>
        <v>54.789473684210527</v>
      </c>
    </row>
    <row r="119" spans="1:7">
      <c r="A119" s="2" t="s">
        <v>75</v>
      </c>
      <c r="B119" s="1">
        <v>19</v>
      </c>
      <c r="C119" s="208">
        <v>27</v>
      </c>
      <c r="D119" s="208"/>
      <c r="E119" s="208">
        <v>762</v>
      </c>
      <c r="G119" s="210">
        <f t="shared" si="46"/>
        <v>41.526315789473685</v>
      </c>
    </row>
    <row r="120" spans="1:7">
      <c r="A120" s="2" t="s">
        <v>76</v>
      </c>
      <c r="B120" s="1">
        <v>21</v>
      </c>
      <c r="C120" s="208">
        <v>45</v>
      </c>
      <c r="D120" s="208"/>
      <c r="E120" s="208">
        <v>1164</v>
      </c>
      <c r="G120" s="210">
        <f t="shared" si="46"/>
        <v>57.571428571428569</v>
      </c>
    </row>
  </sheetData>
  <customSheetViews>
    <customSheetView guid="{D886DC16-62E0-4EAA-A787-2FA2A24DFCFE}" scale="85" fitToPage="1" topLeftCell="E10">
      <selection activeCell="AI58" sqref="AI58"/>
      <pageMargins left="0.25" right="0.25" top="0.75" bottom="0.75" header="0.3" footer="0.3"/>
      <pageSetup paperSize="9" scale="42" orientation="landscape" r:id="rId1"/>
    </customSheetView>
    <customSheetView guid="{811078A9-B23B-425F-A62A-22C4D8EF8733}" scale="70" fitToPage="1" hiddenRows="1">
      <pane xSplit="9" ySplit="23" topLeftCell="J40" activePane="bottomRight" state="frozen"/>
      <selection pane="bottomRight" activeCell="Z32" sqref="Z32:Z107"/>
      <pageMargins left="0.25" right="0.25" top="0.75" bottom="0.75" header="0.3" footer="0.3"/>
      <pageSetup paperSize="9" scale="42" orientation="landscape" r:id="rId2"/>
    </customSheetView>
    <customSheetView guid="{7F9E5EBC-BEB4-4E3F-8F40-CA3D4F534F5B}" scale="85" fitToPage="1" hiddenRows="1">
      <selection activeCell="N37" sqref="N37"/>
      <pageMargins left="0.25" right="0.25" top="0.75" bottom="0.75" header="0.3" footer="0.3"/>
      <pageSetup paperSize="9" scale="42" orientation="landscape" r:id="rId3"/>
    </customSheetView>
  </customSheetViews>
  <mergeCells count="2">
    <mergeCell ref="O2:P2"/>
    <mergeCell ref="AA2:AB2"/>
  </mergeCells>
  <phoneticPr fontId="1"/>
  <pageMargins left="0.25" right="0.25" top="0.75" bottom="0.75" header="0.3" footer="0.3"/>
  <pageSetup paperSize="9" scale="42" orientation="landscape"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5DFC1-CB11-4F27-A5AD-080BA09F6B23}">
  <sheetPr codeName="Sheet139">
    <tabColor theme="9" tint="0.79998168889431442"/>
    <pageSetUpPr fitToPage="1"/>
  </sheetPr>
  <dimension ref="A1:AH721"/>
  <sheetViews>
    <sheetView zoomScale="85" zoomScaleNormal="84" workbookViewId="0">
      <pane xSplit="2" ySplit="625" topLeftCell="C626" activePane="bottomRight" state="frozenSplit"/>
      <selection pane="topRight" activeCell="C1" sqref="C1"/>
      <selection pane="bottomLeft" activeCell="A626" sqref="A626"/>
      <selection pane="bottomRight" activeCell="I636" sqref="I636"/>
    </sheetView>
  </sheetViews>
  <sheetFormatPr defaultColWidth="9" defaultRowHeight="18.75" outlineLevelRow="1"/>
  <cols>
    <col min="1" max="1" width="14.75" style="1" customWidth="1"/>
    <col min="2" max="2" width="3.375" style="1" bestFit="1" customWidth="1"/>
    <col min="5" max="5" width="9" style="1"/>
    <col min="6" max="6" width="2.375" style="1" customWidth="1"/>
    <col min="7" max="7" width="10.25" customWidth="1"/>
    <col min="8" max="8" width="13.375" customWidth="1"/>
    <col min="9" max="10" width="4.875" customWidth="1"/>
    <col min="11" max="11" width="10.25" customWidth="1"/>
    <col min="12" max="13" width="10.5" customWidth="1"/>
    <col min="14" max="14" width="2.125" style="1" customWidth="1"/>
    <col min="15" max="15" width="7.375" style="1" customWidth="1"/>
    <col min="16" max="16" width="2.375" style="1" customWidth="1"/>
    <col min="17" max="17" width="10.25" customWidth="1"/>
    <col min="18" max="18" width="13.375" customWidth="1"/>
    <col min="19" max="20" width="4.875" customWidth="1"/>
    <col min="21" max="21" width="10.25" customWidth="1"/>
    <col min="22" max="23" width="10.5" customWidth="1"/>
    <col min="24" max="24" width="2.375" style="1" customWidth="1"/>
    <col min="26" max="16384" width="9" style="1"/>
  </cols>
  <sheetData>
    <row r="1" spans="1:25" ht="26.25" thickBot="1">
      <c r="A1" s="3" t="s">
        <v>42</v>
      </c>
      <c r="G1" s="217" t="s">
        <v>60</v>
      </c>
      <c r="Q1" s="217" t="s">
        <v>59</v>
      </c>
      <c r="Y1" t="s">
        <v>57</v>
      </c>
    </row>
    <row r="2" spans="1:25" ht="55.5" customHeight="1">
      <c r="A2" s="13" t="s">
        <v>61</v>
      </c>
      <c r="B2" s="4"/>
      <c r="C2" s="5" t="s">
        <v>0</v>
      </c>
      <c r="D2" s="6" t="s">
        <v>1</v>
      </c>
      <c r="E2" s="7" t="s">
        <v>2</v>
      </c>
      <c r="F2" s="30"/>
      <c r="G2" s="47" t="s">
        <v>11</v>
      </c>
      <c r="H2" s="48" t="s">
        <v>13</v>
      </c>
      <c r="I2" s="318" t="s">
        <v>10</v>
      </c>
      <c r="J2" s="320"/>
      <c r="K2" s="59" t="s">
        <v>12</v>
      </c>
      <c r="L2" s="49" t="s">
        <v>9</v>
      </c>
      <c r="M2" s="49" t="s">
        <v>21</v>
      </c>
      <c r="N2" s="55"/>
      <c r="O2" s="56" t="s">
        <v>8</v>
      </c>
      <c r="Q2" s="47" t="s">
        <v>11</v>
      </c>
      <c r="R2" s="48" t="s">
        <v>13</v>
      </c>
      <c r="S2" s="318" t="s">
        <v>10</v>
      </c>
      <c r="T2" s="320"/>
      <c r="U2" s="59" t="s">
        <v>12</v>
      </c>
      <c r="V2" s="49" t="s">
        <v>9</v>
      </c>
      <c r="W2" s="49" t="s">
        <v>21</v>
      </c>
    </row>
    <row r="3" spans="1:25" s="12" customFormat="1" hidden="1" outlineLevel="1">
      <c r="A3" s="123">
        <v>45292</v>
      </c>
      <c r="B3" s="25" t="s">
        <v>18</v>
      </c>
      <c r="C3" s="29"/>
      <c r="D3" s="29"/>
      <c r="E3" s="29">
        <v>0</v>
      </c>
      <c r="G3" s="64"/>
      <c r="H3" s="63"/>
      <c r="I3" s="27"/>
      <c r="J3" s="28"/>
      <c r="K3" s="43"/>
      <c r="L3" s="29">
        <v>0</v>
      </c>
      <c r="M3" s="29">
        <v>0</v>
      </c>
      <c r="O3" s="54"/>
      <c r="Q3" s="304"/>
      <c r="R3" s="259"/>
      <c r="S3" s="260"/>
      <c r="T3" s="261"/>
      <c r="U3" s="262"/>
      <c r="V3" s="263"/>
      <c r="W3" s="263"/>
      <c r="Y3" s="11"/>
    </row>
    <row r="4" spans="1:25" s="12" customFormat="1" hidden="1" outlineLevel="1">
      <c r="A4" s="123">
        <v>45293</v>
      </c>
      <c r="B4" s="25" t="s">
        <v>19</v>
      </c>
      <c r="C4" s="29"/>
      <c r="D4" s="29"/>
      <c r="E4" s="29">
        <f t="shared" ref="E4:E67" si="0">E3-C4+D4</f>
        <v>0</v>
      </c>
      <c r="G4" s="64"/>
      <c r="H4" s="63"/>
      <c r="I4" s="27"/>
      <c r="J4" s="28"/>
      <c r="K4" s="43"/>
      <c r="L4" s="29">
        <f t="shared" ref="L4:L67" si="1">L3-G4+K4</f>
        <v>0</v>
      </c>
      <c r="M4" s="29">
        <f t="shared" ref="M4:M67" si="2">M3-G4+H4</f>
        <v>0</v>
      </c>
      <c r="O4" s="54"/>
      <c r="Q4" s="304"/>
      <c r="R4" s="259"/>
      <c r="S4" s="260"/>
      <c r="T4" s="261"/>
      <c r="U4" s="262"/>
      <c r="V4" s="263"/>
      <c r="W4" s="263"/>
      <c r="Y4" s="11"/>
    </row>
    <row r="5" spans="1:25" s="12" customFormat="1" hidden="1" outlineLevel="1">
      <c r="A5" s="123">
        <v>45294</v>
      </c>
      <c r="B5" s="25" t="s">
        <v>20</v>
      </c>
      <c r="C5" s="29"/>
      <c r="D5" s="29"/>
      <c r="E5" s="29">
        <f t="shared" si="0"/>
        <v>0</v>
      </c>
      <c r="G5" s="64"/>
      <c r="H5" s="63"/>
      <c r="I5" s="27"/>
      <c r="J5" s="28"/>
      <c r="K5" s="43"/>
      <c r="L5" s="29">
        <f t="shared" si="1"/>
        <v>0</v>
      </c>
      <c r="M5" s="29">
        <f t="shared" si="2"/>
        <v>0</v>
      </c>
      <c r="O5" s="54"/>
      <c r="Q5" s="304"/>
      <c r="R5" s="259"/>
      <c r="S5" s="260"/>
      <c r="T5" s="261"/>
      <c r="U5" s="262"/>
      <c r="V5" s="263"/>
      <c r="W5" s="263"/>
      <c r="Y5" s="11"/>
    </row>
    <row r="6" spans="1:25" s="12" customFormat="1" hidden="1" outlineLevel="1">
      <c r="A6" s="123">
        <v>45295</v>
      </c>
      <c r="B6" s="25" t="s">
        <v>14</v>
      </c>
      <c r="C6" s="29"/>
      <c r="D6" s="29"/>
      <c r="E6" s="29">
        <f t="shared" si="0"/>
        <v>0</v>
      </c>
      <c r="G6" s="64"/>
      <c r="H6" s="63"/>
      <c r="I6" s="27"/>
      <c r="J6" s="28"/>
      <c r="K6" s="43"/>
      <c r="L6" s="29">
        <f t="shared" si="1"/>
        <v>0</v>
      </c>
      <c r="M6" s="29">
        <f t="shared" si="2"/>
        <v>0</v>
      </c>
      <c r="O6" s="54"/>
      <c r="Q6" s="304"/>
      <c r="R6" s="259"/>
      <c r="S6" s="260"/>
      <c r="T6" s="261"/>
      <c r="U6" s="262"/>
      <c r="V6" s="263"/>
      <c r="W6" s="263"/>
      <c r="Y6" s="11"/>
    </row>
    <row r="7" spans="1:25" hidden="1" outlineLevel="1">
      <c r="A7" s="124">
        <v>45296</v>
      </c>
      <c r="B7" s="17" t="s">
        <v>15</v>
      </c>
      <c r="C7" s="23"/>
      <c r="D7" s="23"/>
      <c r="E7" s="23">
        <f t="shared" si="0"/>
        <v>0</v>
      </c>
      <c r="G7" s="19"/>
      <c r="H7" s="62"/>
      <c r="I7" s="20"/>
      <c r="J7" s="21"/>
      <c r="K7" s="42"/>
      <c r="L7" s="23">
        <f t="shared" si="1"/>
        <v>0</v>
      </c>
      <c r="M7" s="23">
        <f t="shared" si="2"/>
        <v>0</v>
      </c>
      <c r="O7" s="52"/>
      <c r="Q7" s="304"/>
      <c r="R7" s="259"/>
      <c r="S7" s="260"/>
      <c r="T7" s="261"/>
      <c r="U7" s="262"/>
      <c r="V7" s="263"/>
      <c r="W7" s="263"/>
    </row>
    <row r="8" spans="1:25" hidden="1" outlineLevel="1">
      <c r="A8" s="124">
        <v>45297</v>
      </c>
      <c r="B8" s="17" t="s">
        <v>16</v>
      </c>
      <c r="C8" s="23"/>
      <c r="D8" s="23"/>
      <c r="E8" s="23">
        <f t="shared" si="0"/>
        <v>0</v>
      </c>
      <c r="G8" s="19"/>
      <c r="H8" s="62"/>
      <c r="I8" s="20"/>
      <c r="J8" s="21"/>
      <c r="K8" s="42"/>
      <c r="L8" s="23">
        <f t="shared" si="1"/>
        <v>0</v>
      </c>
      <c r="M8" s="23">
        <f t="shared" si="2"/>
        <v>0</v>
      </c>
      <c r="O8" s="52"/>
      <c r="Q8" s="304"/>
      <c r="R8" s="259"/>
      <c r="S8" s="260"/>
      <c r="T8" s="261"/>
      <c r="U8" s="262"/>
      <c r="V8" s="263"/>
      <c r="W8" s="263"/>
    </row>
    <row r="9" spans="1:25" s="12" customFormat="1" hidden="1" outlineLevel="1">
      <c r="A9" s="123">
        <v>45298</v>
      </c>
      <c r="B9" s="25" t="s">
        <v>17</v>
      </c>
      <c r="C9" s="29"/>
      <c r="D9" s="29"/>
      <c r="E9" s="29">
        <f t="shared" si="0"/>
        <v>0</v>
      </c>
      <c r="G9" s="64"/>
      <c r="H9" s="63"/>
      <c r="I9" s="27"/>
      <c r="J9" s="28"/>
      <c r="K9" s="43"/>
      <c r="L9" s="29">
        <f t="shared" si="1"/>
        <v>0</v>
      </c>
      <c r="M9" s="29">
        <f t="shared" si="2"/>
        <v>0</v>
      </c>
      <c r="O9" s="54"/>
      <c r="Q9" s="304"/>
      <c r="R9" s="259"/>
      <c r="S9" s="260"/>
      <c r="T9" s="261"/>
      <c r="U9" s="262"/>
      <c r="V9" s="263"/>
      <c r="W9" s="263"/>
      <c r="Y9" s="11"/>
    </row>
    <row r="10" spans="1:25" s="12" customFormat="1" hidden="1" outlineLevel="1">
      <c r="A10" s="123">
        <v>45299</v>
      </c>
      <c r="B10" s="25" t="s">
        <v>18</v>
      </c>
      <c r="C10" s="29"/>
      <c r="D10" s="29"/>
      <c r="E10" s="29">
        <f t="shared" si="0"/>
        <v>0</v>
      </c>
      <c r="G10" s="64"/>
      <c r="H10" s="63">
        <f>C6+I10</f>
        <v>0</v>
      </c>
      <c r="I10" s="27"/>
      <c r="J10" s="28"/>
      <c r="K10" s="43"/>
      <c r="L10" s="29">
        <f t="shared" si="1"/>
        <v>0</v>
      </c>
      <c r="M10" s="29">
        <f t="shared" si="2"/>
        <v>0</v>
      </c>
      <c r="O10" s="54"/>
      <c r="Q10" s="304"/>
      <c r="R10" s="259"/>
      <c r="S10" s="260"/>
      <c r="T10" s="261"/>
      <c r="U10" s="262"/>
      <c r="V10" s="263"/>
      <c r="W10" s="263"/>
      <c r="Y10" s="11"/>
    </row>
    <row r="11" spans="1:25" hidden="1" outlineLevel="1">
      <c r="A11" s="124">
        <v>45300</v>
      </c>
      <c r="B11" s="17" t="s">
        <v>19</v>
      </c>
      <c r="C11" s="23"/>
      <c r="D11" s="23"/>
      <c r="E11" s="23">
        <f t="shared" si="0"/>
        <v>0</v>
      </c>
      <c r="G11" s="19"/>
      <c r="H11" s="62">
        <f>C7+I11</f>
        <v>0</v>
      </c>
      <c r="I11" s="20"/>
      <c r="J11" s="21"/>
      <c r="K11" s="42"/>
      <c r="L11" s="23">
        <f t="shared" si="1"/>
        <v>0</v>
      </c>
      <c r="M11" s="23">
        <f t="shared" si="2"/>
        <v>0</v>
      </c>
      <c r="O11" s="52"/>
      <c r="Q11" s="304"/>
      <c r="R11" s="259"/>
      <c r="S11" s="260"/>
      <c r="T11" s="261"/>
      <c r="U11" s="262"/>
      <c r="V11" s="263"/>
      <c r="W11" s="263"/>
    </row>
    <row r="12" spans="1:25" hidden="1" outlineLevel="1">
      <c r="A12" s="124">
        <v>45301</v>
      </c>
      <c r="B12" s="17" t="s">
        <v>20</v>
      </c>
      <c r="C12" s="23"/>
      <c r="D12" s="23"/>
      <c r="E12" s="23">
        <f t="shared" si="0"/>
        <v>0</v>
      </c>
      <c r="G12" s="19"/>
      <c r="H12" s="62">
        <f>C10+I12</f>
        <v>0</v>
      </c>
      <c r="I12" s="20"/>
      <c r="J12" s="21"/>
      <c r="K12" s="42"/>
      <c r="L12" s="23">
        <f t="shared" si="1"/>
        <v>0</v>
      </c>
      <c r="M12" s="23">
        <f t="shared" si="2"/>
        <v>0</v>
      </c>
      <c r="O12" s="52"/>
      <c r="Q12" s="304"/>
      <c r="R12" s="259"/>
      <c r="S12" s="260"/>
      <c r="T12" s="261"/>
      <c r="U12" s="262"/>
      <c r="V12" s="263"/>
      <c r="W12" s="263"/>
    </row>
    <row r="13" spans="1:25" hidden="1" outlineLevel="1">
      <c r="A13" s="124">
        <v>45302</v>
      </c>
      <c r="B13" s="17" t="s">
        <v>14</v>
      </c>
      <c r="C13" s="23"/>
      <c r="D13" s="23"/>
      <c r="E13" s="23">
        <f t="shared" si="0"/>
        <v>0</v>
      </c>
      <c r="G13" s="19"/>
      <c r="H13" s="62">
        <f t="shared" ref="H13" si="3">C11+I13</f>
        <v>0</v>
      </c>
      <c r="I13" s="20"/>
      <c r="J13" s="21"/>
      <c r="K13" s="42"/>
      <c r="L13" s="23">
        <f t="shared" si="1"/>
        <v>0</v>
      </c>
      <c r="M13" s="23">
        <f t="shared" si="2"/>
        <v>0</v>
      </c>
      <c r="O13" s="52"/>
      <c r="Q13" s="304"/>
      <c r="R13" s="259"/>
      <c r="S13" s="260"/>
      <c r="T13" s="261"/>
      <c r="U13" s="262"/>
      <c r="V13" s="263"/>
      <c r="W13" s="263"/>
    </row>
    <row r="14" spans="1:25" hidden="1" outlineLevel="1">
      <c r="A14" s="124">
        <v>45303</v>
      </c>
      <c r="B14" s="17" t="s">
        <v>15</v>
      </c>
      <c r="C14" s="23"/>
      <c r="D14" s="23"/>
      <c r="E14" s="23">
        <f t="shared" si="0"/>
        <v>0</v>
      </c>
      <c r="G14" s="19"/>
      <c r="H14" s="62">
        <f>C12+I14</f>
        <v>0</v>
      </c>
      <c r="I14" s="20"/>
      <c r="J14" s="21"/>
      <c r="K14" s="42"/>
      <c r="L14" s="23">
        <f t="shared" si="1"/>
        <v>0</v>
      </c>
      <c r="M14" s="23">
        <f t="shared" si="2"/>
        <v>0</v>
      </c>
      <c r="O14" s="52"/>
      <c r="Q14" s="304"/>
      <c r="R14" s="259"/>
      <c r="S14" s="260"/>
      <c r="T14" s="261"/>
      <c r="U14" s="262"/>
      <c r="V14" s="263"/>
      <c r="W14" s="263"/>
      <c r="Y14" s="97" t="e">
        <f>AVERAGE(G11:G14)</f>
        <v>#DIV/0!</v>
      </c>
    </row>
    <row r="15" spans="1:25" s="12" customFormat="1" hidden="1" outlineLevel="1">
      <c r="A15" s="123">
        <v>45304</v>
      </c>
      <c r="B15" s="25" t="s">
        <v>16</v>
      </c>
      <c r="C15" s="29"/>
      <c r="D15" s="29"/>
      <c r="E15" s="29">
        <f t="shared" si="0"/>
        <v>0</v>
      </c>
      <c r="G15" s="64"/>
      <c r="H15" s="63"/>
      <c r="I15" s="27"/>
      <c r="J15" s="28"/>
      <c r="K15" s="43"/>
      <c r="L15" s="29">
        <f t="shared" si="1"/>
        <v>0</v>
      </c>
      <c r="M15" s="29">
        <f t="shared" si="2"/>
        <v>0</v>
      </c>
      <c r="O15" s="54"/>
      <c r="Q15" s="304"/>
      <c r="R15" s="259"/>
      <c r="S15" s="260"/>
      <c r="T15" s="261"/>
      <c r="U15" s="262"/>
      <c r="V15" s="263"/>
      <c r="W15" s="263"/>
      <c r="Y15" s="11"/>
    </row>
    <row r="16" spans="1:25" s="12" customFormat="1" hidden="1" outlineLevel="1">
      <c r="A16" s="123">
        <v>45305</v>
      </c>
      <c r="B16" s="25" t="s">
        <v>17</v>
      </c>
      <c r="C16" s="29"/>
      <c r="D16" s="29"/>
      <c r="E16" s="29">
        <f t="shared" si="0"/>
        <v>0</v>
      </c>
      <c r="G16" s="64"/>
      <c r="H16" s="63"/>
      <c r="I16" s="27"/>
      <c r="J16" s="28"/>
      <c r="K16" s="43"/>
      <c r="L16" s="29">
        <f t="shared" si="1"/>
        <v>0</v>
      </c>
      <c r="M16" s="29">
        <f t="shared" si="2"/>
        <v>0</v>
      </c>
      <c r="O16" s="54"/>
      <c r="Q16" s="304"/>
      <c r="R16" s="259"/>
      <c r="S16" s="260"/>
      <c r="T16" s="261"/>
      <c r="U16" s="262"/>
      <c r="V16" s="263"/>
      <c r="W16" s="263"/>
      <c r="Y16" s="11"/>
    </row>
    <row r="17" spans="1:25" hidden="1" outlineLevel="1">
      <c r="A17" s="124">
        <v>45306</v>
      </c>
      <c r="B17" s="17" t="s">
        <v>18</v>
      </c>
      <c r="C17" s="23"/>
      <c r="D17" s="23"/>
      <c r="E17" s="23">
        <f t="shared" si="0"/>
        <v>0</v>
      </c>
      <c r="G17" s="19"/>
      <c r="H17" s="62">
        <f>C13+I17</f>
        <v>0</v>
      </c>
      <c r="I17" s="20"/>
      <c r="J17" s="21"/>
      <c r="K17" s="42"/>
      <c r="L17" s="23">
        <f t="shared" si="1"/>
        <v>0</v>
      </c>
      <c r="M17" s="23">
        <f t="shared" si="2"/>
        <v>0</v>
      </c>
      <c r="O17" s="52"/>
      <c r="Q17" s="304"/>
      <c r="R17" s="259"/>
      <c r="S17" s="260"/>
      <c r="T17" s="261"/>
      <c r="U17" s="262"/>
      <c r="V17" s="263"/>
      <c r="W17" s="263"/>
    </row>
    <row r="18" spans="1:25" hidden="1" outlineLevel="1">
      <c r="A18" s="124">
        <v>45307</v>
      </c>
      <c r="B18" s="17" t="s">
        <v>19</v>
      </c>
      <c r="C18" s="23">
        <v>1</v>
      </c>
      <c r="D18" s="23"/>
      <c r="E18" s="23">
        <f t="shared" si="0"/>
        <v>-1</v>
      </c>
      <c r="G18" s="19"/>
      <c r="H18" s="62">
        <f>C14+I18</f>
        <v>0</v>
      </c>
      <c r="I18" s="20"/>
      <c r="J18" s="21"/>
      <c r="K18" s="42"/>
      <c r="L18" s="23">
        <f t="shared" si="1"/>
        <v>0</v>
      </c>
      <c r="M18" s="23">
        <f t="shared" si="2"/>
        <v>0</v>
      </c>
      <c r="O18" s="52"/>
      <c r="Q18" s="304"/>
      <c r="R18" s="259"/>
      <c r="S18" s="260"/>
      <c r="T18" s="261"/>
      <c r="U18" s="262"/>
      <c r="V18" s="263"/>
      <c r="W18" s="263"/>
    </row>
    <row r="19" spans="1:25" hidden="1" outlineLevel="1">
      <c r="A19" s="124">
        <v>45308</v>
      </c>
      <c r="B19" s="17" t="s">
        <v>20</v>
      </c>
      <c r="C19" s="23"/>
      <c r="D19" s="23"/>
      <c r="E19" s="23">
        <f t="shared" si="0"/>
        <v>-1</v>
      </c>
      <c r="G19" s="181"/>
      <c r="H19" s="62">
        <f>C17+I19</f>
        <v>0</v>
      </c>
      <c r="I19" s="20"/>
      <c r="J19" s="21"/>
      <c r="K19" s="42"/>
      <c r="L19" s="23">
        <f t="shared" si="1"/>
        <v>0</v>
      </c>
      <c r="M19" s="23">
        <f t="shared" si="2"/>
        <v>0</v>
      </c>
      <c r="O19" s="52"/>
      <c r="Q19" s="305"/>
      <c r="R19" s="259"/>
      <c r="S19" s="260"/>
      <c r="T19" s="261"/>
      <c r="U19" s="262"/>
      <c r="V19" s="263"/>
      <c r="W19" s="263"/>
    </row>
    <row r="20" spans="1:25" hidden="1" outlineLevel="1">
      <c r="A20" s="124">
        <v>45309</v>
      </c>
      <c r="B20" s="17" t="s">
        <v>14</v>
      </c>
      <c r="C20" s="23">
        <v>3</v>
      </c>
      <c r="D20" s="23"/>
      <c r="E20" s="23">
        <f t="shared" si="0"/>
        <v>-4</v>
      </c>
      <c r="G20" s="192">
        <v>1</v>
      </c>
      <c r="H20" s="62">
        <f t="shared" ref="H20" si="4">C18+I20</f>
        <v>1</v>
      </c>
      <c r="I20" s="20"/>
      <c r="J20" s="21"/>
      <c r="K20" s="42">
        <v>1</v>
      </c>
      <c r="L20" s="23">
        <f t="shared" si="1"/>
        <v>0</v>
      </c>
      <c r="M20" s="23">
        <f t="shared" si="2"/>
        <v>0</v>
      </c>
      <c r="O20" s="52"/>
      <c r="Q20" s="306"/>
      <c r="R20" s="259"/>
      <c r="S20" s="260"/>
      <c r="T20" s="261"/>
      <c r="U20" s="262"/>
      <c r="V20" s="263"/>
      <c r="W20" s="263"/>
    </row>
    <row r="21" spans="1:25" hidden="1" outlineLevel="1">
      <c r="A21" s="124">
        <v>45310</v>
      </c>
      <c r="B21" s="17" t="s">
        <v>15</v>
      </c>
      <c r="C21" s="23"/>
      <c r="D21" s="23"/>
      <c r="E21" s="23">
        <f t="shared" si="0"/>
        <v>-4</v>
      </c>
      <c r="G21" s="19"/>
      <c r="H21" s="62">
        <f>C19+I21</f>
        <v>0</v>
      </c>
      <c r="I21" s="20"/>
      <c r="J21" s="21"/>
      <c r="K21" s="42"/>
      <c r="L21" s="23">
        <f t="shared" si="1"/>
        <v>0</v>
      </c>
      <c r="M21" s="23">
        <f t="shared" si="2"/>
        <v>0</v>
      </c>
      <c r="O21" s="52"/>
      <c r="Q21" s="304"/>
      <c r="R21" s="259"/>
      <c r="S21" s="260"/>
      <c r="T21" s="261"/>
      <c r="U21" s="262"/>
      <c r="V21" s="263"/>
      <c r="W21" s="263"/>
      <c r="Y21" s="97">
        <f>AVERAGE(G17:G21)</f>
        <v>1</v>
      </c>
    </row>
    <row r="22" spans="1:25" s="12" customFormat="1" hidden="1" outlineLevel="1">
      <c r="A22" s="123">
        <v>45311</v>
      </c>
      <c r="B22" s="25" t="s">
        <v>16</v>
      </c>
      <c r="C22" s="29"/>
      <c r="D22" s="29"/>
      <c r="E22" s="29">
        <f t="shared" si="0"/>
        <v>-4</v>
      </c>
      <c r="G22" s="64"/>
      <c r="H22" s="63"/>
      <c r="I22" s="27"/>
      <c r="J22" s="28"/>
      <c r="K22" s="43"/>
      <c r="L22" s="29">
        <f t="shared" si="1"/>
        <v>0</v>
      </c>
      <c r="M22" s="29">
        <f t="shared" si="2"/>
        <v>0</v>
      </c>
      <c r="O22" s="54"/>
      <c r="Q22" s="304"/>
      <c r="R22" s="259"/>
      <c r="S22" s="260"/>
      <c r="T22" s="261"/>
      <c r="U22" s="262"/>
      <c r="V22" s="263"/>
      <c r="W22" s="263"/>
      <c r="Y22" s="11"/>
    </row>
    <row r="23" spans="1:25" s="12" customFormat="1" hidden="1" outlineLevel="1">
      <c r="A23" s="123">
        <v>45312</v>
      </c>
      <c r="B23" s="25" t="s">
        <v>17</v>
      </c>
      <c r="C23" s="29"/>
      <c r="D23" s="29"/>
      <c r="E23" s="29">
        <f t="shared" si="0"/>
        <v>-4</v>
      </c>
      <c r="G23" s="64"/>
      <c r="H23" s="63"/>
      <c r="I23" s="27"/>
      <c r="J23" s="28"/>
      <c r="K23" s="43"/>
      <c r="L23" s="29">
        <f t="shared" si="1"/>
        <v>0</v>
      </c>
      <c r="M23" s="29">
        <f t="shared" si="2"/>
        <v>0</v>
      </c>
      <c r="O23" s="54"/>
      <c r="Q23" s="304"/>
      <c r="R23" s="259"/>
      <c r="S23" s="260"/>
      <c r="T23" s="261"/>
      <c r="U23" s="262"/>
      <c r="V23" s="263"/>
      <c r="W23" s="263"/>
      <c r="Y23" s="11"/>
    </row>
    <row r="24" spans="1:25" hidden="1" outlineLevel="1">
      <c r="A24" s="124">
        <v>45313</v>
      </c>
      <c r="B24" s="17" t="s">
        <v>18</v>
      </c>
      <c r="C24" s="23"/>
      <c r="D24" s="23"/>
      <c r="E24" s="23">
        <f t="shared" si="0"/>
        <v>-4</v>
      </c>
      <c r="G24" s="192">
        <v>3</v>
      </c>
      <c r="H24" s="62">
        <f>C20+I24</f>
        <v>3</v>
      </c>
      <c r="I24" s="20"/>
      <c r="J24" s="21"/>
      <c r="K24" s="42">
        <v>3</v>
      </c>
      <c r="L24" s="23">
        <f t="shared" si="1"/>
        <v>0</v>
      </c>
      <c r="M24" s="23">
        <f t="shared" si="2"/>
        <v>0</v>
      </c>
      <c r="O24" s="52"/>
      <c r="Q24" s="306"/>
      <c r="R24" s="259"/>
      <c r="S24" s="260"/>
      <c r="T24" s="261"/>
      <c r="U24" s="262"/>
      <c r="V24" s="263"/>
      <c r="W24" s="263"/>
    </row>
    <row r="25" spans="1:25" hidden="1" outlineLevel="1">
      <c r="A25" s="124">
        <v>45314</v>
      </c>
      <c r="B25" s="17" t="s">
        <v>19</v>
      </c>
      <c r="C25" s="23"/>
      <c r="D25" s="23"/>
      <c r="E25" s="23">
        <f t="shared" si="0"/>
        <v>-4</v>
      </c>
      <c r="G25" s="181"/>
      <c r="H25" s="62">
        <f>C21+I25</f>
        <v>0</v>
      </c>
      <c r="I25" s="20"/>
      <c r="J25" s="21"/>
      <c r="K25" s="42"/>
      <c r="L25" s="23">
        <f t="shared" si="1"/>
        <v>0</v>
      </c>
      <c r="M25" s="23">
        <f t="shared" si="2"/>
        <v>0</v>
      </c>
      <c r="O25" s="52"/>
      <c r="Q25" s="305"/>
      <c r="R25" s="259"/>
      <c r="S25" s="260"/>
      <c r="T25" s="261"/>
      <c r="U25" s="262"/>
      <c r="V25" s="263"/>
      <c r="W25" s="263"/>
    </row>
    <row r="26" spans="1:25" hidden="1" outlineLevel="1">
      <c r="A26" s="124">
        <v>45315</v>
      </c>
      <c r="B26" s="17" t="s">
        <v>20</v>
      </c>
      <c r="C26" s="23"/>
      <c r="D26" s="23"/>
      <c r="E26" s="23">
        <f t="shared" si="0"/>
        <v>-4</v>
      </c>
      <c r="G26" s="191"/>
      <c r="H26" s="62">
        <f>C24+I26</f>
        <v>0</v>
      </c>
      <c r="I26" s="20"/>
      <c r="J26" s="21"/>
      <c r="K26" s="42"/>
      <c r="L26" s="23">
        <f t="shared" si="1"/>
        <v>0</v>
      </c>
      <c r="M26" s="23">
        <f t="shared" si="2"/>
        <v>0</v>
      </c>
      <c r="O26" s="52"/>
      <c r="Q26" s="306"/>
      <c r="R26" s="259"/>
      <c r="S26" s="260"/>
      <c r="T26" s="261"/>
      <c r="U26" s="262"/>
      <c r="V26" s="263"/>
      <c r="W26" s="263"/>
    </row>
    <row r="27" spans="1:25" hidden="1" outlineLevel="1">
      <c r="A27" s="124">
        <v>45316</v>
      </c>
      <c r="B27" s="17" t="s">
        <v>14</v>
      </c>
      <c r="C27" s="23"/>
      <c r="D27" s="23"/>
      <c r="E27" s="23">
        <f t="shared" si="0"/>
        <v>-4</v>
      </c>
      <c r="G27" s="181"/>
      <c r="H27" s="62">
        <f t="shared" ref="H27" si="5">C25+I27</f>
        <v>0</v>
      </c>
      <c r="I27" s="20"/>
      <c r="J27" s="21"/>
      <c r="K27" s="42"/>
      <c r="L27" s="23">
        <f t="shared" si="1"/>
        <v>0</v>
      </c>
      <c r="M27" s="23">
        <f t="shared" si="2"/>
        <v>0</v>
      </c>
      <c r="O27" s="52"/>
      <c r="Q27" s="305"/>
      <c r="R27" s="259"/>
      <c r="S27" s="260"/>
      <c r="T27" s="261"/>
      <c r="U27" s="262"/>
      <c r="V27" s="263"/>
      <c r="W27" s="263"/>
    </row>
    <row r="28" spans="1:25" hidden="1" outlineLevel="1">
      <c r="A28" s="124">
        <v>45317</v>
      </c>
      <c r="B28" s="17" t="s">
        <v>15</v>
      </c>
      <c r="C28" s="23"/>
      <c r="D28" s="23"/>
      <c r="E28" s="23">
        <f t="shared" si="0"/>
        <v>-4</v>
      </c>
      <c r="G28" s="181"/>
      <c r="H28" s="62">
        <f>C26+I28</f>
        <v>0</v>
      </c>
      <c r="I28" s="20"/>
      <c r="J28" s="21"/>
      <c r="K28" s="42"/>
      <c r="L28" s="23">
        <f t="shared" si="1"/>
        <v>0</v>
      </c>
      <c r="M28" s="23">
        <f t="shared" si="2"/>
        <v>0</v>
      </c>
      <c r="O28" s="52"/>
      <c r="Q28" s="305"/>
      <c r="R28" s="259"/>
      <c r="S28" s="260"/>
      <c r="T28" s="261"/>
      <c r="U28" s="262"/>
      <c r="V28" s="263"/>
      <c r="W28" s="263"/>
      <c r="Y28" s="97">
        <f>AVERAGE(G24:G28)</f>
        <v>3</v>
      </c>
    </row>
    <row r="29" spans="1:25" s="12" customFormat="1" hidden="1" outlineLevel="1" collapsed="1">
      <c r="A29" s="123">
        <v>45318</v>
      </c>
      <c r="B29" s="25" t="s">
        <v>16</v>
      </c>
      <c r="C29" s="29"/>
      <c r="D29" s="29"/>
      <c r="E29" s="29">
        <f t="shared" si="0"/>
        <v>-4</v>
      </c>
      <c r="G29" s="182"/>
      <c r="H29" s="63"/>
      <c r="I29" s="27"/>
      <c r="J29" s="28"/>
      <c r="K29" s="43"/>
      <c r="L29" s="29">
        <f t="shared" si="1"/>
        <v>0</v>
      </c>
      <c r="M29" s="29">
        <f t="shared" si="2"/>
        <v>0</v>
      </c>
      <c r="O29" s="54"/>
      <c r="Q29" s="305"/>
      <c r="R29" s="259"/>
      <c r="S29" s="260"/>
      <c r="T29" s="261"/>
      <c r="U29" s="262"/>
      <c r="V29" s="263"/>
      <c r="W29" s="263"/>
      <c r="Y29" s="11"/>
    </row>
    <row r="30" spans="1:25" s="12" customFormat="1" hidden="1" outlineLevel="1">
      <c r="A30" s="123">
        <v>45319</v>
      </c>
      <c r="B30" s="25" t="s">
        <v>17</v>
      </c>
      <c r="C30" s="29"/>
      <c r="D30" s="29"/>
      <c r="E30" s="29">
        <f t="shared" si="0"/>
        <v>-4</v>
      </c>
      <c r="G30" s="182"/>
      <c r="H30" s="63"/>
      <c r="I30" s="27"/>
      <c r="J30" s="28"/>
      <c r="K30" s="43"/>
      <c r="L30" s="29">
        <f t="shared" si="1"/>
        <v>0</v>
      </c>
      <c r="M30" s="29">
        <f t="shared" si="2"/>
        <v>0</v>
      </c>
      <c r="O30" s="54"/>
      <c r="Q30" s="305"/>
      <c r="R30" s="259"/>
      <c r="S30" s="260"/>
      <c r="T30" s="261"/>
      <c r="U30" s="262"/>
      <c r="V30" s="263"/>
      <c r="W30" s="263"/>
      <c r="Y30" s="11"/>
    </row>
    <row r="31" spans="1:25" hidden="1" outlineLevel="1">
      <c r="A31" s="124">
        <v>45320</v>
      </c>
      <c r="B31" s="17" t="s">
        <v>18</v>
      </c>
      <c r="C31" s="136"/>
      <c r="D31" s="23"/>
      <c r="E31" s="23">
        <f t="shared" si="0"/>
        <v>-4</v>
      </c>
      <c r="G31" s="181"/>
      <c r="H31" s="62">
        <f>C27+I31</f>
        <v>0</v>
      </c>
      <c r="I31" s="20"/>
      <c r="J31" s="21"/>
      <c r="K31" s="42"/>
      <c r="L31" s="23">
        <f t="shared" si="1"/>
        <v>0</v>
      </c>
      <c r="M31" s="23">
        <f t="shared" si="2"/>
        <v>0</v>
      </c>
      <c r="O31" s="52"/>
      <c r="Q31" s="305"/>
      <c r="R31" s="259"/>
      <c r="S31" s="260"/>
      <c r="T31" s="261"/>
      <c r="U31" s="262"/>
      <c r="V31" s="263"/>
      <c r="W31" s="263"/>
    </row>
    <row r="32" spans="1:25" hidden="1" outlineLevel="1">
      <c r="A32" s="124">
        <v>45321</v>
      </c>
      <c r="B32" s="17" t="s">
        <v>19</v>
      </c>
      <c r="C32" s="136"/>
      <c r="D32" s="23"/>
      <c r="E32" s="23">
        <f t="shared" si="0"/>
        <v>-4</v>
      </c>
      <c r="G32" s="181"/>
      <c r="H32" s="62">
        <f>C28+I32</f>
        <v>0</v>
      </c>
      <c r="I32" s="20"/>
      <c r="J32" s="21"/>
      <c r="K32" s="42"/>
      <c r="L32" s="23">
        <f t="shared" si="1"/>
        <v>0</v>
      </c>
      <c r="M32" s="23">
        <f t="shared" si="2"/>
        <v>0</v>
      </c>
      <c r="O32" s="52"/>
      <c r="Q32" s="305"/>
      <c r="R32" s="259"/>
      <c r="S32" s="260"/>
      <c r="T32" s="261"/>
      <c r="U32" s="262"/>
      <c r="V32" s="263"/>
      <c r="W32" s="263"/>
    </row>
    <row r="33" spans="1:25" hidden="1" outlineLevel="1">
      <c r="A33" s="124">
        <v>45322</v>
      </c>
      <c r="B33" s="17" t="s">
        <v>20</v>
      </c>
      <c r="C33" s="136"/>
      <c r="D33" s="23"/>
      <c r="E33" s="23">
        <f t="shared" si="0"/>
        <v>-4</v>
      </c>
      <c r="G33" s="181"/>
      <c r="H33" s="62">
        <f>C31+I33</f>
        <v>0</v>
      </c>
      <c r="I33" s="20"/>
      <c r="J33" s="21"/>
      <c r="K33" s="42"/>
      <c r="L33" s="23">
        <f t="shared" si="1"/>
        <v>0</v>
      </c>
      <c r="M33" s="23">
        <f t="shared" si="2"/>
        <v>0</v>
      </c>
      <c r="O33" s="52"/>
      <c r="Q33" s="305"/>
      <c r="R33" s="259"/>
      <c r="S33" s="260"/>
      <c r="T33" s="261"/>
      <c r="U33" s="262"/>
      <c r="V33" s="263"/>
      <c r="W33" s="263"/>
    </row>
    <row r="34" spans="1:25" hidden="1" outlineLevel="1">
      <c r="A34" s="124">
        <v>45323</v>
      </c>
      <c r="B34" s="17" t="s">
        <v>14</v>
      </c>
      <c r="C34" s="136"/>
      <c r="D34" s="23"/>
      <c r="E34" s="23">
        <f t="shared" si="0"/>
        <v>-4</v>
      </c>
      <c r="G34" s="181"/>
      <c r="H34" s="62">
        <f t="shared" ref="H34" si="6">C32+I34</f>
        <v>0</v>
      </c>
      <c r="I34" s="20"/>
      <c r="J34" s="21"/>
      <c r="K34" s="42"/>
      <c r="L34" s="23">
        <f t="shared" si="1"/>
        <v>0</v>
      </c>
      <c r="M34" s="23">
        <f t="shared" si="2"/>
        <v>0</v>
      </c>
      <c r="O34" s="52"/>
      <c r="Q34" s="305"/>
      <c r="R34" s="259"/>
      <c r="S34" s="260"/>
      <c r="T34" s="261"/>
      <c r="U34" s="262"/>
      <c r="V34" s="263"/>
      <c r="W34" s="263"/>
    </row>
    <row r="35" spans="1:25" hidden="1" outlineLevel="1">
      <c r="A35" s="124">
        <v>45324</v>
      </c>
      <c r="B35" s="17" t="s">
        <v>15</v>
      </c>
      <c r="C35" s="136"/>
      <c r="D35" s="23"/>
      <c r="E35" s="23">
        <f t="shared" si="0"/>
        <v>-4</v>
      </c>
      <c r="G35" s="181"/>
      <c r="H35" s="62">
        <f>C33+I35</f>
        <v>0</v>
      </c>
      <c r="I35" s="20"/>
      <c r="J35" s="21"/>
      <c r="K35" s="42"/>
      <c r="L35" s="23">
        <f t="shared" si="1"/>
        <v>0</v>
      </c>
      <c r="M35" s="23">
        <f t="shared" si="2"/>
        <v>0</v>
      </c>
      <c r="O35" s="52"/>
      <c r="Q35" s="305"/>
      <c r="R35" s="259"/>
      <c r="S35" s="260"/>
      <c r="T35" s="261"/>
      <c r="U35" s="262"/>
      <c r="V35" s="263"/>
      <c r="W35" s="263"/>
      <c r="Y35" s="97" t="e">
        <f>AVERAGE(G31:G35)</f>
        <v>#DIV/0!</v>
      </c>
    </row>
    <row r="36" spans="1:25" s="12" customFormat="1" hidden="1" outlineLevel="1">
      <c r="A36" s="123">
        <v>45325</v>
      </c>
      <c r="B36" s="25" t="s">
        <v>16</v>
      </c>
      <c r="C36" s="29"/>
      <c r="D36" s="29"/>
      <c r="E36" s="29">
        <f t="shared" si="0"/>
        <v>-4</v>
      </c>
      <c r="G36" s="182"/>
      <c r="H36" s="63"/>
      <c r="I36" s="27"/>
      <c r="J36" s="28"/>
      <c r="K36" s="43"/>
      <c r="L36" s="29">
        <f t="shared" si="1"/>
        <v>0</v>
      </c>
      <c r="M36" s="29">
        <f t="shared" si="2"/>
        <v>0</v>
      </c>
      <c r="O36" s="54"/>
      <c r="Q36" s="305"/>
      <c r="R36" s="259"/>
      <c r="S36" s="260"/>
      <c r="T36" s="261"/>
      <c r="U36" s="262"/>
      <c r="V36" s="263"/>
      <c r="W36" s="263"/>
      <c r="Y36" s="11"/>
    </row>
    <row r="37" spans="1:25" s="12" customFormat="1" hidden="1" outlineLevel="1">
      <c r="A37" s="123">
        <v>45326</v>
      </c>
      <c r="B37" s="25" t="s">
        <v>17</v>
      </c>
      <c r="C37" s="29"/>
      <c r="D37" s="29"/>
      <c r="E37" s="29">
        <f t="shared" si="0"/>
        <v>-4</v>
      </c>
      <c r="G37" s="64"/>
      <c r="H37" s="63"/>
      <c r="I37" s="27"/>
      <c r="J37" s="28"/>
      <c r="K37" s="43"/>
      <c r="L37" s="29">
        <f t="shared" si="1"/>
        <v>0</v>
      </c>
      <c r="M37" s="29">
        <f t="shared" si="2"/>
        <v>0</v>
      </c>
      <c r="O37" s="54"/>
      <c r="Q37" s="304"/>
      <c r="R37" s="259"/>
      <c r="S37" s="260"/>
      <c r="T37" s="261"/>
      <c r="U37" s="262"/>
      <c r="V37" s="263"/>
      <c r="W37" s="263"/>
      <c r="Y37" s="11"/>
    </row>
    <row r="38" spans="1:25" hidden="1" outlineLevel="1">
      <c r="A38" s="124">
        <v>45327</v>
      </c>
      <c r="B38" s="17" t="s">
        <v>18</v>
      </c>
      <c r="C38" s="136"/>
      <c r="D38" s="23"/>
      <c r="E38" s="23">
        <f t="shared" si="0"/>
        <v>-4</v>
      </c>
      <c r="G38" s="19"/>
      <c r="H38" s="62">
        <f>C34+I38</f>
        <v>0</v>
      </c>
      <c r="I38" s="20"/>
      <c r="J38" s="21"/>
      <c r="K38" s="42"/>
      <c r="L38" s="23">
        <f t="shared" si="1"/>
        <v>0</v>
      </c>
      <c r="M38" s="23">
        <f t="shared" si="2"/>
        <v>0</v>
      </c>
      <c r="O38" s="52"/>
      <c r="Q38" s="304"/>
      <c r="R38" s="259"/>
      <c r="S38" s="260"/>
      <c r="T38" s="261"/>
      <c r="U38" s="262"/>
      <c r="V38" s="263"/>
      <c r="W38" s="263"/>
    </row>
    <row r="39" spans="1:25" hidden="1" outlineLevel="1">
      <c r="A39" s="124">
        <v>45328</v>
      </c>
      <c r="B39" s="17" t="s">
        <v>19</v>
      </c>
      <c r="C39" s="136"/>
      <c r="D39" s="23"/>
      <c r="E39" s="23">
        <f t="shared" si="0"/>
        <v>-4</v>
      </c>
      <c r="G39" s="19"/>
      <c r="H39" s="62">
        <f>C35+I39</f>
        <v>0</v>
      </c>
      <c r="I39" s="20"/>
      <c r="J39" s="21"/>
      <c r="K39" s="42"/>
      <c r="L39" s="23">
        <f t="shared" si="1"/>
        <v>0</v>
      </c>
      <c r="M39" s="23">
        <f t="shared" si="2"/>
        <v>0</v>
      </c>
      <c r="O39" s="52"/>
      <c r="Q39" s="304"/>
      <c r="R39" s="259"/>
      <c r="S39" s="260"/>
      <c r="T39" s="261"/>
      <c r="U39" s="262"/>
      <c r="V39" s="263"/>
      <c r="W39" s="263"/>
    </row>
    <row r="40" spans="1:25" hidden="1" outlineLevel="1">
      <c r="A40" s="124">
        <v>45329</v>
      </c>
      <c r="B40" s="17" t="s">
        <v>20</v>
      </c>
      <c r="C40" s="136"/>
      <c r="D40" s="23"/>
      <c r="E40" s="23">
        <f t="shared" si="0"/>
        <v>-4</v>
      </c>
      <c r="G40" s="19"/>
      <c r="H40" s="62">
        <f>C38+I40</f>
        <v>0</v>
      </c>
      <c r="I40" s="20"/>
      <c r="J40" s="21"/>
      <c r="K40" s="42"/>
      <c r="L40" s="23">
        <f t="shared" si="1"/>
        <v>0</v>
      </c>
      <c r="M40" s="23">
        <f t="shared" si="2"/>
        <v>0</v>
      </c>
      <c r="O40" s="52"/>
      <c r="Q40" s="304"/>
      <c r="R40" s="259"/>
      <c r="S40" s="260"/>
      <c r="T40" s="261"/>
      <c r="U40" s="262"/>
      <c r="V40" s="263"/>
      <c r="W40" s="263"/>
    </row>
    <row r="41" spans="1:25" hidden="1" outlineLevel="1">
      <c r="A41" s="124">
        <v>45330</v>
      </c>
      <c r="B41" s="17" t="s">
        <v>14</v>
      </c>
      <c r="C41" s="136"/>
      <c r="D41" s="23"/>
      <c r="E41" s="23">
        <f t="shared" si="0"/>
        <v>-4</v>
      </c>
      <c r="G41" s="19"/>
      <c r="H41" s="62">
        <f t="shared" ref="H41" si="7">C39+I41</f>
        <v>0</v>
      </c>
      <c r="I41" s="20"/>
      <c r="J41" s="21"/>
      <c r="K41" s="42"/>
      <c r="L41" s="23">
        <f t="shared" si="1"/>
        <v>0</v>
      </c>
      <c r="M41" s="23">
        <f t="shared" si="2"/>
        <v>0</v>
      </c>
      <c r="O41" s="52"/>
      <c r="Q41" s="304"/>
      <c r="R41" s="259"/>
      <c r="S41" s="260"/>
      <c r="T41" s="261"/>
      <c r="U41" s="262"/>
      <c r="V41" s="263"/>
      <c r="W41" s="263"/>
    </row>
    <row r="42" spans="1:25" hidden="1" outlineLevel="1">
      <c r="A42" s="124">
        <v>45331</v>
      </c>
      <c r="B42" s="17" t="s">
        <v>15</v>
      </c>
      <c r="C42" s="136"/>
      <c r="D42" s="23"/>
      <c r="E42" s="23">
        <f t="shared" si="0"/>
        <v>-4</v>
      </c>
      <c r="G42" s="19"/>
      <c r="H42" s="62">
        <f>C40+I42</f>
        <v>0</v>
      </c>
      <c r="I42" s="20"/>
      <c r="J42" s="21"/>
      <c r="K42" s="42"/>
      <c r="L42" s="23">
        <f t="shared" si="1"/>
        <v>0</v>
      </c>
      <c r="M42" s="23">
        <f t="shared" si="2"/>
        <v>0</v>
      </c>
      <c r="O42" s="52"/>
      <c r="Q42" s="304"/>
      <c r="R42" s="259"/>
      <c r="S42" s="260"/>
      <c r="T42" s="261"/>
      <c r="U42" s="262"/>
      <c r="V42" s="263"/>
      <c r="W42" s="263"/>
      <c r="Y42" s="97" t="e">
        <f>AVERAGE(G38:G42)</f>
        <v>#DIV/0!</v>
      </c>
    </row>
    <row r="43" spans="1:25" s="12" customFormat="1" hidden="1" outlineLevel="1" collapsed="1">
      <c r="A43" s="123">
        <v>45332</v>
      </c>
      <c r="B43" s="25" t="s">
        <v>16</v>
      </c>
      <c r="C43" s="29"/>
      <c r="D43" s="29"/>
      <c r="E43" s="29">
        <f t="shared" si="0"/>
        <v>-4</v>
      </c>
      <c r="G43" s="64"/>
      <c r="H43" s="63"/>
      <c r="I43" s="27"/>
      <c r="J43" s="28"/>
      <c r="K43" s="43"/>
      <c r="L43" s="29">
        <f t="shared" si="1"/>
        <v>0</v>
      </c>
      <c r="M43" s="29">
        <f t="shared" si="2"/>
        <v>0</v>
      </c>
      <c r="O43" s="54"/>
      <c r="Q43" s="304"/>
      <c r="R43" s="259"/>
      <c r="S43" s="260"/>
      <c r="T43" s="261"/>
      <c r="U43" s="262"/>
      <c r="V43" s="263"/>
      <c r="W43" s="263"/>
      <c r="Y43" s="11"/>
    </row>
    <row r="44" spans="1:25" s="12" customFormat="1" hidden="1" outlineLevel="1">
      <c r="A44" s="123">
        <v>45333</v>
      </c>
      <c r="B44" s="25" t="s">
        <v>17</v>
      </c>
      <c r="C44" s="29"/>
      <c r="D44" s="29"/>
      <c r="E44" s="29">
        <f t="shared" si="0"/>
        <v>-4</v>
      </c>
      <c r="G44" s="64"/>
      <c r="H44" s="63"/>
      <c r="I44" s="27"/>
      <c r="J44" s="28"/>
      <c r="K44" s="43"/>
      <c r="L44" s="29">
        <f t="shared" si="1"/>
        <v>0</v>
      </c>
      <c r="M44" s="29">
        <f t="shared" si="2"/>
        <v>0</v>
      </c>
      <c r="O44" s="54"/>
      <c r="Q44" s="304"/>
      <c r="R44" s="259"/>
      <c r="S44" s="260"/>
      <c r="T44" s="261"/>
      <c r="U44" s="262"/>
      <c r="V44" s="263"/>
      <c r="W44" s="263"/>
      <c r="Y44" s="11"/>
    </row>
    <row r="45" spans="1:25" s="12" customFormat="1" hidden="1" outlineLevel="1">
      <c r="A45" s="123">
        <v>45334</v>
      </c>
      <c r="B45" s="25" t="s">
        <v>18</v>
      </c>
      <c r="C45" s="29"/>
      <c r="D45" s="29"/>
      <c r="E45" s="29">
        <f t="shared" si="0"/>
        <v>-4</v>
      </c>
      <c r="G45" s="64"/>
      <c r="H45" s="63"/>
      <c r="I45" s="27"/>
      <c r="J45" s="28"/>
      <c r="K45" s="43"/>
      <c r="L45" s="29">
        <f t="shared" si="1"/>
        <v>0</v>
      </c>
      <c r="M45" s="29">
        <f t="shared" si="2"/>
        <v>0</v>
      </c>
      <c r="O45" s="54"/>
      <c r="Q45" s="304"/>
      <c r="R45" s="259"/>
      <c r="S45" s="260"/>
      <c r="T45" s="261"/>
      <c r="U45" s="262"/>
      <c r="V45" s="263"/>
      <c r="W45" s="263"/>
      <c r="Y45" s="11"/>
    </row>
    <row r="46" spans="1:25" hidden="1" outlineLevel="1">
      <c r="A46" s="124">
        <v>45335</v>
      </c>
      <c r="B46" s="17" t="s">
        <v>19</v>
      </c>
      <c r="C46" s="23"/>
      <c r="D46" s="23"/>
      <c r="E46" s="23">
        <f t="shared" si="0"/>
        <v>-4</v>
      </c>
      <c r="G46" s="19"/>
      <c r="H46" s="62">
        <f>C41+I46</f>
        <v>0</v>
      </c>
      <c r="I46" s="20"/>
      <c r="J46" s="21"/>
      <c r="K46" s="42"/>
      <c r="L46" s="23">
        <f t="shared" si="1"/>
        <v>0</v>
      </c>
      <c r="M46" s="23">
        <f t="shared" si="2"/>
        <v>0</v>
      </c>
      <c r="O46" s="52"/>
      <c r="Q46" s="304"/>
      <c r="R46" s="259"/>
      <c r="S46" s="260"/>
      <c r="T46" s="261"/>
      <c r="U46" s="262"/>
      <c r="V46" s="263"/>
      <c r="W46" s="263"/>
    </row>
    <row r="47" spans="1:25" hidden="1" outlineLevel="1">
      <c r="A47" s="124">
        <v>45336</v>
      </c>
      <c r="B47" s="17" t="s">
        <v>20</v>
      </c>
      <c r="C47" s="23"/>
      <c r="D47" s="23"/>
      <c r="E47" s="23">
        <f t="shared" si="0"/>
        <v>-4</v>
      </c>
      <c r="G47" s="19"/>
      <c r="H47" s="62">
        <f>C42+I47</f>
        <v>0</v>
      </c>
      <c r="I47" s="20"/>
      <c r="J47" s="21"/>
      <c r="K47" s="42"/>
      <c r="L47" s="23">
        <f t="shared" si="1"/>
        <v>0</v>
      </c>
      <c r="M47" s="23">
        <f t="shared" si="2"/>
        <v>0</v>
      </c>
      <c r="O47" s="52"/>
      <c r="Q47" s="304"/>
      <c r="R47" s="259"/>
      <c r="S47" s="260"/>
      <c r="T47" s="261"/>
      <c r="U47" s="262"/>
      <c r="V47" s="263"/>
      <c r="W47" s="263"/>
    </row>
    <row r="48" spans="1:25" hidden="1" outlineLevel="1">
      <c r="A48" s="124">
        <v>45337</v>
      </c>
      <c r="B48" s="17" t="s">
        <v>14</v>
      </c>
      <c r="C48" s="23"/>
      <c r="D48" s="23"/>
      <c r="E48" s="23">
        <f t="shared" si="0"/>
        <v>-4</v>
      </c>
      <c r="G48" s="19"/>
      <c r="H48" s="62">
        <f>C46+I48</f>
        <v>0</v>
      </c>
      <c r="I48" s="20"/>
      <c r="J48" s="21"/>
      <c r="K48" s="42"/>
      <c r="L48" s="23">
        <f t="shared" si="1"/>
        <v>0</v>
      </c>
      <c r="M48" s="23">
        <f t="shared" si="2"/>
        <v>0</v>
      </c>
      <c r="O48" s="52"/>
      <c r="Q48" s="304"/>
      <c r="R48" s="259"/>
      <c r="S48" s="260"/>
      <c r="T48" s="261"/>
      <c r="U48" s="262"/>
      <c r="V48" s="263"/>
      <c r="W48" s="263"/>
    </row>
    <row r="49" spans="1:25" hidden="1" outlineLevel="1">
      <c r="A49" s="124">
        <v>45338</v>
      </c>
      <c r="B49" s="17" t="s">
        <v>15</v>
      </c>
      <c r="C49" s="23"/>
      <c r="D49" s="23"/>
      <c r="E49" s="23">
        <f t="shared" si="0"/>
        <v>-4</v>
      </c>
      <c r="G49" s="19"/>
      <c r="H49" s="62">
        <f t="shared" ref="H49" si="8">C47+I49</f>
        <v>0</v>
      </c>
      <c r="I49" s="20"/>
      <c r="J49" s="21"/>
      <c r="K49" s="42"/>
      <c r="L49" s="23">
        <f t="shared" si="1"/>
        <v>0</v>
      </c>
      <c r="M49" s="23">
        <f t="shared" si="2"/>
        <v>0</v>
      </c>
      <c r="O49" s="52"/>
      <c r="Q49" s="304"/>
      <c r="R49" s="259"/>
      <c r="S49" s="260"/>
      <c r="T49" s="261"/>
      <c r="U49" s="262"/>
      <c r="V49" s="263"/>
      <c r="W49" s="263"/>
      <c r="Y49" s="97" t="e">
        <f>AVERAGE(G46:G49)</f>
        <v>#DIV/0!</v>
      </c>
    </row>
    <row r="50" spans="1:25" s="12" customFormat="1" hidden="1" outlineLevel="1">
      <c r="A50" s="123">
        <v>45339</v>
      </c>
      <c r="B50" s="25" t="s">
        <v>16</v>
      </c>
      <c r="C50" s="29"/>
      <c r="D50" s="29"/>
      <c r="E50" s="29">
        <f t="shared" si="0"/>
        <v>-4</v>
      </c>
      <c r="G50" s="64"/>
      <c r="H50" s="63"/>
      <c r="I50" s="27"/>
      <c r="J50" s="28"/>
      <c r="K50" s="43"/>
      <c r="L50" s="29">
        <f t="shared" si="1"/>
        <v>0</v>
      </c>
      <c r="M50" s="29">
        <f t="shared" si="2"/>
        <v>0</v>
      </c>
      <c r="O50" s="54"/>
      <c r="Q50" s="304"/>
      <c r="R50" s="259"/>
      <c r="S50" s="260"/>
      <c r="T50" s="261"/>
      <c r="U50" s="262"/>
      <c r="V50" s="263"/>
      <c r="W50" s="263"/>
      <c r="Y50" s="11"/>
    </row>
    <row r="51" spans="1:25" s="12" customFormat="1" hidden="1" outlineLevel="1">
      <c r="A51" s="123">
        <v>45340</v>
      </c>
      <c r="B51" s="25" t="s">
        <v>17</v>
      </c>
      <c r="C51" s="29"/>
      <c r="D51" s="29"/>
      <c r="E51" s="29">
        <f t="shared" si="0"/>
        <v>-4</v>
      </c>
      <c r="G51" s="64"/>
      <c r="H51" s="63"/>
      <c r="I51" s="27"/>
      <c r="J51" s="28"/>
      <c r="K51" s="43"/>
      <c r="L51" s="29">
        <f t="shared" si="1"/>
        <v>0</v>
      </c>
      <c r="M51" s="29">
        <f t="shared" si="2"/>
        <v>0</v>
      </c>
      <c r="O51" s="54"/>
      <c r="Q51" s="304"/>
      <c r="R51" s="259"/>
      <c r="S51" s="260"/>
      <c r="T51" s="261"/>
      <c r="U51" s="262"/>
      <c r="V51" s="263"/>
      <c r="W51" s="263"/>
      <c r="Y51" s="11"/>
    </row>
    <row r="52" spans="1:25" hidden="1" outlineLevel="1">
      <c r="A52" s="124">
        <v>45341</v>
      </c>
      <c r="B52" s="17" t="s">
        <v>18</v>
      </c>
      <c r="C52" s="23"/>
      <c r="D52" s="23"/>
      <c r="E52" s="23">
        <f t="shared" si="0"/>
        <v>-4</v>
      </c>
      <c r="G52" s="19"/>
      <c r="H52" s="62">
        <f>C48+I52</f>
        <v>0</v>
      </c>
      <c r="I52" s="20"/>
      <c r="J52" s="21"/>
      <c r="K52" s="42"/>
      <c r="L52" s="23">
        <f t="shared" si="1"/>
        <v>0</v>
      </c>
      <c r="M52" s="23">
        <f t="shared" si="2"/>
        <v>0</v>
      </c>
      <c r="O52" s="52"/>
      <c r="Q52" s="304"/>
      <c r="R52" s="259"/>
      <c r="S52" s="260"/>
      <c r="T52" s="261"/>
      <c r="U52" s="262"/>
      <c r="V52" s="263"/>
      <c r="W52" s="263"/>
    </row>
    <row r="53" spans="1:25" hidden="1" outlineLevel="1">
      <c r="A53" s="124">
        <v>45342</v>
      </c>
      <c r="B53" s="17" t="s">
        <v>19</v>
      </c>
      <c r="C53" s="23"/>
      <c r="D53" s="23"/>
      <c r="E53" s="23">
        <f t="shared" si="0"/>
        <v>-4</v>
      </c>
      <c r="G53" s="19"/>
      <c r="H53" s="62">
        <f>C49+I53</f>
        <v>0</v>
      </c>
      <c r="I53" s="20"/>
      <c r="J53" s="21"/>
      <c r="K53" s="42"/>
      <c r="L53" s="23">
        <f t="shared" si="1"/>
        <v>0</v>
      </c>
      <c r="M53" s="23">
        <f t="shared" si="2"/>
        <v>0</v>
      </c>
      <c r="O53" s="52"/>
      <c r="Q53" s="304"/>
      <c r="R53" s="259"/>
      <c r="S53" s="260"/>
      <c r="T53" s="261"/>
      <c r="U53" s="262"/>
      <c r="V53" s="263"/>
      <c r="W53" s="263"/>
    </row>
    <row r="54" spans="1:25" hidden="1" outlineLevel="1">
      <c r="A54" s="124">
        <v>45343</v>
      </c>
      <c r="B54" s="17" t="s">
        <v>20</v>
      </c>
      <c r="C54" s="23"/>
      <c r="D54" s="23"/>
      <c r="E54" s="23">
        <f t="shared" si="0"/>
        <v>-4</v>
      </c>
      <c r="G54" s="19"/>
      <c r="H54" s="62">
        <f>C52+I54</f>
        <v>0</v>
      </c>
      <c r="I54" s="20"/>
      <c r="J54" s="21"/>
      <c r="K54" s="42"/>
      <c r="L54" s="23">
        <f t="shared" si="1"/>
        <v>0</v>
      </c>
      <c r="M54" s="23">
        <f t="shared" si="2"/>
        <v>0</v>
      </c>
      <c r="O54" s="52"/>
      <c r="Q54" s="304"/>
      <c r="R54" s="259"/>
      <c r="S54" s="260"/>
      <c r="T54" s="261"/>
      <c r="U54" s="262"/>
      <c r="V54" s="263"/>
      <c r="W54" s="263"/>
    </row>
    <row r="55" spans="1:25" hidden="1" outlineLevel="1">
      <c r="A55" s="124">
        <v>45344</v>
      </c>
      <c r="B55" s="17" t="s">
        <v>14</v>
      </c>
      <c r="C55" s="23"/>
      <c r="D55" s="23"/>
      <c r="E55" s="23">
        <f t="shared" si="0"/>
        <v>-4</v>
      </c>
      <c r="G55" s="19"/>
      <c r="H55" s="62">
        <f t="shared" ref="H55" si="9">C53+I55</f>
        <v>0</v>
      </c>
      <c r="I55" s="20"/>
      <c r="J55" s="21"/>
      <c r="K55" s="42"/>
      <c r="L55" s="23">
        <f t="shared" si="1"/>
        <v>0</v>
      </c>
      <c r="M55" s="23">
        <f t="shared" si="2"/>
        <v>0</v>
      </c>
      <c r="O55" s="52"/>
      <c r="Q55" s="304"/>
      <c r="R55" s="259"/>
      <c r="S55" s="260"/>
      <c r="T55" s="261"/>
      <c r="U55" s="262"/>
      <c r="V55" s="263"/>
      <c r="W55" s="263"/>
    </row>
    <row r="56" spans="1:25" hidden="1" outlineLevel="1">
      <c r="A56" s="124">
        <v>45345</v>
      </c>
      <c r="B56" s="17" t="s">
        <v>15</v>
      </c>
      <c r="C56" s="23"/>
      <c r="D56" s="23"/>
      <c r="E56" s="23">
        <f t="shared" si="0"/>
        <v>-4</v>
      </c>
      <c r="G56" s="19"/>
      <c r="H56" s="62">
        <f>C54+I56</f>
        <v>0</v>
      </c>
      <c r="I56" s="20"/>
      <c r="J56" s="21"/>
      <c r="K56" s="42"/>
      <c r="L56" s="23">
        <f t="shared" si="1"/>
        <v>0</v>
      </c>
      <c r="M56" s="23">
        <f t="shared" si="2"/>
        <v>0</v>
      </c>
      <c r="O56" s="52"/>
      <c r="Q56" s="304"/>
      <c r="R56" s="259"/>
      <c r="S56" s="260"/>
      <c r="T56" s="261"/>
      <c r="U56" s="262"/>
      <c r="V56" s="263"/>
      <c r="W56" s="263"/>
      <c r="Y56" s="97" t="e">
        <f>AVERAGE(G52:G56)</f>
        <v>#DIV/0!</v>
      </c>
    </row>
    <row r="57" spans="1:25" s="12" customFormat="1" hidden="1" outlineLevel="1" collapsed="1">
      <c r="A57" s="123">
        <v>45346</v>
      </c>
      <c r="B57" s="25" t="s">
        <v>16</v>
      </c>
      <c r="C57" s="29"/>
      <c r="D57" s="29"/>
      <c r="E57" s="29">
        <f t="shared" si="0"/>
        <v>-4</v>
      </c>
      <c r="G57" s="64"/>
      <c r="H57" s="63"/>
      <c r="I57" s="27"/>
      <c r="J57" s="28"/>
      <c r="K57" s="43"/>
      <c r="L57" s="29">
        <f t="shared" si="1"/>
        <v>0</v>
      </c>
      <c r="M57" s="29">
        <f t="shared" si="2"/>
        <v>0</v>
      </c>
      <c r="O57" s="54"/>
      <c r="Q57" s="304"/>
      <c r="R57" s="259"/>
      <c r="S57" s="260"/>
      <c r="T57" s="261"/>
      <c r="U57" s="262"/>
      <c r="V57" s="263"/>
      <c r="W57" s="263"/>
      <c r="Y57" s="11"/>
    </row>
    <row r="58" spans="1:25" s="12" customFormat="1" hidden="1" outlineLevel="1">
      <c r="A58" s="123">
        <v>45347</v>
      </c>
      <c r="B58" s="25" t="s">
        <v>17</v>
      </c>
      <c r="C58" s="29"/>
      <c r="D58" s="29"/>
      <c r="E58" s="29">
        <f t="shared" si="0"/>
        <v>-4</v>
      </c>
      <c r="G58" s="64"/>
      <c r="H58" s="63"/>
      <c r="I58" s="27"/>
      <c r="J58" s="28"/>
      <c r="K58" s="43"/>
      <c r="L58" s="29">
        <f t="shared" si="1"/>
        <v>0</v>
      </c>
      <c r="M58" s="29">
        <f t="shared" si="2"/>
        <v>0</v>
      </c>
      <c r="O58" s="54"/>
      <c r="Q58" s="304"/>
      <c r="R58" s="259"/>
      <c r="S58" s="260"/>
      <c r="T58" s="261"/>
      <c r="U58" s="262"/>
      <c r="V58" s="263"/>
      <c r="W58" s="263"/>
      <c r="Y58" s="11"/>
    </row>
    <row r="59" spans="1:25" hidden="1" outlineLevel="1">
      <c r="A59" s="124">
        <v>45348</v>
      </c>
      <c r="B59" s="17" t="s">
        <v>18</v>
      </c>
      <c r="C59" s="23"/>
      <c r="D59" s="23"/>
      <c r="E59" s="23">
        <f t="shared" si="0"/>
        <v>-4</v>
      </c>
      <c r="G59" s="19"/>
      <c r="H59" s="62">
        <f>C55+I59</f>
        <v>0</v>
      </c>
      <c r="I59" s="20"/>
      <c r="J59" s="21"/>
      <c r="K59" s="42"/>
      <c r="L59" s="23">
        <f t="shared" si="1"/>
        <v>0</v>
      </c>
      <c r="M59" s="23">
        <f t="shared" si="2"/>
        <v>0</v>
      </c>
      <c r="O59" s="52"/>
      <c r="Q59" s="304"/>
      <c r="R59" s="259"/>
      <c r="S59" s="260"/>
      <c r="T59" s="261"/>
      <c r="U59" s="262"/>
      <c r="V59" s="263"/>
      <c r="W59" s="263"/>
    </row>
    <row r="60" spans="1:25" hidden="1" outlineLevel="1">
      <c r="A60" s="124">
        <v>45349</v>
      </c>
      <c r="B60" s="17" t="s">
        <v>19</v>
      </c>
      <c r="C60" s="23"/>
      <c r="D60" s="23"/>
      <c r="E60" s="23">
        <f t="shared" si="0"/>
        <v>-4</v>
      </c>
      <c r="G60" s="19"/>
      <c r="H60" s="62">
        <f>C56+I60</f>
        <v>0</v>
      </c>
      <c r="I60" s="20"/>
      <c r="J60" s="21"/>
      <c r="K60" s="42"/>
      <c r="L60" s="23">
        <f t="shared" si="1"/>
        <v>0</v>
      </c>
      <c r="M60" s="23">
        <f t="shared" si="2"/>
        <v>0</v>
      </c>
      <c r="O60" s="52"/>
      <c r="Q60" s="304"/>
      <c r="R60" s="259"/>
      <c r="S60" s="260"/>
      <c r="T60" s="261"/>
      <c r="U60" s="262"/>
      <c r="V60" s="263"/>
      <c r="W60" s="263"/>
    </row>
    <row r="61" spans="1:25" hidden="1" outlineLevel="1">
      <c r="A61" s="124">
        <v>45350</v>
      </c>
      <c r="B61" s="17" t="s">
        <v>20</v>
      </c>
      <c r="C61" s="23"/>
      <c r="D61" s="23"/>
      <c r="E61" s="23">
        <f t="shared" si="0"/>
        <v>-4</v>
      </c>
      <c r="G61" s="19"/>
      <c r="H61" s="62">
        <f>C59+I61</f>
        <v>0</v>
      </c>
      <c r="I61" s="20"/>
      <c r="J61" s="21"/>
      <c r="K61" s="42"/>
      <c r="L61" s="23">
        <f t="shared" si="1"/>
        <v>0</v>
      </c>
      <c r="M61" s="23">
        <f t="shared" si="2"/>
        <v>0</v>
      </c>
      <c r="O61" s="52"/>
      <c r="Q61" s="304"/>
      <c r="R61" s="259"/>
      <c r="S61" s="260"/>
      <c r="T61" s="261"/>
      <c r="U61" s="262"/>
      <c r="V61" s="263"/>
      <c r="W61" s="263"/>
    </row>
    <row r="62" spans="1:25" hidden="1" outlineLevel="1">
      <c r="A62" s="124">
        <v>45351</v>
      </c>
      <c r="B62" s="17" t="s">
        <v>14</v>
      </c>
      <c r="C62" s="23"/>
      <c r="D62" s="23"/>
      <c r="E62" s="23">
        <f t="shared" si="0"/>
        <v>-4</v>
      </c>
      <c r="G62" s="19"/>
      <c r="H62" s="62">
        <f t="shared" ref="H62" si="10">C60+I62</f>
        <v>0</v>
      </c>
      <c r="I62" s="20"/>
      <c r="J62" s="21"/>
      <c r="K62" s="42"/>
      <c r="L62" s="23">
        <f t="shared" si="1"/>
        <v>0</v>
      </c>
      <c r="M62" s="23">
        <f t="shared" si="2"/>
        <v>0</v>
      </c>
      <c r="O62" s="52"/>
      <c r="Q62" s="304"/>
      <c r="R62" s="259"/>
      <c r="S62" s="260"/>
      <c r="T62" s="261"/>
      <c r="U62" s="262"/>
      <c r="V62" s="263"/>
      <c r="W62" s="263"/>
    </row>
    <row r="63" spans="1:25" hidden="1" outlineLevel="1">
      <c r="A63" s="124">
        <v>45352</v>
      </c>
      <c r="B63" s="17" t="s">
        <v>15</v>
      </c>
      <c r="C63" s="23"/>
      <c r="D63" s="23"/>
      <c r="E63" s="23">
        <f t="shared" si="0"/>
        <v>-4</v>
      </c>
      <c r="G63" s="19"/>
      <c r="H63" s="62">
        <f>C61+I63</f>
        <v>0</v>
      </c>
      <c r="I63" s="20"/>
      <c r="J63" s="21"/>
      <c r="K63" s="42"/>
      <c r="L63" s="23">
        <f t="shared" si="1"/>
        <v>0</v>
      </c>
      <c r="M63" s="23">
        <f t="shared" si="2"/>
        <v>0</v>
      </c>
      <c r="O63" s="52"/>
      <c r="Q63" s="304"/>
      <c r="R63" s="259"/>
      <c r="S63" s="260"/>
      <c r="T63" s="261"/>
      <c r="U63" s="262"/>
      <c r="V63" s="263"/>
      <c r="W63" s="263"/>
      <c r="Y63" s="97" t="e">
        <f>AVERAGE(G59:G63)</f>
        <v>#DIV/0!</v>
      </c>
    </row>
    <row r="64" spans="1:25" s="12" customFormat="1" hidden="1" outlineLevel="1">
      <c r="A64" s="123">
        <v>45353</v>
      </c>
      <c r="B64" s="25" t="s">
        <v>16</v>
      </c>
      <c r="C64" s="29"/>
      <c r="D64" s="29"/>
      <c r="E64" s="29">
        <f t="shared" si="0"/>
        <v>-4</v>
      </c>
      <c r="G64" s="64"/>
      <c r="H64" s="63"/>
      <c r="I64" s="27"/>
      <c r="J64" s="28"/>
      <c r="K64" s="43"/>
      <c r="L64" s="29">
        <f t="shared" si="1"/>
        <v>0</v>
      </c>
      <c r="M64" s="29">
        <f t="shared" si="2"/>
        <v>0</v>
      </c>
      <c r="O64" s="54"/>
      <c r="Q64" s="304"/>
      <c r="R64" s="259"/>
      <c r="S64" s="260"/>
      <c r="T64" s="261"/>
      <c r="U64" s="262"/>
      <c r="V64" s="263"/>
      <c r="W64" s="263"/>
      <c r="Y64" s="11"/>
    </row>
    <row r="65" spans="1:25" s="12" customFormat="1" hidden="1" outlineLevel="1">
      <c r="A65" s="123">
        <v>45354</v>
      </c>
      <c r="B65" s="25" t="s">
        <v>17</v>
      </c>
      <c r="C65" s="29"/>
      <c r="D65" s="29"/>
      <c r="E65" s="29">
        <f t="shared" si="0"/>
        <v>-4</v>
      </c>
      <c r="G65" s="64"/>
      <c r="H65" s="63"/>
      <c r="I65" s="27"/>
      <c r="J65" s="28"/>
      <c r="K65" s="43"/>
      <c r="L65" s="29">
        <f t="shared" si="1"/>
        <v>0</v>
      </c>
      <c r="M65" s="29">
        <f t="shared" si="2"/>
        <v>0</v>
      </c>
      <c r="O65" s="54"/>
      <c r="Q65" s="304"/>
      <c r="R65" s="259"/>
      <c r="S65" s="260"/>
      <c r="T65" s="261"/>
      <c r="U65" s="262"/>
      <c r="V65" s="263"/>
      <c r="W65" s="263"/>
      <c r="Y65" s="11"/>
    </row>
    <row r="66" spans="1:25" hidden="1" outlineLevel="1">
      <c r="A66" s="124">
        <v>45355</v>
      </c>
      <c r="B66" s="17" t="s">
        <v>18</v>
      </c>
      <c r="C66" s="23"/>
      <c r="D66" s="23"/>
      <c r="E66" s="23">
        <f t="shared" si="0"/>
        <v>-4</v>
      </c>
      <c r="G66" s="19"/>
      <c r="H66" s="62">
        <f>C62+I66</f>
        <v>0</v>
      </c>
      <c r="I66" s="20"/>
      <c r="J66" s="21"/>
      <c r="K66" s="42"/>
      <c r="L66" s="23">
        <f t="shared" si="1"/>
        <v>0</v>
      </c>
      <c r="M66" s="23">
        <f t="shared" si="2"/>
        <v>0</v>
      </c>
      <c r="O66" s="52"/>
      <c r="Q66" s="304"/>
      <c r="R66" s="259"/>
      <c r="S66" s="260"/>
      <c r="T66" s="261"/>
      <c r="U66" s="262"/>
      <c r="V66" s="263"/>
      <c r="W66" s="263"/>
    </row>
    <row r="67" spans="1:25" hidden="1" outlineLevel="1">
      <c r="A67" s="124">
        <v>45356</v>
      </c>
      <c r="B67" s="17" t="s">
        <v>19</v>
      </c>
      <c r="C67" s="23"/>
      <c r="D67" s="23"/>
      <c r="E67" s="23">
        <f t="shared" si="0"/>
        <v>-4</v>
      </c>
      <c r="G67" s="19"/>
      <c r="H67" s="62">
        <f>C63+I67</f>
        <v>0</v>
      </c>
      <c r="I67" s="20"/>
      <c r="J67" s="21"/>
      <c r="K67" s="42"/>
      <c r="L67" s="23">
        <f t="shared" si="1"/>
        <v>0</v>
      </c>
      <c r="M67" s="23">
        <f t="shared" si="2"/>
        <v>0</v>
      </c>
      <c r="O67" s="52"/>
      <c r="Q67" s="304"/>
      <c r="R67" s="259"/>
      <c r="S67" s="260"/>
      <c r="T67" s="261"/>
      <c r="U67" s="262"/>
      <c r="V67" s="263"/>
      <c r="W67" s="263"/>
    </row>
    <row r="68" spans="1:25" hidden="1" outlineLevel="1">
      <c r="A68" s="124">
        <v>45357</v>
      </c>
      <c r="B68" s="17" t="s">
        <v>20</v>
      </c>
      <c r="C68" s="23"/>
      <c r="D68" s="23"/>
      <c r="E68" s="23">
        <f t="shared" ref="E68:E131" si="11">E67-C68+D68</f>
        <v>-4</v>
      </c>
      <c r="G68" s="19"/>
      <c r="H68" s="62">
        <f>C66+I68</f>
        <v>0</v>
      </c>
      <c r="I68" s="20"/>
      <c r="J68" s="21"/>
      <c r="K68" s="42"/>
      <c r="L68" s="23">
        <f t="shared" ref="L68:L97" si="12">L67-G68+K68</f>
        <v>0</v>
      </c>
      <c r="M68" s="23">
        <f t="shared" ref="M68:M97" si="13">M67-G68+H68</f>
        <v>0</v>
      </c>
      <c r="O68" s="52"/>
      <c r="Q68" s="304"/>
      <c r="R68" s="259"/>
      <c r="S68" s="260"/>
      <c r="T68" s="261"/>
      <c r="U68" s="262"/>
      <c r="V68" s="263"/>
      <c r="W68" s="263"/>
    </row>
    <row r="69" spans="1:25" hidden="1" outlineLevel="1">
      <c r="A69" s="124">
        <v>45358</v>
      </c>
      <c r="B69" s="17" t="s">
        <v>14</v>
      </c>
      <c r="C69" s="23"/>
      <c r="D69" s="23"/>
      <c r="E69" s="23">
        <f t="shared" si="11"/>
        <v>-4</v>
      </c>
      <c r="G69" s="19"/>
      <c r="H69" s="62">
        <f t="shared" ref="H69" si="14">C67+I69</f>
        <v>0</v>
      </c>
      <c r="I69" s="20"/>
      <c r="J69" s="21"/>
      <c r="K69" s="42"/>
      <c r="L69" s="23">
        <f t="shared" si="12"/>
        <v>0</v>
      </c>
      <c r="M69" s="23">
        <f t="shared" si="13"/>
        <v>0</v>
      </c>
      <c r="O69" s="52"/>
      <c r="Q69" s="304"/>
      <c r="R69" s="259"/>
      <c r="S69" s="260"/>
      <c r="T69" s="261"/>
      <c r="U69" s="262"/>
      <c r="V69" s="263"/>
      <c r="W69" s="263"/>
    </row>
    <row r="70" spans="1:25" hidden="1" outlineLevel="1">
      <c r="A70" s="124">
        <v>45359</v>
      </c>
      <c r="B70" s="17" t="s">
        <v>15</v>
      </c>
      <c r="C70" s="23"/>
      <c r="D70" s="23"/>
      <c r="E70" s="23">
        <f t="shared" si="11"/>
        <v>-4</v>
      </c>
      <c r="G70" s="19"/>
      <c r="H70" s="62">
        <f>C68+I70</f>
        <v>0</v>
      </c>
      <c r="I70" s="20"/>
      <c r="J70" s="21"/>
      <c r="K70" s="42"/>
      <c r="L70" s="23">
        <f t="shared" si="12"/>
        <v>0</v>
      </c>
      <c r="M70" s="23">
        <f t="shared" si="13"/>
        <v>0</v>
      </c>
      <c r="O70" s="52"/>
      <c r="Q70" s="304"/>
      <c r="R70" s="259"/>
      <c r="S70" s="260"/>
      <c r="T70" s="261"/>
      <c r="U70" s="262"/>
      <c r="V70" s="263"/>
      <c r="W70" s="263"/>
      <c r="Y70" s="97" t="e">
        <f>AVERAGE(G66:G70)</f>
        <v>#DIV/0!</v>
      </c>
    </row>
    <row r="71" spans="1:25" s="12" customFormat="1" hidden="1" outlineLevel="1" collapsed="1">
      <c r="A71" s="123">
        <v>45360</v>
      </c>
      <c r="B71" s="25" t="s">
        <v>16</v>
      </c>
      <c r="C71" s="29"/>
      <c r="D71" s="29"/>
      <c r="E71" s="29">
        <f t="shared" si="11"/>
        <v>-4</v>
      </c>
      <c r="G71" s="64"/>
      <c r="H71" s="63"/>
      <c r="I71" s="27"/>
      <c r="J71" s="28"/>
      <c r="K71" s="43"/>
      <c r="L71" s="29">
        <f t="shared" si="12"/>
        <v>0</v>
      </c>
      <c r="M71" s="29">
        <f t="shared" si="13"/>
        <v>0</v>
      </c>
      <c r="O71" s="54"/>
      <c r="Q71" s="304"/>
      <c r="R71" s="259"/>
      <c r="S71" s="260"/>
      <c r="T71" s="261"/>
      <c r="U71" s="262"/>
      <c r="V71" s="263"/>
      <c r="W71" s="263"/>
      <c r="Y71" s="11"/>
    </row>
    <row r="72" spans="1:25" s="12" customFormat="1" hidden="1" outlineLevel="1">
      <c r="A72" s="123">
        <v>45361</v>
      </c>
      <c r="B72" s="25" t="s">
        <v>17</v>
      </c>
      <c r="C72" s="29"/>
      <c r="D72" s="29"/>
      <c r="E72" s="29">
        <f t="shared" si="11"/>
        <v>-4</v>
      </c>
      <c r="G72" s="64"/>
      <c r="H72" s="63"/>
      <c r="I72" s="27"/>
      <c r="J72" s="28"/>
      <c r="K72" s="43"/>
      <c r="L72" s="29">
        <f t="shared" si="12"/>
        <v>0</v>
      </c>
      <c r="M72" s="29">
        <f t="shared" si="13"/>
        <v>0</v>
      </c>
      <c r="O72" s="54"/>
      <c r="Q72" s="304"/>
      <c r="R72" s="259"/>
      <c r="S72" s="260"/>
      <c r="T72" s="261"/>
      <c r="U72" s="262"/>
      <c r="V72" s="263"/>
      <c r="W72" s="263"/>
      <c r="Y72" s="11"/>
    </row>
    <row r="73" spans="1:25" hidden="1" outlineLevel="1">
      <c r="A73" s="124">
        <v>45362</v>
      </c>
      <c r="B73" s="17" t="s">
        <v>18</v>
      </c>
      <c r="C73" s="23"/>
      <c r="D73" s="23"/>
      <c r="E73" s="23">
        <f t="shared" si="11"/>
        <v>-4</v>
      </c>
      <c r="G73" s="19"/>
      <c r="H73" s="62">
        <f>C69+I73</f>
        <v>0</v>
      </c>
      <c r="I73" s="20"/>
      <c r="J73" s="21"/>
      <c r="K73" s="42"/>
      <c r="L73" s="23">
        <f t="shared" si="12"/>
        <v>0</v>
      </c>
      <c r="M73" s="23">
        <f t="shared" si="13"/>
        <v>0</v>
      </c>
      <c r="O73" s="52"/>
      <c r="Q73" s="304"/>
      <c r="R73" s="259"/>
      <c r="S73" s="260"/>
      <c r="T73" s="261"/>
      <c r="U73" s="262"/>
      <c r="V73" s="263"/>
      <c r="W73" s="263"/>
    </row>
    <row r="74" spans="1:25" hidden="1" outlineLevel="1">
      <c r="A74" s="124">
        <v>45363</v>
      </c>
      <c r="B74" s="17" t="s">
        <v>19</v>
      </c>
      <c r="C74" s="23">
        <v>5</v>
      </c>
      <c r="D74" s="23"/>
      <c r="E74" s="23">
        <f t="shared" si="11"/>
        <v>-9</v>
      </c>
      <c r="G74" s="19"/>
      <c r="H74" s="62">
        <f>C70+I74</f>
        <v>0</v>
      </c>
      <c r="I74" s="20"/>
      <c r="J74" s="21"/>
      <c r="K74" s="42"/>
      <c r="L74" s="23">
        <f t="shared" si="12"/>
        <v>0</v>
      </c>
      <c r="M74" s="23">
        <f t="shared" si="13"/>
        <v>0</v>
      </c>
      <c r="O74" s="52"/>
      <c r="Q74" s="304"/>
      <c r="R74" s="259"/>
      <c r="S74" s="260"/>
      <c r="T74" s="261"/>
      <c r="U74" s="262"/>
      <c r="V74" s="263"/>
      <c r="W74" s="263"/>
    </row>
    <row r="75" spans="1:25" hidden="1" outlineLevel="1">
      <c r="A75" s="124">
        <v>45364</v>
      </c>
      <c r="B75" s="17" t="s">
        <v>20</v>
      </c>
      <c r="C75" s="23">
        <v>3</v>
      </c>
      <c r="D75" s="23"/>
      <c r="E75" s="23">
        <f t="shared" si="11"/>
        <v>-12</v>
      </c>
      <c r="G75" s="19"/>
      <c r="H75" s="62">
        <f>C73+I75</f>
        <v>0</v>
      </c>
      <c r="I75" s="20"/>
      <c r="J75" s="21"/>
      <c r="K75" s="42"/>
      <c r="L75" s="23">
        <f t="shared" si="12"/>
        <v>0</v>
      </c>
      <c r="M75" s="23">
        <f t="shared" si="13"/>
        <v>0</v>
      </c>
      <c r="O75" s="52"/>
      <c r="Q75" s="304"/>
      <c r="R75" s="259"/>
      <c r="S75" s="260"/>
      <c r="T75" s="261"/>
      <c r="U75" s="262"/>
      <c r="V75" s="263"/>
      <c r="W75" s="263"/>
    </row>
    <row r="76" spans="1:25" hidden="1" outlineLevel="1">
      <c r="A76" s="124">
        <v>45365</v>
      </c>
      <c r="B76" s="17" t="s">
        <v>14</v>
      </c>
      <c r="C76" s="23"/>
      <c r="D76" s="23"/>
      <c r="E76" s="23">
        <f t="shared" si="11"/>
        <v>-12</v>
      </c>
      <c r="G76" s="207">
        <v>5</v>
      </c>
      <c r="H76" s="62">
        <f t="shared" ref="H76" si="15">C74+I76</f>
        <v>5</v>
      </c>
      <c r="I76" s="20"/>
      <c r="J76" s="21"/>
      <c r="K76" s="57">
        <v>5</v>
      </c>
      <c r="L76" s="23">
        <f t="shared" si="12"/>
        <v>0</v>
      </c>
      <c r="M76" s="23">
        <f t="shared" si="13"/>
        <v>0</v>
      </c>
      <c r="O76" s="52"/>
      <c r="Q76" s="307"/>
      <c r="R76" s="259"/>
      <c r="S76" s="260"/>
      <c r="T76" s="261"/>
      <c r="U76" s="262"/>
      <c r="V76" s="263"/>
      <c r="W76" s="263"/>
    </row>
    <row r="77" spans="1:25" hidden="1" outlineLevel="1">
      <c r="A77" s="124">
        <v>45366</v>
      </c>
      <c r="B77" s="17" t="s">
        <v>15</v>
      </c>
      <c r="C77" s="23"/>
      <c r="D77" s="23"/>
      <c r="E77" s="23">
        <f t="shared" si="11"/>
        <v>-12</v>
      </c>
      <c r="G77" s="207">
        <v>3</v>
      </c>
      <c r="H77" s="62">
        <f>C75+I77</f>
        <v>3</v>
      </c>
      <c r="I77" s="20"/>
      <c r="J77" s="21"/>
      <c r="K77" s="57">
        <v>3</v>
      </c>
      <c r="L77" s="23">
        <f t="shared" si="12"/>
        <v>0</v>
      </c>
      <c r="M77" s="23">
        <f t="shared" si="13"/>
        <v>0</v>
      </c>
      <c r="O77" s="52"/>
      <c r="Q77" s="307"/>
      <c r="R77" s="259"/>
      <c r="S77" s="260"/>
      <c r="T77" s="261"/>
      <c r="U77" s="262"/>
      <c r="V77" s="263"/>
      <c r="W77" s="263"/>
      <c r="Y77" s="97">
        <f>AVERAGE(G73:G77)</f>
        <v>4</v>
      </c>
    </row>
    <row r="78" spans="1:25" s="12" customFormat="1" hidden="1" outlineLevel="1" collapsed="1">
      <c r="A78" s="123">
        <v>45367</v>
      </c>
      <c r="B78" s="25" t="s">
        <v>16</v>
      </c>
      <c r="C78" s="29"/>
      <c r="D78" s="29"/>
      <c r="E78" s="29">
        <f t="shared" si="11"/>
        <v>-12</v>
      </c>
      <c r="G78" s="64"/>
      <c r="H78" s="63"/>
      <c r="I78" s="27"/>
      <c r="J78" s="28"/>
      <c r="K78" s="43"/>
      <c r="L78" s="29">
        <f t="shared" si="12"/>
        <v>0</v>
      </c>
      <c r="M78" s="29">
        <f t="shared" si="13"/>
        <v>0</v>
      </c>
      <c r="O78" s="54"/>
      <c r="Q78" s="304"/>
      <c r="R78" s="259"/>
      <c r="S78" s="260"/>
      <c r="T78" s="261"/>
      <c r="U78" s="262"/>
      <c r="V78" s="263"/>
      <c r="W78" s="263"/>
      <c r="Y78" s="11"/>
    </row>
    <row r="79" spans="1:25" s="12" customFormat="1" hidden="1" outlineLevel="1">
      <c r="A79" s="123">
        <v>45368</v>
      </c>
      <c r="B79" s="25" t="s">
        <v>17</v>
      </c>
      <c r="C79" s="29"/>
      <c r="D79" s="29"/>
      <c r="E79" s="29">
        <f t="shared" si="11"/>
        <v>-12</v>
      </c>
      <c r="G79" s="64"/>
      <c r="H79" s="63"/>
      <c r="I79" s="27"/>
      <c r="J79" s="28"/>
      <c r="K79" s="43"/>
      <c r="L79" s="29">
        <f t="shared" si="12"/>
        <v>0</v>
      </c>
      <c r="M79" s="29">
        <f t="shared" si="13"/>
        <v>0</v>
      </c>
      <c r="O79" s="54"/>
      <c r="Q79" s="304"/>
      <c r="R79" s="259"/>
      <c r="S79" s="260"/>
      <c r="T79" s="261"/>
      <c r="U79" s="262"/>
      <c r="V79" s="263"/>
      <c r="W79" s="263"/>
      <c r="Y79" s="11"/>
    </row>
    <row r="80" spans="1:25" hidden="1" outlineLevel="1">
      <c r="A80" s="124">
        <v>45369</v>
      </c>
      <c r="B80" s="17" t="s">
        <v>18</v>
      </c>
      <c r="C80" s="23"/>
      <c r="D80" s="23"/>
      <c r="E80" s="23">
        <f t="shared" si="11"/>
        <v>-12</v>
      </c>
      <c r="G80" s="19"/>
      <c r="H80" s="62">
        <f>C76+I80</f>
        <v>0</v>
      </c>
      <c r="I80" s="20"/>
      <c r="J80" s="21"/>
      <c r="K80" s="42"/>
      <c r="L80" s="23">
        <f t="shared" si="12"/>
        <v>0</v>
      </c>
      <c r="M80" s="23">
        <f t="shared" si="13"/>
        <v>0</v>
      </c>
      <c r="O80" s="52"/>
      <c r="Q80" s="304"/>
      <c r="R80" s="259"/>
      <c r="S80" s="260"/>
      <c r="T80" s="261"/>
      <c r="U80" s="262"/>
      <c r="V80" s="263"/>
      <c r="W80" s="263"/>
    </row>
    <row r="81" spans="1:25" hidden="1" outlineLevel="1">
      <c r="A81" s="124">
        <v>45370</v>
      </c>
      <c r="B81" s="17" t="s">
        <v>19</v>
      </c>
      <c r="C81" s="23"/>
      <c r="D81" s="23"/>
      <c r="E81" s="23">
        <f t="shared" si="11"/>
        <v>-12</v>
      </c>
      <c r="G81" s="19"/>
      <c r="H81" s="62">
        <f>C77+I81</f>
        <v>0</v>
      </c>
      <c r="I81" s="20"/>
      <c r="J81" s="21"/>
      <c r="K81" s="42"/>
      <c r="L81" s="23">
        <f t="shared" si="12"/>
        <v>0</v>
      </c>
      <c r="M81" s="23">
        <f t="shared" si="13"/>
        <v>0</v>
      </c>
      <c r="O81" s="52"/>
      <c r="Q81" s="304"/>
      <c r="R81" s="259"/>
      <c r="S81" s="260"/>
      <c r="T81" s="261"/>
      <c r="U81" s="262"/>
      <c r="V81" s="263"/>
      <c r="W81" s="263"/>
    </row>
    <row r="82" spans="1:25" hidden="1" outlineLevel="1">
      <c r="A82" s="124">
        <v>45371</v>
      </c>
      <c r="B82" s="17" t="s">
        <v>20</v>
      </c>
      <c r="C82" s="23"/>
      <c r="D82" s="23"/>
      <c r="E82" s="23">
        <f t="shared" si="11"/>
        <v>-12</v>
      </c>
      <c r="G82" s="19"/>
      <c r="H82" s="62">
        <f>C80+I82</f>
        <v>0</v>
      </c>
      <c r="I82" s="20"/>
      <c r="J82" s="21"/>
      <c r="K82" s="42"/>
      <c r="L82" s="23">
        <f t="shared" si="12"/>
        <v>0</v>
      </c>
      <c r="M82" s="23">
        <f t="shared" si="13"/>
        <v>0</v>
      </c>
      <c r="O82" s="52"/>
      <c r="Q82" s="304"/>
      <c r="R82" s="259"/>
      <c r="S82" s="260"/>
      <c r="T82" s="261"/>
      <c r="U82" s="262"/>
      <c r="V82" s="263"/>
      <c r="W82" s="263"/>
    </row>
    <row r="83" spans="1:25" hidden="1" outlineLevel="1">
      <c r="A83" s="124">
        <v>45372</v>
      </c>
      <c r="B83" s="17" t="s">
        <v>14</v>
      </c>
      <c r="C83" s="23"/>
      <c r="D83" s="23"/>
      <c r="E83" s="23">
        <f t="shared" si="11"/>
        <v>-12</v>
      </c>
      <c r="G83" s="19"/>
      <c r="H83" s="62">
        <f t="shared" ref="H83" si="16">C81+I83</f>
        <v>0</v>
      </c>
      <c r="I83" s="20"/>
      <c r="J83" s="21"/>
      <c r="K83" s="42"/>
      <c r="L83" s="23">
        <f t="shared" si="12"/>
        <v>0</v>
      </c>
      <c r="M83" s="23">
        <f t="shared" si="13"/>
        <v>0</v>
      </c>
      <c r="O83" s="52"/>
      <c r="Q83" s="304"/>
      <c r="R83" s="259"/>
      <c r="S83" s="260"/>
      <c r="T83" s="261"/>
      <c r="U83" s="262"/>
      <c r="V83" s="263"/>
      <c r="W83" s="263"/>
    </row>
    <row r="84" spans="1:25" hidden="1" outlineLevel="1">
      <c r="A84" s="124">
        <v>45373</v>
      </c>
      <c r="B84" s="17" t="s">
        <v>15</v>
      </c>
      <c r="C84" s="23"/>
      <c r="D84" s="23"/>
      <c r="E84" s="23">
        <f t="shared" si="11"/>
        <v>-12</v>
      </c>
      <c r="G84" s="19"/>
      <c r="H84" s="62">
        <f>C82+I84</f>
        <v>0</v>
      </c>
      <c r="I84" s="20"/>
      <c r="J84" s="21"/>
      <c r="K84" s="42"/>
      <c r="L84" s="23">
        <f t="shared" si="12"/>
        <v>0</v>
      </c>
      <c r="M84" s="23">
        <f t="shared" si="13"/>
        <v>0</v>
      </c>
      <c r="O84" s="52"/>
      <c r="Q84" s="304"/>
      <c r="R84" s="259"/>
      <c r="S84" s="260"/>
      <c r="T84" s="261"/>
      <c r="U84" s="262"/>
      <c r="V84" s="263"/>
      <c r="W84" s="263"/>
      <c r="Y84" s="97" t="e">
        <f>AVERAGE(G80:G84)</f>
        <v>#DIV/0!</v>
      </c>
    </row>
    <row r="85" spans="1:25" s="12" customFormat="1" hidden="1" outlineLevel="1">
      <c r="A85" s="123">
        <v>45374</v>
      </c>
      <c r="B85" s="25" t="s">
        <v>16</v>
      </c>
      <c r="C85" s="29"/>
      <c r="D85" s="29"/>
      <c r="E85" s="29">
        <f t="shared" si="11"/>
        <v>-12</v>
      </c>
      <c r="G85" s="64"/>
      <c r="H85" s="63"/>
      <c r="I85" s="27"/>
      <c r="J85" s="28"/>
      <c r="K85" s="43"/>
      <c r="L85" s="29">
        <f t="shared" si="12"/>
        <v>0</v>
      </c>
      <c r="M85" s="29">
        <f t="shared" si="13"/>
        <v>0</v>
      </c>
      <c r="O85" s="54"/>
      <c r="Q85" s="304"/>
      <c r="R85" s="259"/>
      <c r="S85" s="260"/>
      <c r="T85" s="261"/>
      <c r="U85" s="262"/>
      <c r="V85" s="263"/>
      <c r="W85" s="263"/>
      <c r="Y85" s="11"/>
    </row>
    <row r="86" spans="1:25" s="12" customFormat="1" hidden="1" outlineLevel="1">
      <c r="A86" s="123">
        <v>45375</v>
      </c>
      <c r="B86" s="25" t="s">
        <v>17</v>
      </c>
      <c r="C86" s="29"/>
      <c r="D86" s="29"/>
      <c r="E86" s="29">
        <f t="shared" si="11"/>
        <v>-12</v>
      </c>
      <c r="G86" s="64"/>
      <c r="H86" s="63"/>
      <c r="I86" s="27"/>
      <c r="J86" s="28"/>
      <c r="K86" s="43"/>
      <c r="L86" s="29">
        <f t="shared" si="12"/>
        <v>0</v>
      </c>
      <c r="M86" s="29">
        <f t="shared" si="13"/>
        <v>0</v>
      </c>
      <c r="O86" s="54"/>
      <c r="Q86" s="304"/>
      <c r="R86" s="259"/>
      <c r="S86" s="260"/>
      <c r="T86" s="261"/>
      <c r="U86" s="262"/>
      <c r="V86" s="263"/>
      <c r="W86" s="263"/>
      <c r="Y86" s="11"/>
    </row>
    <row r="87" spans="1:25" hidden="1" outlineLevel="1">
      <c r="A87" s="124">
        <v>45376</v>
      </c>
      <c r="B87" s="17" t="s">
        <v>18</v>
      </c>
      <c r="C87" s="23"/>
      <c r="D87" s="23"/>
      <c r="E87" s="23">
        <f t="shared" si="11"/>
        <v>-12</v>
      </c>
      <c r="G87" s="19"/>
      <c r="H87" s="62">
        <f>C83+I87</f>
        <v>0</v>
      </c>
      <c r="I87" s="20"/>
      <c r="J87" s="21"/>
      <c r="K87" s="42"/>
      <c r="L87" s="23">
        <f t="shared" si="12"/>
        <v>0</v>
      </c>
      <c r="M87" s="23">
        <f t="shared" si="13"/>
        <v>0</v>
      </c>
      <c r="O87" s="52"/>
      <c r="Q87" s="304"/>
      <c r="R87" s="259"/>
      <c r="S87" s="260"/>
      <c r="T87" s="261"/>
      <c r="U87" s="262"/>
      <c r="V87" s="263"/>
      <c r="W87" s="263"/>
    </row>
    <row r="88" spans="1:25" hidden="1" outlineLevel="1">
      <c r="A88" s="124">
        <v>45377</v>
      </c>
      <c r="B88" s="17" t="s">
        <v>19</v>
      </c>
      <c r="C88" s="23">
        <v>2</v>
      </c>
      <c r="D88" s="23"/>
      <c r="E88" s="23">
        <f t="shared" si="11"/>
        <v>-14</v>
      </c>
      <c r="G88" s="19"/>
      <c r="H88" s="62">
        <f>C84+I88</f>
        <v>0</v>
      </c>
      <c r="I88" s="20"/>
      <c r="J88" s="21"/>
      <c r="K88" s="42"/>
      <c r="L88" s="23">
        <f t="shared" si="12"/>
        <v>0</v>
      </c>
      <c r="M88" s="23">
        <f t="shared" si="13"/>
        <v>0</v>
      </c>
      <c r="O88" s="52"/>
      <c r="Q88" s="304"/>
      <c r="R88" s="259"/>
      <c r="S88" s="260"/>
      <c r="T88" s="261"/>
      <c r="U88" s="262"/>
      <c r="V88" s="263"/>
      <c r="W88" s="263"/>
    </row>
    <row r="89" spans="1:25" hidden="1" outlineLevel="1">
      <c r="A89" s="124">
        <v>45378</v>
      </c>
      <c r="B89" s="17" t="s">
        <v>20</v>
      </c>
      <c r="C89" s="23"/>
      <c r="D89" s="23"/>
      <c r="E89" s="23">
        <f t="shared" si="11"/>
        <v>-14</v>
      </c>
      <c r="G89" s="19"/>
      <c r="H89" s="62">
        <f>C87+I89</f>
        <v>0</v>
      </c>
      <c r="I89" s="20"/>
      <c r="J89" s="21"/>
      <c r="K89" s="42"/>
      <c r="L89" s="23">
        <f t="shared" si="12"/>
        <v>0</v>
      </c>
      <c r="M89" s="23">
        <f t="shared" si="13"/>
        <v>0</v>
      </c>
      <c r="O89" s="52"/>
      <c r="Q89" s="304"/>
      <c r="R89" s="259"/>
      <c r="S89" s="260"/>
      <c r="T89" s="261"/>
      <c r="U89" s="262"/>
      <c r="V89" s="263"/>
      <c r="W89" s="263"/>
    </row>
    <row r="90" spans="1:25" hidden="1" outlineLevel="1">
      <c r="A90" s="124">
        <v>45379</v>
      </c>
      <c r="B90" s="17" t="s">
        <v>14</v>
      </c>
      <c r="C90" s="23"/>
      <c r="D90" s="23"/>
      <c r="E90" s="23">
        <f t="shared" si="11"/>
        <v>-14</v>
      </c>
      <c r="G90" s="209">
        <v>2</v>
      </c>
      <c r="H90" s="62">
        <f t="shared" ref="H90" si="17">C88+I90</f>
        <v>2</v>
      </c>
      <c r="I90" s="20"/>
      <c r="J90" s="21"/>
      <c r="K90" s="57">
        <v>2</v>
      </c>
      <c r="L90" s="23">
        <f t="shared" si="12"/>
        <v>0</v>
      </c>
      <c r="M90" s="23">
        <f t="shared" si="13"/>
        <v>0</v>
      </c>
      <c r="O90" s="52"/>
      <c r="Q90" s="308"/>
      <c r="R90" s="259"/>
      <c r="S90" s="260"/>
      <c r="T90" s="261"/>
      <c r="U90" s="262"/>
      <c r="V90" s="263"/>
      <c r="W90" s="263"/>
    </row>
    <row r="91" spans="1:25" hidden="1" outlineLevel="1">
      <c r="A91" s="124">
        <v>45380</v>
      </c>
      <c r="B91" s="17" t="s">
        <v>15</v>
      </c>
      <c r="C91" s="23"/>
      <c r="D91" s="23"/>
      <c r="E91" s="23">
        <f t="shared" si="11"/>
        <v>-14</v>
      </c>
      <c r="G91" s="19"/>
      <c r="H91" s="62">
        <f>C89+I91</f>
        <v>0</v>
      </c>
      <c r="I91" s="20"/>
      <c r="J91" s="21"/>
      <c r="K91" s="42"/>
      <c r="L91" s="23">
        <f t="shared" si="12"/>
        <v>0</v>
      </c>
      <c r="M91" s="23">
        <f t="shared" si="13"/>
        <v>0</v>
      </c>
      <c r="O91" s="52"/>
      <c r="Q91" s="304"/>
      <c r="R91" s="259"/>
      <c r="S91" s="260"/>
      <c r="T91" s="261"/>
      <c r="U91" s="262"/>
      <c r="V91" s="263"/>
      <c r="W91" s="263"/>
      <c r="Y91" s="97">
        <f>AVERAGE(G87:G91)</f>
        <v>2</v>
      </c>
    </row>
    <row r="92" spans="1:25" s="12" customFormat="1" hidden="1" outlineLevel="1" collapsed="1">
      <c r="A92" s="123">
        <v>45381</v>
      </c>
      <c r="B92" s="25" t="s">
        <v>16</v>
      </c>
      <c r="C92" s="29"/>
      <c r="D92" s="29"/>
      <c r="E92" s="29">
        <f t="shared" si="11"/>
        <v>-14</v>
      </c>
      <c r="G92" s="64"/>
      <c r="H92" s="63"/>
      <c r="I92" s="27"/>
      <c r="J92" s="28"/>
      <c r="K92" s="43"/>
      <c r="L92" s="29">
        <f t="shared" si="12"/>
        <v>0</v>
      </c>
      <c r="M92" s="29">
        <f t="shared" si="13"/>
        <v>0</v>
      </c>
      <c r="O92" s="54"/>
      <c r="Q92" s="304"/>
      <c r="R92" s="259"/>
      <c r="S92" s="260"/>
      <c r="T92" s="261"/>
      <c r="U92" s="262"/>
      <c r="V92" s="263"/>
      <c r="W92" s="263"/>
      <c r="Y92" s="11"/>
    </row>
    <row r="93" spans="1:25" s="12" customFormat="1" hidden="1" outlineLevel="1">
      <c r="A93" s="123">
        <v>45382</v>
      </c>
      <c r="B93" s="25" t="s">
        <v>17</v>
      </c>
      <c r="C93" s="29"/>
      <c r="D93" s="29"/>
      <c r="E93" s="29">
        <f t="shared" si="11"/>
        <v>-14</v>
      </c>
      <c r="G93" s="64"/>
      <c r="H93" s="63"/>
      <c r="I93" s="27"/>
      <c r="J93" s="28"/>
      <c r="K93" s="43"/>
      <c r="L93" s="29">
        <f t="shared" si="12"/>
        <v>0</v>
      </c>
      <c r="M93" s="29">
        <f t="shared" si="13"/>
        <v>0</v>
      </c>
      <c r="O93" s="54"/>
      <c r="Q93" s="304"/>
      <c r="R93" s="259"/>
      <c r="S93" s="260"/>
      <c r="T93" s="261"/>
      <c r="U93" s="262"/>
      <c r="V93" s="263"/>
      <c r="W93" s="263"/>
      <c r="Y93" s="11"/>
    </row>
    <row r="94" spans="1:25" hidden="1" outlineLevel="1">
      <c r="A94" s="124">
        <v>45383</v>
      </c>
      <c r="B94" s="17" t="s">
        <v>18</v>
      </c>
      <c r="C94" s="23">
        <v>11</v>
      </c>
      <c r="D94" s="23"/>
      <c r="E94" s="23">
        <f t="shared" si="11"/>
        <v>-25</v>
      </c>
      <c r="G94" s="19"/>
      <c r="H94" s="62">
        <f>C90+I94</f>
        <v>0</v>
      </c>
      <c r="I94" s="20"/>
      <c r="J94" s="21"/>
      <c r="K94" s="42"/>
      <c r="L94" s="23">
        <f t="shared" si="12"/>
        <v>0</v>
      </c>
      <c r="M94" s="23">
        <f t="shared" si="13"/>
        <v>0</v>
      </c>
      <c r="O94" s="52"/>
      <c r="Q94" s="304"/>
      <c r="R94" s="259"/>
      <c r="S94" s="260"/>
      <c r="T94" s="261"/>
      <c r="U94" s="262"/>
      <c r="V94" s="263"/>
      <c r="W94" s="263"/>
    </row>
    <row r="95" spans="1:25" hidden="1" outlineLevel="1">
      <c r="A95" s="124">
        <v>45384</v>
      </c>
      <c r="B95" s="17" t="s">
        <v>19</v>
      </c>
      <c r="C95" s="23"/>
      <c r="D95" s="23"/>
      <c r="E95" s="23">
        <f t="shared" si="11"/>
        <v>-25</v>
      </c>
      <c r="G95" s="19"/>
      <c r="H95" s="62">
        <f>C91+I95</f>
        <v>0</v>
      </c>
      <c r="I95" s="20"/>
      <c r="J95" s="21"/>
      <c r="K95" s="42"/>
      <c r="L95" s="23">
        <f t="shared" si="12"/>
        <v>0</v>
      </c>
      <c r="M95" s="23">
        <f t="shared" si="13"/>
        <v>0</v>
      </c>
      <c r="O95" s="52"/>
      <c r="Q95" s="304"/>
      <c r="R95" s="259"/>
      <c r="S95" s="260"/>
      <c r="T95" s="261"/>
      <c r="U95" s="262"/>
      <c r="V95" s="263"/>
      <c r="W95" s="263"/>
    </row>
    <row r="96" spans="1:25" s="12" customFormat="1" hidden="1" outlineLevel="1">
      <c r="A96" s="123">
        <v>45385</v>
      </c>
      <c r="B96" s="25" t="s">
        <v>20</v>
      </c>
      <c r="C96" s="29"/>
      <c r="D96" s="29"/>
      <c r="E96" s="29">
        <f t="shared" si="11"/>
        <v>-25</v>
      </c>
      <c r="G96" s="64"/>
      <c r="H96" s="63">
        <v>0</v>
      </c>
      <c r="I96" s="27"/>
      <c r="J96" s="28"/>
      <c r="K96" s="43"/>
      <c r="L96" s="29">
        <f t="shared" si="12"/>
        <v>0</v>
      </c>
      <c r="M96" s="29">
        <f t="shared" si="13"/>
        <v>0</v>
      </c>
      <c r="O96" s="54"/>
      <c r="Q96" s="304"/>
      <c r="R96" s="259"/>
      <c r="S96" s="260"/>
      <c r="T96" s="261"/>
      <c r="U96" s="262"/>
      <c r="V96" s="263"/>
      <c r="W96" s="263"/>
      <c r="Y96" s="11"/>
    </row>
    <row r="97" spans="1:25" hidden="1" outlineLevel="1">
      <c r="A97" s="124">
        <v>45386</v>
      </c>
      <c r="B97" s="17" t="s">
        <v>14</v>
      </c>
      <c r="C97" s="23"/>
      <c r="D97" s="23"/>
      <c r="E97" s="23">
        <f t="shared" si="11"/>
        <v>-25</v>
      </c>
      <c r="G97" s="209">
        <v>11</v>
      </c>
      <c r="H97" s="62">
        <f>C94+I97</f>
        <v>11</v>
      </c>
      <c r="I97" s="20"/>
      <c r="J97" s="21"/>
      <c r="K97" s="57">
        <v>11</v>
      </c>
      <c r="L97" s="23">
        <f t="shared" si="12"/>
        <v>0</v>
      </c>
      <c r="M97" s="23">
        <f t="shared" si="13"/>
        <v>0</v>
      </c>
      <c r="O97" s="52"/>
      <c r="Q97" s="308"/>
      <c r="R97" s="259"/>
      <c r="S97" s="260"/>
      <c r="T97" s="261"/>
      <c r="U97" s="262"/>
      <c r="V97" s="263"/>
      <c r="W97" s="263"/>
    </row>
    <row r="98" spans="1:25" hidden="1" outlineLevel="1">
      <c r="A98" s="124">
        <v>45387</v>
      </c>
      <c r="B98" s="17" t="s">
        <v>15</v>
      </c>
      <c r="C98" s="23"/>
      <c r="D98" s="23"/>
      <c r="E98" s="23">
        <f t="shared" si="11"/>
        <v>-25</v>
      </c>
      <c r="G98" s="19"/>
      <c r="H98" s="62">
        <f>C95+I98</f>
        <v>0</v>
      </c>
      <c r="I98" s="20"/>
      <c r="J98" s="21"/>
      <c r="K98" s="42"/>
      <c r="L98" s="23">
        <f t="shared" ref="L98:L154" si="18">L97-G98+K98</f>
        <v>0</v>
      </c>
      <c r="M98" s="23">
        <f t="shared" ref="M98:M154" si="19">M97-G98+H98</f>
        <v>0</v>
      </c>
      <c r="O98" s="52"/>
      <c r="Q98" s="304"/>
      <c r="R98" s="259"/>
      <c r="S98" s="260"/>
      <c r="T98" s="261"/>
      <c r="U98" s="262"/>
      <c r="V98" s="263"/>
      <c r="W98" s="263"/>
    </row>
    <row r="99" spans="1:25" s="12" customFormat="1" hidden="1" outlineLevel="1">
      <c r="A99" s="123">
        <v>45388</v>
      </c>
      <c r="B99" s="25" t="s">
        <v>16</v>
      </c>
      <c r="C99" s="29"/>
      <c r="D99" s="29"/>
      <c r="E99" s="29">
        <f t="shared" si="11"/>
        <v>-25</v>
      </c>
      <c r="G99" s="64"/>
      <c r="H99" s="63"/>
      <c r="I99" s="27"/>
      <c r="J99" s="28"/>
      <c r="K99" s="43"/>
      <c r="L99" s="29">
        <f t="shared" si="18"/>
        <v>0</v>
      </c>
      <c r="M99" s="29">
        <f t="shared" si="19"/>
        <v>0</v>
      </c>
      <c r="O99" s="54"/>
      <c r="Q99" s="304"/>
      <c r="R99" s="259"/>
      <c r="S99" s="260"/>
      <c r="T99" s="261"/>
      <c r="U99" s="262"/>
      <c r="V99" s="263"/>
      <c r="W99" s="263"/>
      <c r="Y99" s="11"/>
    </row>
    <row r="100" spans="1:25" s="12" customFormat="1" hidden="1" outlineLevel="1">
      <c r="A100" s="123">
        <v>45389</v>
      </c>
      <c r="B100" s="25" t="s">
        <v>17</v>
      </c>
      <c r="C100" s="29"/>
      <c r="D100" s="29"/>
      <c r="E100" s="29">
        <f t="shared" si="11"/>
        <v>-25</v>
      </c>
      <c r="G100" s="64"/>
      <c r="H100" s="63"/>
      <c r="I100" s="27"/>
      <c r="J100" s="28"/>
      <c r="K100" s="43"/>
      <c r="L100" s="29">
        <f t="shared" si="18"/>
        <v>0</v>
      </c>
      <c r="M100" s="29">
        <f t="shared" si="19"/>
        <v>0</v>
      </c>
      <c r="O100" s="54"/>
      <c r="Q100" s="304"/>
      <c r="R100" s="259"/>
      <c r="S100" s="260"/>
      <c r="T100" s="261"/>
      <c r="U100" s="262"/>
      <c r="V100" s="263"/>
      <c r="W100" s="263"/>
      <c r="Y100" s="11"/>
    </row>
    <row r="101" spans="1:25" hidden="1" outlineLevel="1">
      <c r="A101" s="124">
        <v>45390</v>
      </c>
      <c r="B101" s="17" t="s">
        <v>18</v>
      </c>
      <c r="C101" s="23"/>
      <c r="D101" s="23"/>
      <c r="E101" s="23">
        <f t="shared" si="11"/>
        <v>-25</v>
      </c>
      <c r="G101" s="19"/>
      <c r="H101" s="62">
        <f>C97+I101</f>
        <v>0</v>
      </c>
      <c r="I101" s="20"/>
      <c r="J101" s="21"/>
      <c r="K101" s="42"/>
      <c r="L101" s="23">
        <f t="shared" si="18"/>
        <v>0</v>
      </c>
      <c r="M101" s="23">
        <f t="shared" si="19"/>
        <v>0</v>
      </c>
      <c r="O101" s="52"/>
      <c r="Q101" s="304"/>
      <c r="R101" s="259"/>
      <c r="S101" s="260"/>
      <c r="T101" s="261"/>
      <c r="U101" s="262"/>
      <c r="V101" s="263"/>
      <c r="W101" s="263"/>
    </row>
    <row r="102" spans="1:25" hidden="1" outlineLevel="1">
      <c r="A102" s="124">
        <v>45391</v>
      </c>
      <c r="B102" s="17" t="s">
        <v>19</v>
      </c>
      <c r="C102" s="23"/>
      <c r="D102" s="23"/>
      <c r="E102" s="23">
        <f t="shared" si="11"/>
        <v>-25</v>
      </c>
      <c r="G102" s="19"/>
      <c r="H102" s="62">
        <f>C98+I102</f>
        <v>0</v>
      </c>
      <c r="I102" s="20"/>
      <c r="J102" s="21"/>
      <c r="K102" s="42"/>
      <c r="L102" s="23">
        <f t="shared" si="18"/>
        <v>0</v>
      </c>
      <c r="M102" s="23">
        <f t="shared" si="19"/>
        <v>0</v>
      </c>
      <c r="O102" s="52"/>
      <c r="Q102" s="304"/>
      <c r="R102" s="259"/>
      <c r="S102" s="260"/>
      <c r="T102" s="261"/>
      <c r="U102" s="262"/>
      <c r="V102" s="263"/>
      <c r="W102" s="263"/>
    </row>
    <row r="103" spans="1:25" hidden="1" outlineLevel="1">
      <c r="A103" s="124">
        <v>45392</v>
      </c>
      <c r="B103" s="17" t="s">
        <v>20</v>
      </c>
      <c r="C103" s="23"/>
      <c r="D103" s="23"/>
      <c r="E103" s="23">
        <f t="shared" si="11"/>
        <v>-25</v>
      </c>
      <c r="G103" s="19"/>
      <c r="H103" s="62">
        <f>C101+I103</f>
        <v>0</v>
      </c>
      <c r="I103" s="20"/>
      <c r="J103" s="21"/>
      <c r="K103" s="42"/>
      <c r="L103" s="23">
        <f t="shared" si="18"/>
        <v>0</v>
      </c>
      <c r="M103" s="23">
        <f t="shared" si="19"/>
        <v>0</v>
      </c>
      <c r="O103" s="52"/>
      <c r="Q103" s="304"/>
      <c r="R103" s="259"/>
      <c r="S103" s="260"/>
      <c r="T103" s="261"/>
      <c r="U103" s="262"/>
      <c r="V103" s="263"/>
      <c r="W103" s="263"/>
    </row>
    <row r="104" spans="1:25" hidden="1" outlineLevel="1">
      <c r="A104" s="124">
        <v>45393</v>
      </c>
      <c r="B104" s="17" t="s">
        <v>14</v>
      </c>
      <c r="C104" s="23"/>
      <c r="D104" s="23"/>
      <c r="E104" s="23">
        <f t="shared" si="11"/>
        <v>-25</v>
      </c>
      <c r="G104" s="19"/>
      <c r="H104" s="62">
        <f t="shared" ref="H104" si="20">C102+I104</f>
        <v>0</v>
      </c>
      <c r="I104" s="20"/>
      <c r="J104" s="21"/>
      <c r="K104" s="42"/>
      <c r="L104" s="23">
        <f t="shared" si="18"/>
        <v>0</v>
      </c>
      <c r="M104" s="23">
        <f t="shared" si="19"/>
        <v>0</v>
      </c>
      <c r="O104" s="52"/>
      <c r="Q104" s="304"/>
      <c r="R104" s="259"/>
      <c r="S104" s="260"/>
      <c r="T104" s="261"/>
      <c r="U104" s="262"/>
      <c r="V104" s="263"/>
      <c r="W104" s="263"/>
    </row>
    <row r="105" spans="1:25" hidden="1" outlineLevel="1">
      <c r="A105" s="124">
        <v>45394</v>
      </c>
      <c r="B105" s="17" t="s">
        <v>15</v>
      </c>
      <c r="C105" s="23"/>
      <c r="D105" s="23"/>
      <c r="E105" s="23">
        <f t="shared" si="11"/>
        <v>-25</v>
      </c>
      <c r="G105" s="19"/>
      <c r="H105" s="62">
        <f>C103+I105</f>
        <v>0</v>
      </c>
      <c r="I105" s="20"/>
      <c r="J105" s="21"/>
      <c r="K105" s="42"/>
      <c r="L105" s="23">
        <f t="shared" si="18"/>
        <v>0</v>
      </c>
      <c r="M105" s="23">
        <f t="shared" si="19"/>
        <v>0</v>
      </c>
      <c r="O105" s="52"/>
      <c r="Q105" s="304"/>
      <c r="R105" s="259"/>
      <c r="S105" s="260"/>
      <c r="T105" s="261"/>
      <c r="U105" s="262"/>
      <c r="V105" s="263"/>
      <c r="W105" s="263"/>
    </row>
    <row r="106" spans="1:25" s="12" customFormat="1" hidden="1" outlineLevel="1" collapsed="1">
      <c r="A106" s="123">
        <v>45395</v>
      </c>
      <c r="B106" s="25" t="s">
        <v>16</v>
      </c>
      <c r="C106" s="29"/>
      <c r="D106" s="29"/>
      <c r="E106" s="29">
        <f t="shared" si="11"/>
        <v>-25</v>
      </c>
      <c r="G106" s="64"/>
      <c r="H106" s="63"/>
      <c r="I106" s="27"/>
      <c r="J106" s="28"/>
      <c r="K106" s="43"/>
      <c r="L106" s="29">
        <f t="shared" si="18"/>
        <v>0</v>
      </c>
      <c r="M106" s="29">
        <f t="shared" si="19"/>
        <v>0</v>
      </c>
      <c r="O106" s="54"/>
      <c r="Q106" s="304"/>
      <c r="R106" s="259"/>
      <c r="S106" s="260"/>
      <c r="T106" s="261"/>
      <c r="U106" s="262"/>
      <c r="V106" s="263"/>
      <c r="W106" s="263"/>
      <c r="Y106" s="11"/>
    </row>
    <row r="107" spans="1:25" s="12" customFormat="1" hidden="1" outlineLevel="1">
      <c r="A107" s="123">
        <v>45396</v>
      </c>
      <c r="B107" s="25" t="s">
        <v>17</v>
      </c>
      <c r="C107" s="29"/>
      <c r="D107" s="29"/>
      <c r="E107" s="29">
        <f t="shared" si="11"/>
        <v>-25</v>
      </c>
      <c r="G107" s="64"/>
      <c r="H107" s="63"/>
      <c r="I107" s="27"/>
      <c r="J107" s="28"/>
      <c r="K107" s="43"/>
      <c r="L107" s="29">
        <f t="shared" si="18"/>
        <v>0</v>
      </c>
      <c r="M107" s="29">
        <f t="shared" si="19"/>
        <v>0</v>
      </c>
      <c r="O107" s="54"/>
      <c r="Q107" s="304"/>
      <c r="R107" s="259"/>
      <c r="S107" s="260"/>
      <c r="T107" s="261"/>
      <c r="U107" s="262"/>
      <c r="V107" s="263"/>
      <c r="W107" s="263"/>
      <c r="Y107" s="11"/>
    </row>
    <row r="108" spans="1:25" hidden="1" outlineLevel="1">
      <c r="A108" s="124">
        <v>45397</v>
      </c>
      <c r="B108" s="17" t="s">
        <v>18</v>
      </c>
      <c r="C108" s="23"/>
      <c r="D108" s="23"/>
      <c r="E108" s="23">
        <f t="shared" si="11"/>
        <v>-25</v>
      </c>
      <c r="G108" s="19"/>
      <c r="H108" s="62">
        <f>C104+I108</f>
        <v>0</v>
      </c>
      <c r="I108" s="20"/>
      <c r="J108" s="21"/>
      <c r="K108" s="42"/>
      <c r="L108" s="23">
        <f t="shared" si="18"/>
        <v>0</v>
      </c>
      <c r="M108" s="23">
        <f t="shared" si="19"/>
        <v>0</v>
      </c>
      <c r="O108" s="52"/>
      <c r="Q108" s="304"/>
      <c r="R108" s="259"/>
      <c r="S108" s="260"/>
      <c r="T108" s="261"/>
      <c r="U108" s="262"/>
      <c r="V108" s="263"/>
      <c r="W108" s="263"/>
    </row>
    <row r="109" spans="1:25" hidden="1" outlineLevel="1">
      <c r="A109" s="124">
        <v>45398</v>
      </c>
      <c r="B109" s="17" t="s">
        <v>19</v>
      </c>
      <c r="C109" s="23"/>
      <c r="D109" s="23"/>
      <c r="E109" s="23">
        <f t="shared" si="11"/>
        <v>-25</v>
      </c>
      <c r="G109" s="19"/>
      <c r="H109" s="62">
        <f>C105+I109</f>
        <v>0</v>
      </c>
      <c r="I109" s="20"/>
      <c r="J109" s="21"/>
      <c r="K109" s="42"/>
      <c r="L109" s="23">
        <f t="shared" si="18"/>
        <v>0</v>
      </c>
      <c r="M109" s="23">
        <f t="shared" si="19"/>
        <v>0</v>
      </c>
      <c r="O109" s="52"/>
      <c r="Q109" s="304"/>
      <c r="R109" s="259"/>
      <c r="S109" s="260"/>
      <c r="T109" s="261"/>
      <c r="U109" s="262"/>
      <c r="V109" s="263"/>
      <c r="W109" s="263"/>
    </row>
    <row r="110" spans="1:25" hidden="1" outlineLevel="1">
      <c r="A110" s="124">
        <v>45399</v>
      </c>
      <c r="B110" s="17" t="s">
        <v>20</v>
      </c>
      <c r="C110" s="23"/>
      <c r="D110" s="23"/>
      <c r="E110" s="23">
        <f t="shared" si="11"/>
        <v>-25</v>
      </c>
      <c r="G110" s="19"/>
      <c r="H110" s="62">
        <f>C108+I110</f>
        <v>0</v>
      </c>
      <c r="I110" s="20"/>
      <c r="J110" s="21"/>
      <c r="K110" s="42"/>
      <c r="L110" s="23">
        <f t="shared" si="18"/>
        <v>0</v>
      </c>
      <c r="M110" s="23">
        <f t="shared" si="19"/>
        <v>0</v>
      </c>
      <c r="O110" s="52"/>
      <c r="Q110" s="304"/>
      <c r="R110" s="259"/>
      <c r="S110" s="260"/>
      <c r="T110" s="261"/>
      <c r="U110" s="262"/>
      <c r="V110" s="263"/>
      <c r="W110" s="263"/>
    </row>
    <row r="111" spans="1:25" hidden="1" outlineLevel="1">
      <c r="A111" s="124">
        <v>45400</v>
      </c>
      <c r="B111" s="17" t="s">
        <v>14</v>
      </c>
      <c r="C111" s="23"/>
      <c r="D111" s="23"/>
      <c r="E111" s="23">
        <f t="shared" si="11"/>
        <v>-25</v>
      </c>
      <c r="G111" s="19"/>
      <c r="H111" s="62">
        <f t="shared" ref="H111" si="21">C109+I111</f>
        <v>0</v>
      </c>
      <c r="I111" s="20"/>
      <c r="J111" s="21"/>
      <c r="K111" s="42"/>
      <c r="L111" s="23">
        <f t="shared" si="18"/>
        <v>0</v>
      </c>
      <c r="M111" s="23">
        <f t="shared" si="19"/>
        <v>0</v>
      </c>
      <c r="O111" s="52"/>
      <c r="Q111" s="304"/>
      <c r="R111" s="259"/>
      <c r="S111" s="260"/>
      <c r="T111" s="261"/>
      <c r="U111" s="262"/>
      <c r="V111" s="263"/>
      <c r="W111" s="263"/>
    </row>
    <row r="112" spans="1:25" hidden="1" outlineLevel="1">
      <c r="A112" s="124">
        <v>45401</v>
      </c>
      <c r="B112" s="17" t="s">
        <v>15</v>
      </c>
      <c r="C112" s="23"/>
      <c r="D112" s="23"/>
      <c r="E112" s="23">
        <f t="shared" si="11"/>
        <v>-25</v>
      </c>
      <c r="G112" s="19"/>
      <c r="H112" s="62">
        <f>C110+I112</f>
        <v>0</v>
      </c>
      <c r="I112" s="20"/>
      <c r="J112" s="21"/>
      <c r="K112" s="42"/>
      <c r="L112" s="23">
        <f t="shared" si="18"/>
        <v>0</v>
      </c>
      <c r="M112" s="23">
        <f t="shared" si="19"/>
        <v>0</v>
      </c>
      <c r="O112" s="52"/>
      <c r="Q112" s="304"/>
      <c r="R112" s="259"/>
      <c r="S112" s="260"/>
      <c r="T112" s="261"/>
      <c r="U112" s="262"/>
      <c r="V112" s="263"/>
      <c r="W112" s="263"/>
    </row>
    <row r="113" spans="1:25" s="12" customFormat="1" hidden="1" outlineLevel="1">
      <c r="A113" s="123">
        <v>45402</v>
      </c>
      <c r="B113" s="25" t="s">
        <v>16</v>
      </c>
      <c r="C113" s="29"/>
      <c r="D113" s="29"/>
      <c r="E113" s="29">
        <f t="shared" si="11"/>
        <v>-25</v>
      </c>
      <c r="G113" s="64"/>
      <c r="H113" s="63"/>
      <c r="I113" s="27"/>
      <c r="J113" s="28"/>
      <c r="K113" s="43"/>
      <c r="L113" s="29">
        <f t="shared" si="18"/>
        <v>0</v>
      </c>
      <c r="M113" s="29">
        <f t="shared" si="19"/>
        <v>0</v>
      </c>
      <c r="O113" s="54"/>
      <c r="Q113" s="304"/>
      <c r="R113" s="259"/>
      <c r="S113" s="260"/>
      <c r="T113" s="261"/>
      <c r="U113" s="262"/>
      <c r="V113" s="263"/>
      <c r="W113" s="263"/>
      <c r="Y113" s="11"/>
    </row>
    <row r="114" spans="1:25" s="12" customFormat="1" hidden="1" outlineLevel="1">
      <c r="A114" s="123">
        <v>45403</v>
      </c>
      <c r="B114" s="25" t="s">
        <v>17</v>
      </c>
      <c r="C114" s="29"/>
      <c r="D114" s="29"/>
      <c r="E114" s="29">
        <f t="shared" si="11"/>
        <v>-25</v>
      </c>
      <c r="G114" s="64"/>
      <c r="H114" s="63"/>
      <c r="I114" s="27"/>
      <c r="J114" s="28"/>
      <c r="K114" s="43"/>
      <c r="L114" s="29">
        <f t="shared" si="18"/>
        <v>0</v>
      </c>
      <c r="M114" s="29">
        <f t="shared" si="19"/>
        <v>0</v>
      </c>
      <c r="O114" s="54"/>
      <c r="Q114" s="304"/>
      <c r="R114" s="259"/>
      <c r="S114" s="260"/>
      <c r="T114" s="261"/>
      <c r="U114" s="262"/>
      <c r="V114" s="263"/>
      <c r="W114" s="263"/>
      <c r="Y114" s="11"/>
    </row>
    <row r="115" spans="1:25" hidden="1" outlineLevel="1">
      <c r="A115" s="124">
        <v>45404</v>
      </c>
      <c r="B115" s="17" t="s">
        <v>18</v>
      </c>
      <c r="C115" s="23"/>
      <c r="D115" s="23"/>
      <c r="E115" s="23">
        <f t="shared" si="11"/>
        <v>-25</v>
      </c>
      <c r="G115" s="19"/>
      <c r="H115" s="62">
        <f>C111+I115</f>
        <v>0</v>
      </c>
      <c r="I115" s="20"/>
      <c r="J115" s="21"/>
      <c r="K115" s="42"/>
      <c r="L115" s="23">
        <f t="shared" si="18"/>
        <v>0</v>
      </c>
      <c r="M115" s="23">
        <f t="shared" si="19"/>
        <v>0</v>
      </c>
      <c r="O115" s="52"/>
      <c r="Q115" s="304"/>
      <c r="R115" s="259"/>
      <c r="S115" s="260"/>
      <c r="T115" s="261"/>
      <c r="U115" s="262"/>
      <c r="V115" s="263"/>
      <c r="W115" s="263"/>
    </row>
    <row r="116" spans="1:25" hidden="1" outlineLevel="1">
      <c r="A116" s="124">
        <v>45405</v>
      </c>
      <c r="B116" s="17" t="s">
        <v>19</v>
      </c>
      <c r="C116" s="23"/>
      <c r="D116" s="23"/>
      <c r="E116" s="23">
        <f t="shared" si="11"/>
        <v>-25</v>
      </c>
      <c r="G116" s="19"/>
      <c r="H116" s="62">
        <f>C112+I116</f>
        <v>0</v>
      </c>
      <c r="I116" s="20"/>
      <c r="J116" s="21"/>
      <c r="K116" s="42"/>
      <c r="L116" s="23">
        <f t="shared" si="18"/>
        <v>0</v>
      </c>
      <c r="M116" s="23">
        <f t="shared" si="19"/>
        <v>0</v>
      </c>
      <c r="O116" s="52"/>
      <c r="Q116" s="304"/>
      <c r="R116" s="259"/>
      <c r="S116" s="260"/>
      <c r="T116" s="261"/>
      <c r="U116" s="262"/>
      <c r="V116" s="263"/>
      <c r="W116" s="263"/>
    </row>
    <row r="117" spans="1:25" hidden="1" outlineLevel="1">
      <c r="A117" s="124">
        <v>45406</v>
      </c>
      <c r="B117" s="17" t="s">
        <v>20</v>
      </c>
      <c r="C117" s="23"/>
      <c r="D117" s="23"/>
      <c r="E117" s="23">
        <f t="shared" si="11"/>
        <v>-25</v>
      </c>
      <c r="G117" s="19"/>
      <c r="H117" s="62">
        <f>C115+I117</f>
        <v>0</v>
      </c>
      <c r="I117" s="20"/>
      <c r="J117" s="21"/>
      <c r="K117" s="42"/>
      <c r="L117" s="23">
        <f t="shared" si="18"/>
        <v>0</v>
      </c>
      <c r="M117" s="23">
        <f t="shared" si="19"/>
        <v>0</v>
      </c>
      <c r="O117" s="52"/>
      <c r="Q117" s="304"/>
      <c r="R117" s="259"/>
      <c r="S117" s="260"/>
      <c r="T117" s="261"/>
      <c r="U117" s="262"/>
      <c r="V117" s="263"/>
      <c r="W117" s="263"/>
    </row>
    <row r="118" spans="1:25" hidden="1" outlineLevel="1">
      <c r="A118" s="124">
        <v>45407</v>
      </c>
      <c r="B118" s="17" t="s">
        <v>14</v>
      </c>
      <c r="C118" s="23"/>
      <c r="D118" s="23"/>
      <c r="E118" s="23">
        <f t="shared" si="11"/>
        <v>-25</v>
      </c>
      <c r="G118" s="19"/>
      <c r="H118" s="62">
        <f t="shared" ref="H118" si="22">C116+I118</f>
        <v>0</v>
      </c>
      <c r="I118" s="20"/>
      <c r="J118" s="21"/>
      <c r="K118" s="42"/>
      <c r="L118" s="23">
        <f t="shared" si="18"/>
        <v>0</v>
      </c>
      <c r="M118" s="23">
        <f t="shared" si="19"/>
        <v>0</v>
      </c>
      <c r="O118" s="52"/>
      <c r="Q118" s="304"/>
      <c r="R118" s="259"/>
      <c r="S118" s="260"/>
      <c r="T118" s="261"/>
      <c r="U118" s="262"/>
      <c r="V118" s="263"/>
      <c r="W118" s="263"/>
    </row>
    <row r="119" spans="1:25" hidden="1" outlineLevel="1">
      <c r="A119" s="124">
        <v>45408</v>
      </c>
      <c r="B119" s="17" t="s">
        <v>15</v>
      </c>
      <c r="C119" s="23"/>
      <c r="D119" s="23"/>
      <c r="E119" s="23">
        <f t="shared" si="11"/>
        <v>-25</v>
      </c>
      <c r="G119" s="19"/>
      <c r="H119" s="62">
        <f>C117+I119</f>
        <v>0</v>
      </c>
      <c r="I119" s="20"/>
      <c r="J119" s="21"/>
      <c r="K119" s="42"/>
      <c r="L119" s="23">
        <f t="shared" si="18"/>
        <v>0</v>
      </c>
      <c r="M119" s="23">
        <f t="shared" si="19"/>
        <v>0</v>
      </c>
      <c r="O119" s="52"/>
      <c r="Q119" s="304"/>
      <c r="R119" s="259"/>
      <c r="S119" s="260"/>
      <c r="T119" s="261"/>
      <c r="U119" s="262"/>
      <c r="V119" s="263"/>
      <c r="W119" s="263"/>
    </row>
    <row r="120" spans="1:25" s="12" customFormat="1" hidden="1" outlineLevel="1">
      <c r="A120" s="123">
        <v>45409</v>
      </c>
      <c r="B120" s="25" t="s">
        <v>16</v>
      </c>
      <c r="C120" s="29"/>
      <c r="D120" s="29"/>
      <c r="E120" s="29">
        <f t="shared" si="11"/>
        <v>-25</v>
      </c>
      <c r="G120" s="64"/>
      <c r="H120" s="63"/>
      <c r="I120" s="27"/>
      <c r="J120" s="28"/>
      <c r="K120" s="43"/>
      <c r="L120" s="29">
        <f t="shared" si="18"/>
        <v>0</v>
      </c>
      <c r="M120" s="29">
        <f t="shared" si="19"/>
        <v>0</v>
      </c>
      <c r="O120" s="54"/>
      <c r="Q120" s="304"/>
      <c r="R120" s="259"/>
      <c r="S120" s="260"/>
      <c r="T120" s="261"/>
      <c r="U120" s="262"/>
      <c r="V120" s="263"/>
      <c r="W120" s="263"/>
      <c r="Y120" s="11"/>
    </row>
    <row r="121" spans="1:25" s="12" customFormat="1" hidden="1" outlineLevel="1">
      <c r="A121" s="123">
        <v>45410</v>
      </c>
      <c r="B121" s="25" t="s">
        <v>17</v>
      </c>
      <c r="C121" s="29"/>
      <c r="D121" s="29"/>
      <c r="E121" s="29">
        <f t="shared" si="11"/>
        <v>-25</v>
      </c>
      <c r="G121" s="64"/>
      <c r="H121" s="63"/>
      <c r="I121" s="27"/>
      <c r="J121" s="28"/>
      <c r="K121" s="43"/>
      <c r="L121" s="29">
        <f t="shared" si="18"/>
        <v>0</v>
      </c>
      <c r="M121" s="29">
        <f t="shared" si="19"/>
        <v>0</v>
      </c>
      <c r="O121" s="54"/>
      <c r="Q121" s="304"/>
      <c r="R121" s="259"/>
      <c r="S121" s="260"/>
      <c r="T121" s="261"/>
      <c r="U121" s="262"/>
      <c r="V121" s="263"/>
      <c r="W121" s="263"/>
      <c r="Y121" s="11"/>
    </row>
    <row r="122" spans="1:25" s="12" customFormat="1" hidden="1" outlineLevel="1">
      <c r="A122" s="123">
        <v>45411</v>
      </c>
      <c r="B122" s="25" t="s">
        <v>18</v>
      </c>
      <c r="C122" s="29"/>
      <c r="D122" s="29"/>
      <c r="E122" s="29">
        <f t="shared" si="11"/>
        <v>-25</v>
      </c>
      <c r="G122" s="64"/>
      <c r="H122" s="63"/>
      <c r="I122" s="27"/>
      <c r="J122" s="28"/>
      <c r="K122" s="43"/>
      <c r="L122" s="29">
        <f t="shared" si="18"/>
        <v>0</v>
      </c>
      <c r="M122" s="29">
        <f t="shared" si="19"/>
        <v>0</v>
      </c>
      <c r="O122" s="54"/>
      <c r="Q122" s="304"/>
      <c r="R122" s="259"/>
      <c r="S122" s="260"/>
      <c r="T122" s="261"/>
      <c r="U122" s="262"/>
      <c r="V122" s="263"/>
      <c r="W122" s="263"/>
      <c r="Y122" s="11"/>
    </row>
    <row r="123" spans="1:25" s="12" customFormat="1" hidden="1" outlineLevel="1">
      <c r="A123" s="123">
        <v>45412</v>
      </c>
      <c r="B123" s="25" t="s">
        <v>19</v>
      </c>
      <c r="C123" s="29"/>
      <c r="D123" s="29"/>
      <c r="E123" s="29">
        <f t="shared" si="11"/>
        <v>-25</v>
      </c>
      <c r="G123" s="64"/>
      <c r="H123" s="63"/>
      <c r="I123" s="27"/>
      <c r="J123" s="28"/>
      <c r="K123" s="43"/>
      <c r="L123" s="29">
        <f t="shared" si="18"/>
        <v>0</v>
      </c>
      <c r="M123" s="29">
        <f t="shared" si="19"/>
        <v>0</v>
      </c>
      <c r="O123" s="54"/>
      <c r="Q123" s="304"/>
      <c r="R123" s="259"/>
      <c r="S123" s="260"/>
      <c r="T123" s="261"/>
      <c r="U123" s="262"/>
      <c r="V123" s="263"/>
      <c r="W123" s="263"/>
      <c r="Y123" s="11"/>
    </row>
    <row r="124" spans="1:25" s="12" customFormat="1" hidden="1" outlineLevel="1">
      <c r="A124" s="123">
        <v>45413</v>
      </c>
      <c r="B124" s="25" t="s">
        <v>20</v>
      </c>
      <c r="C124" s="29"/>
      <c r="D124" s="29"/>
      <c r="E124" s="29">
        <f t="shared" si="11"/>
        <v>-25</v>
      </c>
      <c r="G124" s="64"/>
      <c r="H124" s="63"/>
      <c r="I124" s="27"/>
      <c r="J124" s="28"/>
      <c r="K124" s="43"/>
      <c r="L124" s="29">
        <f t="shared" si="18"/>
        <v>0</v>
      </c>
      <c r="M124" s="29">
        <f t="shared" si="19"/>
        <v>0</v>
      </c>
      <c r="O124" s="54"/>
      <c r="Q124" s="304"/>
      <c r="R124" s="259"/>
      <c r="S124" s="260"/>
      <c r="T124" s="261"/>
      <c r="U124" s="262"/>
      <c r="V124" s="263"/>
      <c r="W124" s="263"/>
      <c r="Y124" s="11"/>
    </row>
    <row r="125" spans="1:25" s="12" customFormat="1" hidden="1" outlineLevel="1">
      <c r="A125" s="123">
        <v>45414</v>
      </c>
      <c r="B125" s="25" t="s">
        <v>14</v>
      </c>
      <c r="C125" s="29"/>
      <c r="D125" s="29"/>
      <c r="E125" s="29">
        <f t="shared" si="11"/>
        <v>-25</v>
      </c>
      <c r="G125" s="64"/>
      <c r="H125" s="63"/>
      <c r="I125" s="27"/>
      <c r="J125" s="28"/>
      <c r="K125" s="43"/>
      <c r="L125" s="29">
        <f t="shared" si="18"/>
        <v>0</v>
      </c>
      <c r="M125" s="29">
        <f t="shared" si="19"/>
        <v>0</v>
      </c>
      <c r="O125" s="54"/>
      <c r="Q125" s="304"/>
      <c r="R125" s="259"/>
      <c r="S125" s="260"/>
      <c r="T125" s="261"/>
      <c r="U125" s="262"/>
      <c r="V125" s="263"/>
      <c r="W125" s="263"/>
      <c r="Y125" s="11"/>
    </row>
    <row r="126" spans="1:25" s="12" customFormat="1" hidden="1" outlineLevel="1">
      <c r="A126" s="123">
        <v>45415</v>
      </c>
      <c r="B126" s="25" t="s">
        <v>15</v>
      </c>
      <c r="C126" s="29"/>
      <c r="D126" s="29"/>
      <c r="E126" s="29">
        <f t="shared" si="11"/>
        <v>-25</v>
      </c>
      <c r="G126" s="64"/>
      <c r="H126" s="63"/>
      <c r="I126" s="27"/>
      <c r="J126" s="28"/>
      <c r="K126" s="43"/>
      <c r="L126" s="29">
        <f t="shared" si="18"/>
        <v>0</v>
      </c>
      <c r="M126" s="29">
        <f t="shared" si="19"/>
        <v>0</v>
      </c>
      <c r="O126" s="54"/>
      <c r="Q126" s="304"/>
      <c r="R126" s="259"/>
      <c r="S126" s="260"/>
      <c r="T126" s="261"/>
      <c r="U126" s="262"/>
      <c r="V126" s="263"/>
      <c r="W126" s="263"/>
      <c r="Y126" s="11"/>
    </row>
    <row r="127" spans="1:25" s="12" customFormat="1" hidden="1" outlineLevel="1">
      <c r="A127" s="123">
        <v>45416</v>
      </c>
      <c r="B127" s="25" t="s">
        <v>16</v>
      </c>
      <c r="C127" s="29"/>
      <c r="D127" s="29"/>
      <c r="E127" s="29">
        <f t="shared" si="11"/>
        <v>-25</v>
      </c>
      <c r="G127" s="64"/>
      <c r="H127" s="63"/>
      <c r="I127" s="27"/>
      <c r="J127" s="28"/>
      <c r="K127" s="43"/>
      <c r="L127" s="29">
        <f t="shared" si="18"/>
        <v>0</v>
      </c>
      <c r="M127" s="29">
        <f t="shared" si="19"/>
        <v>0</v>
      </c>
      <c r="O127" s="54"/>
      <c r="Q127" s="304"/>
      <c r="R127" s="259"/>
      <c r="S127" s="260"/>
      <c r="T127" s="261"/>
      <c r="U127" s="262"/>
      <c r="V127" s="263"/>
      <c r="W127" s="263"/>
      <c r="Y127" s="11"/>
    </row>
    <row r="128" spans="1:25" s="12" customFormat="1" hidden="1" outlineLevel="1">
      <c r="A128" s="123">
        <v>45417</v>
      </c>
      <c r="B128" s="25" t="s">
        <v>17</v>
      </c>
      <c r="C128" s="29"/>
      <c r="D128" s="29"/>
      <c r="E128" s="29">
        <f t="shared" si="11"/>
        <v>-25</v>
      </c>
      <c r="G128" s="64"/>
      <c r="H128" s="63"/>
      <c r="I128" s="27"/>
      <c r="J128" s="28"/>
      <c r="K128" s="43"/>
      <c r="L128" s="29">
        <f t="shared" si="18"/>
        <v>0</v>
      </c>
      <c r="M128" s="29">
        <f t="shared" si="19"/>
        <v>0</v>
      </c>
      <c r="O128" s="54"/>
      <c r="Q128" s="304"/>
      <c r="R128" s="259"/>
      <c r="S128" s="260"/>
      <c r="T128" s="261"/>
      <c r="U128" s="262"/>
      <c r="V128" s="263"/>
      <c r="W128" s="263"/>
      <c r="Y128" s="11"/>
    </row>
    <row r="129" spans="1:25" hidden="1" outlineLevel="1" collapsed="1">
      <c r="A129" s="124">
        <v>45418</v>
      </c>
      <c r="B129" s="17" t="s">
        <v>18</v>
      </c>
      <c r="C129" s="23"/>
      <c r="D129" s="23"/>
      <c r="E129" s="23">
        <f t="shared" si="11"/>
        <v>-25</v>
      </c>
      <c r="G129" s="19"/>
      <c r="H129" s="62">
        <f>C118+I129</f>
        <v>0</v>
      </c>
      <c r="I129" s="20"/>
      <c r="J129" s="21"/>
      <c r="K129" s="42"/>
      <c r="L129" s="23">
        <f t="shared" si="18"/>
        <v>0</v>
      </c>
      <c r="M129" s="23">
        <f t="shared" si="19"/>
        <v>0</v>
      </c>
      <c r="O129" s="52"/>
      <c r="Q129" s="304"/>
      <c r="R129" s="259"/>
      <c r="S129" s="260"/>
      <c r="T129" s="261"/>
      <c r="U129" s="262"/>
      <c r="V129" s="263"/>
      <c r="W129" s="263"/>
    </row>
    <row r="130" spans="1:25" hidden="1" outlineLevel="1">
      <c r="A130" s="124">
        <v>45419</v>
      </c>
      <c r="B130" s="17" t="s">
        <v>19</v>
      </c>
      <c r="C130" s="23"/>
      <c r="D130" s="23"/>
      <c r="E130" s="23">
        <f t="shared" si="11"/>
        <v>-25</v>
      </c>
      <c r="G130" s="19"/>
      <c r="H130" s="62">
        <f>C119+I130</f>
        <v>0</v>
      </c>
      <c r="I130" s="20"/>
      <c r="J130" s="21"/>
      <c r="K130" s="42"/>
      <c r="L130" s="23">
        <f t="shared" si="18"/>
        <v>0</v>
      </c>
      <c r="M130" s="23">
        <f t="shared" si="19"/>
        <v>0</v>
      </c>
      <c r="O130" s="52"/>
      <c r="Q130" s="304"/>
      <c r="R130" s="259"/>
      <c r="S130" s="260"/>
      <c r="T130" s="261"/>
      <c r="U130" s="262"/>
      <c r="V130" s="263"/>
      <c r="W130" s="263"/>
    </row>
    <row r="131" spans="1:25" hidden="1" outlineLevel="1">
      <c r="A131" s="124">
        <v>45420</v>
      </c>
      <c r="B131" s="17" t="s">
        <v>20</v>
      </c>
      <c r="C131" s="23"/>
      <c r="D131" s="23"/>
      <c r="E131" s="23">
        <f t="shared" si="11"/>
        <v>-25</v>
      </c>
      <c r="G131" s="19"/>
      <c r="H131" s="62">
        <f>C129+I131</f>
        <v>0</v>
      </c>
      <c r="I131" s="20"/>
      <c r="J131" s="21"/>
      <c r="K131" s="42"/>
      <c r="L131" s="23">
        <f t="shared" si="18"/>
        <v>0</v>
      </c>
      <c r="M131" s="23">
        <f t="shared" si="19"/>
        <v>0</v>
      </c>
      <c r="O131" s="52"/>
      <c r="Q131" s="304"/>
      <c r="R131" s="259"/>
      <c r="S131" s="260"/>
      <c r="T131" s="261"/>
      <c r="U131" s="262"/>
      <c r="V131" s="263"/>
      <c r="W131" s="263"/>
    </row>
    <row r="132" spans="1:25" hidden="1" outlineLevel="1">
      <c r="A132" s="124">
        <v>45421</v>
      </c>
      <c r="B132" s="17" t="s">
        <v>14</v>
      </c>
      <c r="C132" s="23"/>
      <c r="D132" s="23"/>
      <c r="E132" s="23">
        <f t="shared" ref="E132:E195" si="23">E131-C132+D132</f>
        <v>-25</v>
      </c>
      <c r="G132" s="19"/>
      <c r="H132" s="62">
        <f t="shared" ref="H132" si="24">C130+I132</f>
        <v>0</v>
      </c>
      <c r="I132" s="20"/>
      <c r="J132" s="21"/>
      <c r="K132" s="42"/>
      <c r="L132" s="23">
        <f t="shared" si="18"/>
        <v>0</v>
      </c>
      <c r="M132" s="23">
        <f t="shared" si="19"/>
        <v>0</v>
      </c>
      <c r="O132" s="52"/>
      <c r="Q132" s="304"/>
      <c r="R132" s="259"/>
      <c r="S132" s="260"/>
      <c r="T132" s="261"/>
      <c r="U132" s="262"/>
      <c r="V132" s="263"/>
      <c r="W132" s="263"/>
    </row>
    <row r="133" spans="1:25" hidden="1" outlineLevel="1">
      <c r="A133" s="124">
        <v>45422</v>
      </c>
      <c r="B133" s="17" t="s">
        <v>15</v>
      </c>
      <c r="C133" s="23"/>
      <c r="D133" s="23"/>
      <c r="E133" s="23">
        <f t="shared" si="23"/>
        <v>-25</v>
      </c>
      <c r="G133" s="19"/>
      <c r="H133" s="62">
        <f>C131+I133</f>
        <v>0</v>
      </c>
      <c r="I133" s="20"/>
      <c r="J133" s="21"/>
      <c r="K133" s="42"/>
      <c r="L133" s="23">
        <f t="shared" si="18"/>
        <v>0</v>
      </c>
      <c r="M133" s="23">
        <f t="shared" si="19"/>
        <v>0</v>
      </c>
      <c r="O133" s="52"/>
      <c r="Q133" s="304"/>
      <c r="R133" s="259"/>
      <c r="S133" s="260"/>
      <c r="T133" s="261"/>
      <c r="U133" s="262"/>
      <c r="V133" s="263"/>
      <c r="W133" s="263"/>
    </row>
    <row r="134" spans="1:25" s="12" customFormat="1" hidden="1" outlineLevel="1">
      <c r="A134" s="123">
        <v>45423</v>
      </c>
      <c r="B134" s="25" t="s">
        <v>16</v>
      </c>
      <c r="C134" s="29"/>
      <c r="D134" s="29"/>
      <c r="E134" s="29">
        <f t="shared" si="23"/>
        <v>-25</v>
      </c>
      <c r="G134" s="64"/>
      <c r="H134" s="63"/>
      <c r="I134" s="27"/>
      <c r="J134" s="28"/>
      <c r="K134" s="43"/>
      <c r="L134" s="29">
        <f t="shared" si="18"/>
        <v>0</v>
      </c>
      <c r="M134" s="29">
        <f t="shared" si="19"/>
        <v>0</v>
      </c>
      <c r="O134" s="54"/>
      <c r="Q134" s="304"/>
      <c r="R134" s="259"/>
      <c r="S134" s="260"/>
      <c r="T134" s="261"/>
      <c r="U134" s="262"/>
      <c r="V134" s="263"/>
      <c r="W134" s="263"/>
      <c r="Y134" s="11"/>
    </row>
    <row r="135" spans="1:25" s="12" customFormat="1" hidden="1" outlineLevel="1">
      <c r="A135" s="123">
        <v>45424</v>
      </c>
      <c r="B135" s="25" t="s">
        <v>17</v>
      </c>
      <c r="C135" s="29"/>
      <c r="D135" s="29"/>
      <c r="E135" s="29">
        <f t="shared" si="23"/>
        <v>-25</v>
      </c>
      <c r="G135" s="64"/>
      <c r="H135" s="63"/>
      <c r="I135" s="27"/>
      <c r="J135" s="28"/>
      <c r="K135" s="43"/>
      <c r="L135" s="29">
        <f t="shared" si="18"/>
        <v>0</v>
      </c>
      <c r="M135" s="29">
        <f t="shared" si="19"/>
        <v>0</v>
      </c>
      <c r="O135" s="54"/>
      <c r="Q135" s="304"/>
      <c r="R135" s="259"/>
      <c r="S135" s="260"/>
      <c r="T135" s="261"/>
      <c r="U135" s="262"/>
      <c r="V135" s="263"/>
      <c r="W135" s="263"/>
      <c r="Y135" s="11"/>
    </row>
    <row r="136" spans="1:25" hidden="1" outlineLevel="1" collapsed="1">
      <c r="A136" s="124">
        <v>45425</v>
      </c>
      <c r="B136" s="17" t="s">
        <v>18</v>
      </c>
      <c r="C136" s="23"/>
      <c r="D136" s="23"/>
      <c r="E136" s="23">
        <f t="shared" si="23"/>
        <v>-25</v>
      </c>
      <c r="G136" s="19"/>
      <c r="H136" s="62">
        <f>C132+I136</f>
        <v>0</v>
      </c>
      <c r="I136" s="20"/>
      <c r="J136" s="21"/>
      <c r="K136" s="42"/>
      <c r="L136" s="23">
        <f t="shared" si="18"/>
        <v>0</v>
      </c>
      <c r="M136" s="23">
        <f t="shared" si="19"/>
        <v>0</v>
      </c>
      <c r="O136" s="52"/>
      <c r="Q136" s="304"/>
      <c r="R136" s="259"/>
      <c r="S136" s="260"/>
      <c r="T136" s="261"/>
      <c r="U136" s="262"/>
      <c r="V136" s="263"/>
      <c r="W136" s="263"/>
    </row>
    <row r="137" spans="1:25" hidden="1" outlineLevel="1">
      <c r="A137" s="124">
        <v>45426</v>
      </c>
      <c r="B137" s="17" t="s">
        <v>19</v>
      </c>
      <c r="C137" s="23"/>
      <c r="D137" s="23"/>
      <c r="E137" s="23">
        <f t="shared" si="23"/>
        <v>-25</v>
      </c>
      <c r="G137" s="19"/>
      <c r="H137" s="62">
        <f>C133+I137</f>
        <v>0</v>
      </c>
      <c r="I137" s="20"/>
      <c r="J137" s="21"/>
      <c r="K137" s="42"/>
      <c r="L137" s="23">
        <f t="shared" si="18"/>
        <v>0</v>
      </c>
      <c r="M137" s="23">
        <f t="shared" si="19"/>
        <v>0</v>
      </c>
      <c r="O137" s="52"/>
      <c r="Q137" s="304"/>
      <c r="R137" s="259"/>
      <c r="S137" s="260"/>
      <c r="T137" s="261"/>
      <c r="U137" s="262"/>
      <c r="V137" s="263"/>
      <c r="W137" s="263"/>
    </row>
    <row r="138" spans="1:25" hidden="1" outlineLevel="1">
      <c r="A138" s="124">
        <v>45427</v>
      </c>
      <c r="B138" s="17" t="s">
        <v>20</v>
      </c>
      <c r="C138" s="23"/>
      <c r="D138" s="23"/>
      <c r="E138" s="23">
        <f t="shared" si="23"/>
        <v>-25</v>
      </c>
      <c r="G138" s="19"/>
      <c r="H138" s="62">
        <f>C136+I138</f>
        <v>0</v>
      </c>
      <c r="I138" s="20"/>
      <c r="J138" s="21"/>
      <c r="K138" s="42"/>
      <c r="L138" s="23">
        <f t="shared" si="18"/>
        <v>0</v>
      </c>
      <c r="M138" s="23">
        <f t="shared" si="19"/>
        <v>0</v>
      </c>
      <c r="O138" s="52"/>
      <c r="Q138" s="304"/>
      <c r="R138" s="259"/>
      <c r="S138" s="260"/>
      <c r="T138" s="261"/>
      <c r="U138" s="262"/>
      <c r="V138" s="263"/>
      <c r="W138" s="263"/>
    </row>
    <row r="139" spans="1:25" hidden="1" outlineLevel="1">
      <c r="A139" s="124">
        <v>45428</v>
      </c>
      <c r="B139" s="17" t="s">
        <v>14</v>
      </c>
      <c r="C139" s="23"/>
      <c r="D139" s="23"/>
      <c r="E139" s="23">
        <f t="shared" si="23"/>
        <v>-25</v>
      </c>
      <c r="G139" s="19"/>
      <c r="H139" s="62">
        <f t="shared" ref="H139" si="25">C137+I139</f>
        <v>0</v>
      </c>
      <c r="I139" s="20"/>
      <c r="J139" s="21"/>
      <c r="K139" s="42"/>
      <c r="L139" s="23">
        <f t="shared" si="18"/>
        <v>0</v>
      </c>
      <c r="M139" s="23">
        <f t="shared" si="19"/>
        <v>0</v>
      </c>
      <c r="O139" s="52"/>
      <c r="Q139" s="304"/>
      <c r="R139" s="259"/>
      <c r="S139" s="260"/>
      <c r="T139" s="261"/>
      <c r="U139" s="262"/>
      <c r="V139" s="263"/>
      <c r="W139" s="263"/>
    </row>
    <row r="140" spans="1:25" hidden="1" outlineLevel="1">
      <c r="A140" s="124">
        <v>45429</v>
      </c>
      <c r="B140" s="17" t="s">
        <v>15</v>
      </c>
      <c r="C140" s="23"/>
      <c r="D140" s="23"/>
      <c r="E140" s="23">
        <f t="shared" si="23"/>
        <v>-25</v>
      </c>
      <c r="G140" s="19"/>
      <c r="H140" s="62">
        <f>C138+I140</f>
        <v>0</v>
      </c>
      <c r="I140" s="20"/>
      <c r="J140" s="21"/>
      <c r="K140" s="42"/>
      <c r="L140" s="23">
        <f t="shared" si="18"/>
        <v>0</v>
      </c>
      <c r="M140" s="23">
        <f t="shared" si="19"/>
        <v>0</v>
      </c>
      <c r="O140" s="52"/>
      <c r="Q140" s="304"/>
      <c r="R140" s="259"/>
      <c r="S140" s="260"/>
      <c r="T140" s="261"/>
      <c r="U140" s="262"/>
      <c r="V140" s="263"/>
      <c r="W140" s="263"/>
    </row>
    <row r="141" spans="1:25" s="12" customFormat="1" hidden="1" outlineLevel="1" collapsed="1">
      <c r="A141" s="123">
        <v>45430</v>
      </c>
      <c r="B141" s="25" t="s">
        <v>16</v>
      </c>
      <c r="C141" s="29"/>
      <c r="D141" s="29"/>
      <c r="E141" s="29">
        <f t="shared" si="23"/>
        <v>-25</v>
      </c>
      <c r="G141" s="64"/>
      <c r="H141" s="63"/>
      <c r="I141" s="27"/>
      <c r="J141" s="28"/>
      <c r="K141" s="43"/>
      <c r="L141" s="29">
        <f t="shared" si="18"/>
        <v>0</v>
      </c>
      <c r="M141" s="29">
        <f t="shared" si="19"/>
        <v>0</v>
      </c>
      <c r="O141" s="54"/>
      <c r="Q141" s="304"/>
      <c r="R141" s="259"/>
      <c r="S141" s="260"/>
      <c r="T141" s="261"/>
      <c r="U141" s="262"/>
      <c r="V141" s="263"/>
      <c r="W141" s="263"/>
      <c r="Y141" s="11"/>
    </row>
    <row r="142" spans="1:25" s="12" customFormat="1" hidden="1" outlineLevel="1">
      <c r="A142" s="123">
        <v>45431</v>
      </c>
      <c r="B142" s="25" t="s">
        <v>17</v>
      </c>
      <c r="C142" s="29"/>
      <c r="D142" s="29"/>
      <c r="E142" s="29">
        <f t="shared" si="23"/>
        <v>-25</v>
      </c>
      <c r="G142" s="64"/>
      <c r="H142" s="63"/>
      <c r="I142" s="27"/>
      <c r="J142" s="28"/>
      <c r="K142" s="43"/>
      <c r="L142" s="29">
        <f t="shared" si="18"/>
        <v>0</v>
      </c>
      <c r="M142" s="29">
        <f t="shared" si="19"/>
        <v>0</v>
      </c>
      <c r="O142" s="54"/>
      <c r="Q142" s="304"/>
      <c r="R142" s="259"/>
      <c r="S142" s="260"/>
      <c r="T142" s="261"/>
      <c r="U142" s="262"/>
      <c r="V142" s="263"/>
      <c r="W142" s="263"/>
      <c r="Y142" s="11"/>
    </row>
    <row r="143" spans="1:25" hidden="1" outlineLevel="1">
      <c r="A143" s="124">
        <v>45432</v>
      </c>
      <c r="B143" s="17" t="s">
        <v>18</v>
      </c>
      <c r="C143" s="23"/>
      <c r="D143" s="23"/>
      <c r="E143" s="23">
        <f t="shared" si="23"/>
        <v>-25</v>
      </c>
      <c r="G143" s="19"/>
      <c r="H143" s="62">
        <f>C139+I143</f>
        <v>0</v>
      </c>
      <c r="I143" s="20"/>
      <c r="J143" s="21"/>
      <c r="K143" s="42"/>
      <c r="L143" s="23">
        <f t="shared" si="18"/>
        <v>0</v>
      </c>
      <c r="M143" s="23">
        <f t="shared" si="19"/>
        <v>0</v>
      </c>
      <c r="O143" s="52"/>
      <c r="Q143" s="304"/>
      <c r="R143" s="259"/>
      <c r="S143" s="260"/>
      <c r="T143" s="261"/>
      <c r="U143" s="262"/>
      <c r="V143" s="263"/>
      <c r="W143" s="263"/>
    </row>
    <row r="144" spans="1:25" hidden="1" outlineLevel="1">
      <c r="A144" s="124">
        <v>45433</v>
      </c>
      <c r="B144" s="17" t="s">
        <v>19</v>
      </c>
      <c r="C144" s="23"/>
      <c r="D144" s="23"/>
      <c r="E144" s="23">
        <f t="shared" si="23"/>
        <v>-25</v>
      </c>
      <c r="G144" s="19"/>
      <c r="H144" s="62">
        <f>C140+I144</f>
        <v>0</v>
      </c>
      <c r="I144" s="20"/>
      <c r="J144" s="21"/>
      <c r="K144" s="42"/>
      <c r="L144" s="23">
        <f t="shared" si="18"/>
        <v>0</v>
      </c>
      <c r="M144" s="23">
        <f t="shared" si="19"/>
        <v>0</v>
      </c>
      <c r="O144" s="52"/>
      <c r="Q144" s="304"/>
      <c r="R144" s="259"/>
      <c r="S144" s="260"/>
      <c r="T144" s="261"/>
      <c r="U144" s="262"/>
      <c r="V144" s="263"/>
      <c r="W144" s="263"/>
    </row>
    <row r="145" spans="1:25" hidden="1" outlineLevel="1">
      <c r="A145" s="124">
        <v>45434</v>
      </c>
      <c r="B145" s="17" t="s">
        <v>20</v>
      </c>
      <c r="C145" s="23"/>
      <c r="D145" s="23"/>
      <c r="E145" s="23">
        <f t="shared" si="23"/>
        <v>-25</v>
      </c>
      <c r="G145" s="19"/>
      <c r="H145" s="62">
        <f>C143+I145</f>
        <v>0</v>
      </c>
      <c r="I145" s="20"/>
      <c r="J145" s="21"/>
      <c r="K145" s="42"/>
      <c r="L145" s="23">
        <f t="shared" si="18"/>
        <v>0</v>
      </c>
      <c r="M145" s="23">
        <f t="shared" si="19"/>
        <v>0</v>
      </c>
      <c r="O145" s="52"/>
      <c r="Q145" s="304"/>
      <c r="R145" s="259"/>
      <c r="S145" s="260"/>
      <c r="T145" s="261"/>
      <c r="U145" s="262"/>
      <c r="V145" s="263"/>
      <c r="W145" s="263"/>
    </row>
    <row r="146" spans="1:25" hidden="1" outlineLevel="1">
      <c r="A146" s="124">
        <v>45435</v>
      </c>
      <c r="B146" s="17" t="s">
        <v>14</v>
      </c>
      <c r="C146" s="23"/>
      <c r="D146" s="23"/>
      <c r="E146" s="23">
        <f t="shared" si="23"/>
        <v>-25</v>
      </c>
      <c r="G146" s="19"/>
      <c r="H146" s="62">
        <f t="shared" ref="H146" si="26">C144+I146</f>
        <v>0</v>
      </c>
      <c r="I146" s="20"/>
      <c r="J146" s="21"/>
      <c r="K146" s="42"/>
      <c r="L146" s="23">
        <f t="shared" si="18"/>
        <v>0</v>
      </c>
      <c r="M146" s="23">
        <f t="shared" si="19"/>
        <v>0</v>
      </c>
      <c r="O146" s="52"/>
      <c r="Q146" s="304"/>
      <c r="R146" s="259"/>
      <c r="S146" s="260"/>
      <c r="T146" s="261"/>
      <c r="U146" s="262"/>
      <c r="V146" s="263"/>
      <c r="W146" s="263"/>
    </row>
    <row r="147" spans="1:25" hidden="1" outlineLevel="1">
      <c r="A147" s="124">
        <v>45436</v>
      </c>
      <c r="B147" s="17" t="s">
        <v>15</v>
      </c>
      <c r="C147" s="23"/>
      <c r="D147" s="23"/>
      <c r="E147" s="23">
        <f t="shared" si="23"/>
        <v>-25</v>
      </c>
      <c r="G147" s="19"/>
      <c r="H147" s="62">
        <f>C145+I147</f>
        <v>0</v>
      </c>
      <c r="I147" s="20"/>
      <c r="J147" s="21"/>
      <c r="K147" s="42"/>
      <c r="L147" s="23">
        <f t="shared" si="18"/>
        <v>0</v>
      </c>
      <c r="M147" s="23">
        <f t="shared" si="19"/>
        <v>0</v>
      </c>
      <c r="O147" s="52"/>
      <c r="Q147" s="304"/>
      <c r="R147" s="259"/>
      <c r="S147" s="260"/>
      <c r="T147" s="261"/>
      <c r="U147" s="262"/>
      <c r="V147" s="263"/>
      <c r="W147" s="263"/>
    </row>
    <row r="148" spans="1:25" s="12" customFormat="1" hidden="1" outlineLevel="1" collapsed="1">
      <c r="A148" s="123">
        <v>45437</v>
      </c>
      <c r="B148" s="25" t="s">
        <v>16</v>
      </c>
      <c r="C148" s="29"/>
      <c r="D148" s="29"/>
      <c r="E148" s="29">
        <f t="shared" si="23"/>
        <v>-25</v>
      </c>
      <c r="G148" s="64"/>
      <c r="H148" s="63"/>
      <c r="I148" s="27"/>
      <c r="J148" s="28"/>
      <c r="K148" s="43"/>
      <c r="L148" s="29">
        <f t="shared" si="18"/>
        <v>0</v>
      </c>
      <c r="M148" s="29">
        <f t="shared" si="19"/>
        <v>0</v>
      </c>
      <c r="O148" s="54"/>
      <c r="Q148" s="304"/>
      <c r="R148" s="259"/>
      <c r="S148" s="260"/>
      <c r="T148" s="261"/>
      <c r="U148" s="262"/>
      <c r="V148" s="263"/>
      <c r="W148" s="263"/>
      <c r="Y148" s="11"/>
    </row>
    <row r="149" spans="1:25" s="12" customFormat="1" hidden="1" outlineLevel="1">
      <c r="A149" s="123">
        <v>45438</v>
      </c>
      <c r="B149" s="25" t="s">
        <v>17</v>
      </c>
      <c r="C149" s="29"/>
      <c r="D149" s="29"/>
      <c r="E149" s="29">
        <f t="shared" si="23"/>
        <v>-25</v>
      </c>
      <c r="G149" s="64"/>
      <c r="H149" s="63"/>
      <c r="I149" s="27"/>
      <c r="J149" s="28"/>
      <c r="K149" s="43"/>
      <c r="L149" s="29">
        <f t="shared" si="18"/>
        <v>0</v>
      </c>
      <c r="M149" s="29">
        <f t="shared" si="19"/>
        <v>0</v>
      </c>
      <c r="O149" s="54"/>
      <c r="Q149" s="304"/>
      <c r="R149" s="259"/>
      <c r="S149" s="260"/>
      <c r="T149" s="261"/>
      <c r="U149" s="262"/>
      <c r="V149" s="263"/>
      <c r="W149" s="263"/>
      <c r="Y149" s="11"/>
    </row>
    <row r="150" spans="1:25" hidden="1" outlineLevel="1">
      <c r="A150" s="124">
        <v>45439</v>
      </c>
      <c r="B150" s="17" t="s">
        <v>18</v>
      </c>
      <c r="C150" s="23"/>
      <c r="D150" s="23"/>
      <c r="E150" s="23">
        <f t="shared" si="23"/>
        <v>-25</v>
      </c>
      <c r="G150" s="19"/>
      <c r="H150" s="62">
        <f>C146+I150</f>
        <v>0</v>
      </c>
      <c r="I150" s="20"/>
      <c r="J150" s="21"/>
      <c r="K150" s="42"/>
      <c r="L150" s="23">
        <f t="shared" si="18"/>
        <v>0</v>
      </c>
      <c r="M150" s="23">
        <f t="shared" si="19"/>
        <v>0</v>
      </c>
      <c r="O150" s="52"/>
      <c r="Q150" s="304"/>
      <c r="R150" s="259"/>
      <c r="S150" s="260"/>
      <c r="T150" s="261"/>
      <c r="U150" s="262"/>
      <c r="V150" s="263"/>
      <c r="W150" s="263"/>
    </row>
    <row r="151" spans="1:25" hidden="1" outlineLevel="1">
      <c r="A151" s="124">
        <v>45440</v>
      </c>
      <c r="B151" s="17" t="s">
        <v>19</v>
      </c>
      <c r="C151" s="23"/>
      <c r="D151" s="23"/>
      <c r="E151" s="23">
        <f t="shared" si="23"/>
        <v>-25</v>
      </c>
      <c r="G151" s="19"/>
      <c r="H151" s="62">
        <f>C147+I151</f>
        <v>0</v>
      </c>
      <c r="I151" s="20"/>
      <c r="J151" s="21"/>
      <c r="K151" s="42"/>
      <c r="L151" s="23">
        <f t="shared" si="18"/>
        <v>0</v>
      </c>
      <c r="M151" s="23">
        <f t="shared" si="19"/>
        <v>0</v>
      </c>
      <c r="O151" s="52"/>
      <c r="Q151" s="304"/>
      <c r="R151" s="259"/>
      <c r="S151" s="260"/>
      <c r="T151" s="261"/>
      <c r="U151" s="262"/>
      <c r="V151" s="263"/>
      <c r="W151" s="263"/>
    </row>
    <row r="152" spans="1:25" hidden="1" outlineLevel="1">
      <c r="A152" s="124">
        <v>45441</v>
      </c>
      <c r="B152" s="17" t="s">
        <v>20</v>
      </c>
      <c r="C152" s="23"/>
      <c r="D152" s="23"/>
      <c r="E152" s="23">
        <f t="shared" si="23"/>
        <v>-25</v>
      </c>
      <c r="G152" s="19"/>
      <c r="H152" s="62">
        <f>C150+I152</f>
        <v>0</v>
      </c>
      <c r="I152" s="20"/>
      <c r="J152" s="21"/>
      <c r="K152" s="42"/>
      <c r="L152" s="23">
        <f t="shared" si="18"/>
        <v>0</v>
      </c>
      <c r="M152" s="23">
        <f t="shared" si="19"/>
        <v>0</v>
      </c>
      <c r="O152" s="52"/>
      <c r="Q152" s="304"/>
      <c r="R152" s="259"/>
      <c r="S152" s="260"/>
      <c r="T152" s="261"/>
      <c r="U152" s="262"/>
      <c r="V152" s="263"/>
      <c r="W152" s="263"/>
    </row>
    <row r="153" spans="1:25" hidden="1" outlineLevel="1">
      <c r="A153" s="124">
        <v>45442</v>
      </c>
      <c r="B153" s="17" t="s">
        <v>14</v>
      </c>
      <c r="C153" s="23"/>
      <c r="D153" s="23"/>
      <c r="E153" s="23">
        <f t="shared" si="23"/>
        <v>-25</v>
      </c>
      <c r="G153" s="19"/>
      <c r="H153" s="62">
        <f t="shared" ref="H153" si="27">C151+I153</f>
        <v>0</v>
      </c>
      <c r="I153" s="20"/>
      <c r="J153" s="21"/>
      <c r="K153" s="42"/>
      <c r="L153" s="23">
        <f t="shared" si="18"/>
        <v>0</v>
      </c>
      <c r="M153" s="23">
        <f t="shared" si="19"/>
        <v>0</v>
      </c>
      <c r="O153" s="52"/>
      <c r="Q153" s="304"/>
      <c r="R153" s="259"/>
      <c r="S153" s="260"/>
      <c r="T153" s="261"/>
      <c r="U153" s="262"/>
      <c r="V153" s="263"/>
      <c r="W153" s="263"/>
    </row>
    <row r="154" spans="1:25" hidden="1" outlineLevel="1">
      <c r="A154" s="124">
        <v>45443</v>
      </c>
      <c r="B154" s="17" t="s">
        <v>15</v>
      </c>
      <c r="C154" s="23"/>
      <c r="D154" s="23"/>
      <c r="E154" s="23">
        <f t="shared" si="23"/>
        <v>-25</v>
      </c>
      <c r="G154" s="19"/>
      <c r="H154" s="62">
        <f>C152+I154</f>
        <v>0</v>
      </c>
      <c r="I154" s="20"/>
      <c r="J154" s="21"/>
      <c r="K154" s="42"/>
      <c r="L154" s="23">
        <f t="shared" si="18"/>
        <v>0</v>
      </c>
      <c r="M154" s="23">
        <f t="shared" si="19"/>
        <v>0</v>
      </c>
      <c r="O154" s="52"/>
      <c r="Q154" s="304"/>
      <c r="R154" s="259"/>
      <c r="S154" s="260"/>
      <c r="T154" s="261"/>
      <c r="U154" s="262"/>
      <c r="V154" s="263"/>
      <c r="W154" s="263"/>
    </row>
    <row r="155" spans="1:25" s="12" customFormat="1" hidden="1" outlineLevel="1">
      <c r="A155" s="95">
        <v>45444</v>
      </c>
      <c r="B155" s="25" t="s">
        <v>16</v>
      </c>
      <c r="C155" s="29"/>
      <c r="D155" s="29"/>
      <c r="E155" s="29">
        <f t="shared" si="23"/>
        <v>-25</v>
      </c>
      <c r="G155" s="64"/>
      <c r="H155" s="63"/>
      <c r="I155" s="27"/>
      <c r="J155" s="28"/>
      <c r="K155" s="43"/>
      <c r="L155" s="29">
        <f t="shared" ref="L155:L185" si="28">L154-G155+K155</f>
        <v>0</v>
      </c>
      <c r="M155" s="29">
        <f t="shared" ref="M155:M185" si="29">M154-G155+H155</f>
        <v>0</v>
      </c>
      <c r="O155" s="54"/>
      <c r="Q155" s="304"/>
      <c r="R155" s="259"/>
      <c r="S155" s="260"/>
      <c r="T155" s="261"/>
      <c r="U155" s="262"/>
      <c r="V155" s="263"/>
      <c r="W155" s="263"/>
      <c r="Y155" s="11"/>
    </row>
    <row r="156" spans="1:25" s="12" customFormat="1" hidden="1" outlineLevel="1">
      <c r="A156" s="95">
        <v>45445</v>
      </c>
      <c r="B156" s="25" t="s">
        <v>17</v>
      </c>
      <c r="C156" s="29"/>
      <c r="D156" s="29"/>
      <c r="E156" s="29">
        <f t="shared" si="23"/>
        <v>-25</v>
      </c>
      <c r="G156" s="64"/>
      <c r="H156" s="63"/>
      <c r="I156" s="27"/>
      <c r="J156" s="28"/>
      <c r="K156" s="43"/>
      <c r="L156" s="29">
        <f t="shared" si="28"/>
        <v>0</v>
      </c>
      <c r="M156" s="29">
        <f t="shared" si="29"/>
        <v>0</v>
      </c>
      <c r="O156" s="54"/>
      <c r="Q156" s="304"/>
      <c r="R156" s="259"/>
      <c r="S156" s="260"/>
      <c r="T156" s="261"/>
      <c r="U156" s="262"/>
      <c r="V156" s="263"/>
      <c r="W156" s="263"/>
      <c r="Y156" s="11"/>
    </row>
    <row r="157" spans="1:25" hidden="1" outlineLevel="1">
      <c r="A157" s="96">
        <v>45446</v>
      </c>
      <c r="B157" s="17" t="s">
        <v>18</v>
      </c>
      <c r="C157" s="23"/>
      <c r="D157" s="23"/>
      <c r="E157" s="23">
        <f t="shared" si="23"/>
        <v>-25</v>
      </c>
      <c r="G157" s="19"/>
      <c r="H157" s="62">
        <f>C153+I157</f>
        <v>0</v>
      </c>
      <c r="I157" s="20"/>
      <c r="J157" s="21"/>
      <c r="K157" s="42"/>
      <c r="L157" s="23">
        <f t="shared" si="28"/>
        <v>0</v>
      </c>
      <c r="M157" s="23">
        <f t="shared" si="29"/>
        <v>0</v>
      </c>
      <c r="O157" s="52"/>
      <c r="Q157" s="304"/>
      <c r="R157" s="259"/>
      <c r="S157" s="260"/>
      <c r="T157" s="261"/>
      <c r="U157" s="262"/>
      <c r="V157" s="263"/>
      <c r="W157" s="263"/>
    </row>
    <row r="158" spans="1:25" hidden="1" outlineLevel="1">
      <c r="A158" s="96">
        <v>45447</v>
      </c>
      <c r="B158" s="17" t="s">
        <v>19</v>
      </c>
      <c r="C158" s="23"/>
      <c r="D158" s="23"/>
      <c r="E158" s="23">
        <f t="shared" si="23"/>
        <v>-25</v>
      </c>
      <c r="G158" s="19"/>
      <c r="H158" s="62">
        <f>C154+I158</f>
        <v>0</v>
      </c>
      <c r="I158" s="20"/>
      <c r="J158" s="21"/>
      <c r="K158" s="42"/>
      <c r="L158" s="23">
        <f t="shared" si="28"/>
        <v>0</v>
      </c>
      <c r="M158" s="23">
        <f t="shared" si="29"/>
        <v>0</v>
      </c>
      <c r="O158" s="52"/>
      <c r="Q158" s="304"/>
      <c r="R158" s="259"/>
      <c r="S158" s="260"/>
      <c r="T158" s="261"/>
      <c r="U158" s="262"/>
      <c r="V158" s="263"/>
      <c r="W158" s="263"/>
    </row>
    <row r="159" spans="1:25" hidden="1" outlineLevel="1">
      <c r="A159" s="96">
        <v>45448</v>
      </c>
      <c r="B159" s="17" t="s">
        <v>20</v>
      </c>
      <c r="C159" s="23">
        <v>6</v>
      </c>
      <c r="D159" s="23"/>
      <c r="E159" s="23">
        <f t="shared" si="23"/>
        <v>-31</v>
      </c>
      <c r="G159" s="19"/>
      <c r="H159" s="62">
        <f>C157+I159</f>
        <v>0</v>
      </c>
      <c r="I159" s="20"/>
      <c r="J159" s="21"/>
      <c r="K159" s="42"/>
      <c r="L159" s="23">
        <f t="shared" si="28"/>
        <v>0</v>
      </c>
      <c r="M159" s="23">
        <f t="shared" si="29"/>
        <v>0</v>
      </c>
      <c r="O159" s="52"/>
      <c r="Q159" s="304"/>
      <c r="R159" s="259"/>
      <c r="S159" s="260"/>
      <c r="T159" s="261"/>
      <c r="U159" s="262"/>
      <c r="V159" s="263"/>
      <c r="W159" s="263"/>
    </row>
    <row r="160" spans="1:25" hidden="1" outlineLevel="1">
      <c r="A160" s="96">
        <v>45449</v>
      </c>
      <c r="B160" s="17" t="s">
        <v>14</v>
      </c>
      <c r="C160" s="23"/>
      <c r="D160" s="23"/>
      <c r="E160" s="23">
        <f t="shared" si="23"/>
        <v>-31</v>
      </c>
      <c r="G160" s="19"/>
      <c r="H160" s="62">
        <f t="shared" ref="H160" si="30">C158+I160</f>
        <v>0</v>
      </c>
      <c r="I160" s="20"/>
      <c r="J160" s="21"/>
      <c r="K160" s="42"/>
      <c r="L160" s="23">
        <f t="shared" si="28"/>
        <v>0</v>
      </c>
      <c r="M160" s="23">
        <f t="shared" si="29"/>
        <v>0</v>
      </c>
      <c r="O160" s="52"/>
      <c r="Q160" s="304"/>
      <c r="R160" s="259"/>
      <c r="S160" s="260"/>
      <c r="T160" s="261"/>
      <c r="U160" s="262"/>
      <c r="V160" s="263"/>
      <c r="W160" s="263"/>
    </row>
    <row r="161" spans="1:25" hidden="1" outlineLevel="1">
      <c r="A161" s="96">
        <v>45450</v>
      </c>
      <c r="B161" s="17" t="s">
        <v>15</v>
      </c>
      <c r="C161" s="23"/>
      <c r="D161" s="23"/>
      <c r="E161" s="23">
        <f t="shared" si="23"/>
        <v>-31</v>
      </c>
      <c r="G161" s="172">
        <v>6</v>
      </c>
      <c r="H161" s="62">
        <f>C159+I161</f>
        <v>6</v>
      </c>
      <c r="I161" s="20"/>
      <c r="J161" s="21"/>
      <c r="K161" s="57">
        <v>6</v>
      </c>
      <c r="L161" s="23">
        <f t="shared" si="28"/>
        <v>0</v>
      </c>
      <c r="M161" s="23">
        <f t="shared" si="29"/>
        <v>0</v>
      </c>
      <c r="O161" s="52"/>
      <c r="Q161" s="273"/>
      <c r="R161" s="259"/>
      <c r="S161" s="260"/>
      <c r="T161" s="261"/>
      <c r="U161" s="262"/>
      <c r="V161" s="263"/>
      <c r="W161" s="263"/>
    </row>
    <row r="162" spans="1:25" s="12" customFormat="1" hidden="1" outlineLevel="1" collapsed="1">
      <c r="A162" s="95">
        <v>45451</v>
      </c>
      <c r="B162" s="25" t="s">
        <v>16</v>
      </c>
      <c r="C162" s="29"/>
      <c r="D162" s="29"/>
      <c r="E162" s="29">
        <f t="shared" si="23"/>
        <v>-31</v>
      </c>
      <c r="G162" s="64"/>
      <c r="H162" s="63"/>
      <c r="I162" s="27"/>
      <c r="J162" s="28"/>
      <c r="K162" s="43"/>
      <c r="L162" s="29">
        <f t="shared" si="28"/>
        <v>0</v>
      </c>
      <c r="M162" s="29">
        <f t="shared" si="29"/>
        <v>0</v>
      </c>
      <c r="O162" s="54"/>
      <c r="Q162" s="304"/>
      <c r="R162" s="259"/>
      <c r="S162" s="260"/>
      <c r="T162" s="261"/>
      <c r="U162" s="262"/>
      <c r="V162" s="263"/>
      <c r="W162" s="263"/>
      <c r="Y162" s="11"/>
    </row>
    <row r="163" spans="1:25" s="12" customFormat="1" hidden="1" outlineLevel="1">
      <c r="A163" s="95">
        <v>45452</v>
      </c>
      <c r="B163" s="25" t="s">
        <v>17</v>
      </c>
      <c r="C163" s="29"/>
      <c r="D163" s="29"/>
      <c r="E163" s="29">
        <f t="shared" si="23"/>
        <v>-31</v>
      </c>
      <c r="G163" s="64"/>
      <c r="H163" s="63"/>
      <c r="I163" s="27"/>
      <c r="J163" s="28"/>
      <c r="K163" s="43"/>
      <c r="L163" s="29">
        <f t="shared" si="28"/>
        <v>0</v>
      </c>
      <c r="M163" s="29">
        <f t="shared" si="29"/>
        <v>0</v>
      </c>
      <c r="O163" s="54"/>
      <c r="Q163" s="304"/>
      <c r="R163" s="259"/>
      <c r="S163" s="260"/>
      <c r="T163" s="261"/>
      <c r="U163" s="262"/>
      <c r="V163" s="263"/>
      <c r="W163" s="263"/>
      <c r="Y163" s="11"/>
    </row>
    <row r="164" spans="1:25" hidden="1" outlineLevel="1">
      <c r="A164" s="96">
        <v>45453</v>
      </c>
      <c r="B164" s="17" t="s">
        <v>18</v>
      </c>
      <c r="C164" s="23"/>
      <c r="D164" s="23"/>
      <c r="E164" s="23">
        <f t="shared" si="23"/>
        <v>-31</v>
      </c>
      <c r="G164" s="19"/>
      <c r="H164" s="62">
        <f>C160+I164</f>
        <v>0</v>
      </c>
      <c r="I164" s="20"/>
      <c r="J164" s="21"/>
      <c r="K164" s="42"/>
      <c r="L164" s="23">
        <f t="shared" si="28"/>
        <v>0</v>
      </c>
      <c r="M164" s="23">
        <f t="shared" si="29"/>
        <v>0</v>
      </c>
      <c r="O164" s="52"/>
      <c r="Q164" s="304"/>
      <c r="R164" s="259"/>
      <c r="S164" s="260"/>
      <c r="T164" s="261"/>
      <c r="U164" s="262"/>
      <c r="V164" s="263"/>
      <c r="W164" s="263"/>
    </row>
    <row r="165" spans="1:25" hidden="1" outlineLevel="1">
      <c r="A165" s="96">
        <v>45454</v>
      </c>
      <c r="B165" s="17" t="s">
        <v>19</v>
      </c>
      <c r="C165" s="23"/>
      <c r="D165" s="23"/>
      <c r="E165" s="23">
        <f t="shared" si="23"/>
        <v>-31</v>
      </c>
      <c r="G165" s="19"/>
      <c r="H165" s="62">
        <f>C161+I165</f>
        <v>0</v>
      </c>
      <c r="I165" s="20"/>
      <c r="J165" s="21"/>
      <c r="K165" s="42"/>
      <c r="L165" s="23">
        <f t="shared" si="28"/>
        <v>0</v>
      </c>
      <c r="M165" s="23">
        <f t="shared" si="29"/>
        <v>0</v>
      </c>
      <c r="O165" s="52"/>
      <c r="Q165" s="304"/>
      <c r="R165" s="259"/>
      <c r="S165" s="260"/>
      <c r="T165" s="261"/>
      <c r="U165" s="262"/>
      <c r="V165" s="263"/>
      <c r="W165" s="263"/>
    </row>
    <row r="166" spans="1:25" hidden="1" outlineLevel="1">
      <c r="A166" s="96">
        <v>45455</v>
      </c>
      <c r="B166" s="17" t="s">
        <v>20</v>
      </c>
      <c r="C166" s="23"/>
      <c r="D166" s="23"/>
      <c r="E166" s="23">
        <f t="shared" si="23"/>
        <v>-31</v>
      </c>
      <c r="G166" s="19"/>
      <c r="H166" s="62">
        <f>C164+I166</f>
        <v>0</v>
      </c>
      <c r="I166" s="20"/>
      <c r="J166" s="21"/>
      <c r="K166" s="42"/>
      <c r="L166" s="23">
        <f t="shared" si="28"/>
        <v>0</v>
      </c>
      <c r="M166" s="23">
        <f t="shared" si="29"/>
        <v>0</v>
      </c>
      <c r="O166" s="52"/>
      <c r="Q166" s="304"/>
      <c r="R166" s="259"/>
      <c r="S166" s="260"/>
      <c r="T166" s="261"/>
      <c r="U166" s="262"/>
      <c r="V166" s="263"/>
      <c r="W166" s="263"/>
    </row>
    <row r="167" spans="1:25" hidden="1" outlineLevel="1">
      <c r="A167" s="96">
        <v>45456</v>
      </c>
      <c r="B167" s="17" t="s">
        <v>14</v>
      </c>
      <c r="C167" s="23"/>
      <c r="D167" s="23"/>
      <c r="E167" s="23">
        <f t="shared" si="23"/>
        <v>-31</v>
      </c>
      <c r="G167" s="19"/>
      <c r="H167" s="62">
        <f t="shared" ref="H167" si="31">C165+I167</f>
        <v>0</v>
      </c>
      <c r="I167" s="20"/>
      <c r="J167" s="21"/>
      <c r="K167" s="42"/>
      <c r="L167" s="23">
        <f t="shared" si="28"/>
        <v>0</v>
      </c>
      <c r="M167" s="23">
        <f t="shared" si="29"/>
        <v>0</v>
      </c>
      <c r="O167" s="52"/>
      <c r="Q167" s="304"/>
      <c r="R167" s="259"/>
      <c r="S167" s="260"/>
      <c r="T167" s="261"/>
      <c r="U167" s="262"/>
      <c r="V167" s="263"/>
      <c r="W167" s="263"/>
    </row>
    <row r="168" spans="1:25" hidden="1" outlineLevel="1">
      <c r="A168" s="96">
        <v>45457</v>
      </c>
      <c r="B168" s="17" t="s">
        <v>15</v>
      </c>
      <c r="C168" s="23"/>
      <c r="D168" s="23"/>
      <c r="E168" s="23">
        <f t="shared" si="23"/>
        <v>-31</v>
      </c>
      <c r="G168" s="19"/>
      <c r="H168" s="62">
        <f>C166+I168</f>
        <v>0</v>
      </c>
      <c r="I168" s="20"/>
      <c r="J168" s="21"/>
      <c r="K168" s="42"/>
      <c r="L168" s="23">
        <f t="shared" si="28"/>
        <v>0</v>
      </c>
      <c r="M168" s="23">
        <f t="shared" si="29"/>
        <v>0</v>
      </c>
      <c r="O168" s="52"/>
      <c r="Q168" s="304"/>
      <c r="R168" s="259"/>
      <c r="S168" s="260"/>
      <c r="T168" s="261"/>
      <c r="U168" s="262"/>
      <c r="V168" s="263"/>
      <c r="W168" s="263"/>
    </row>
    <row r="169" spans="1:25" s="12" customFormat="1" hidden="1" outlineLevel="1" collapsed="1">
      <c r="A169" s="95">
        <v>45458</v>
      </c>
      <c r="B169" s="25" t="s">
        <v>16</v>
      </c>
      <c r="C169" s="29"/>
      <c r="D169" s="29"/>
      <c r="E169" s="29">
        <f t="shared" si="23"/>
        <v>-31</v>
      </c>
      <c r="G169" s="64"/>
      <c r="H169" s="63"/>
      <c r="I169" s="27"/>
      <c r="J169" s="28"/>
      <c r="K169" s="43"/>
      <c r="L169" s="29">
        <f t="shared" si="28"/>
        <v>0</v>
      </c>
      <c r="M169" s="29">
        <f t="shared" si="29"/>
        <v>0</v>
      </c>
      <c r="O169" s="54"/>
      <c r="Q169" s="304"/>
      <c r="R169" s="259"/>
      <c r="S169" s="260"/>
      <c r="T169" s="261"/>
      <c r="U169" s="262"/>
      <c r="V169" s="263"/>
      <c r="W169" s="263"/>
      <c r="Y169" s="11"/>
    </row>
    <row r="170" spans="1:25" s="12" customFormat="1" hidden="1" outlineLevel="1">
      <c r="A170" s="95">
        <v>45459</v>
      </c>
      <c r="B170" s="25" t="s">
        <v>17</v>
      </c>
      <c r="C170" s="29"/>
      <c r="D170" s="29"/>
      <c r="E170" s="29">
        <f t="shared" si="23"/>
        <v>-31</v>
      </c>
      <c r="G170" s="64"/>
      <c r="H170" s="63"/>
      <c r="I170" s="27"/>
      <c r="J170" s="28"/>
      <c r="K170" s="43"/>
      <c r="L170" s="29">
        <f t="shared" si="28"/>
        <v>0</v>
      </c>
      <c r="M170" s="29">
        <f t="shared" si="29"/>
        <v>0</v>
      </c>
      <c r="O170" s="54"/>
      <c r="Q170" s="304"/>
      <c r="R170" s="259"/>
      <c r="S170" s="260"/>
      <c r="T170" s="261"/>
      <c r="U170" s="262"/>
      <c r="V170" s="263"/>
      <c r="W170" s="263"/>
      <c r="Y170" s="11"/>
    </row>
    <row r="171" spans="1:25" hidden="1" outlineLevel="1">
      <c r="A171" s="96">
        <v>45460</v>
      </c>
      <c r="B171" s="17" t="s">
        <v>18</v>
      </c>
      <c r="C171" s="23"/>
      <c r="D171" s="23"/>
      <c r="E171" s="23">
        <f t="shared" si="23"/>
        <v>-31</v>
      </c>
      <c r="G171" s="19">
        <v>0</v>
      </c>
      <c r="H171" s="62">
        <f>C167+I171</f>
        <v>0</v>
      </c>
      <c r="I171" s="20"/>
      <c r="J171" s="21"/>
      <c r="K171" s="42"/>
      <c r="L171" s="23">
        <f t="shared" si="28"/>
        <v>0</v>
      </c>
      <c r="M171" s="23">
        <f t="shared" si="29"/>
        <v>0</v>
      </c>
      <c r="O171" s="52"/>
      <c r="Q171" s="304"/>
      <c r="R171" s="259"/>
      <c r="S171" s="260"/>
      <c r="T171" s="261"/>
      <c r="U171" s="262"/>
      <c r="V171" s="263"/>
      <c r="W171" s="263"/>
    </row>
    <row r="172" spans="1:25" hidden="1" outlineLevel="1">
      <c r="A172" s="96">
        <v>45461</v>
      </c>
      <c r="B172" s="17" t="s">
        <v>19</v>
      </c>
      <c r="C172" s="23"/>
      <c r="D172" s="23"/>
      <c r="E172" s="23">
        <f t="shared" si="23"/>
        <v>-31</v>
      </c>
      <c r="G172" s="19">
        <v>0</v>
      </c>
      <c r="H172" s="62">
        <f>C168+I172</f>
        <v>0</v>
      </c>
      <c r="I172" s="20"/>
      <c r="J172" s="21"/>
      <c r="K172" s="42"/>
      <c r="L172" s="23">
        <f t="shared" si="28"/>
        <v>0</v>
      </c>
      <c r="M172" s="23">
        <f t="shared" si="29"/>
        <v>0</v>
      </c>
      <c r="O172" s="52"/>
      <c r="Q172" s="304"/>
      <c r="R172" s="259"/>
      <c r="S172" s="260"/>
      <c r="T172" s="261"/>
      <c r="U172" s="262"/>
      <c r="V172" s="263"/>
      <c r="W172" s="263"/>
    </row>
    <row r="173" spans="1:25" hidden="1" outlineLevel="1">
      <c r="A173" s="96">
        <v>45462</v>
      </c>
      <c r="B173" s="17" t="s">
        <v>20</v>
      </c>
      <c r="C173" s="23"/>
      <c r="D173" s="23"/>
      <c r="E173" s="23">
        <f t="shared" si="23"/>
        <v>-31</v>
      </c>
      <c r="G173" s="19">
        <v>0</v>
      </c>
      <c r="H173" s="62">
        <f>C171+I173</f>
        <v>0</v>
      </c>
      <c r="I173" s="20"/>
      <c r="J173" s="21"/>
      <c r="K173" s="42"/>
      <c r="L173" s="23">
        <f t="shared" si="28"/>
        <v>0</v>
      </c>
      <c r="M173" s="23">
        <f t="shared" si="29"/>
        <v>0</v>
      </c>
      <c r="O173" s="52"/>
      <c r="Q173" s="304"/>
      <c r="R173" s="259"/>
      <c r="S173" s="260"/>
      <c r="T173" s="261"/>
      <c r="U173" s="262"/>
      <c r="V173" s="263"/>
      <c r="W173" s="263"/>
    </row>
    <row r="174" spans="1:25" hidden="1" outlineLevel="1">
      <c r="A174" s="96">
        <v>45463</v>
      </c>
      <c r="B174" s="17" t="s">
        <v>14</v>
      </c>
      <c r="C174" s="23"/>
      <c r="D174" s="23"/>
      <c r="E174" s="23">
        <f t="shared" si="23"/>
        <v>-31</v>
      </c>
      <c r="G174" s="19">
        <v>0</v>
      </c>
      <c r="H174" s="62">
        <f t="shared" ref="H174" si="32">C172+I174</f>
        <v>0</v>
      </c>
      <c r="I174" s="20"/>
      <c r="J174" s="21"/>
      <c r="K174" s="42"/>
      <c r="L174" s="23">
        <f t="shared" si="28"/>
        <v>0</v>
      </c>
      <c r="M174" s="23">
        <f t="shared" si="29"/>
        <v>0</v>
      </c>
      <c r="O174" s="52"/>
      <c r="Q174" s="304"/>
      <c r="R174" s="259"/>
      <c r="S174" s="260"/>
      <c r="T174" s="261"/>
      <c r="U174" s="262"/>
      <c r="V174" s="263"/>
      <c r="W174" s="263"/>
    </row>
    <row r="175" spans="1:25" hidden="1" outlineLevel="1">
      <c r="A175" s="96">
        <v>45464</v>
      </c>
      <c r="B175" s="17" t="s">
        <v>15</v>
      </c>
      <c r="C175" s="23"/>
      <c r="D175" s="23"/>
      <c r="E175" s="23">
        <f t="shared" si="23"/>
        <v>-31</v>
      </c>
      <c r="G175" s="19">
        <v>0</v>
      </c>
      <c r="H175" s="62">
        <f>C173+I175</f>
        <v>0</v>
      </c>
      <c r="I175" s="20"/>
      <c r="J175" s="21"/>
      <c r="K175" s="42"/>
      <c r="L175" s="23">
        <f t="shared" si="28"/>
        <v>0</v>
      </c>
      <c r="M175" s="23">
        <f t="shared" si="29"/>
        <v>0</v>
      </c>
      <c r="O175" s="52"/>
      <c r="Q175" s="304"/>
      <c r="R175" s="259"/>
      <c r="S175" s="260"/>
      <c r="T175" s="261"/>
      <c r="U175" s="262"/>
      <c r="V175" s="263"/>
      <c r="W175" s="263"/>
    </row>
    <row r="176" spans="1:25" s="12" customFormat="1" hidden="1" outlineLevel="1">
      <c r="A176" s="95">
        <v>45465</v>
      </c>
      <c r="B176" s="25" t="s">
        <v>16</v>
      </c>
      <c r="C176" s="29"/>
      <c r="D176" s="29"/>
      <c r="E176" s="29">
        <f t="shared" si="23"/>
        <v>-31</v>
      </c>
      <c r="G176" s="64"/>
      <c r="H176" s="63"/>
      <c r="I176" s="27"/>
      <c r="J176" s="28"/>
      <c r="K176" s="43"/>
      <c r="L176" s="29">
        <f t="shared" si="28"/>
        <v>0</v>
      </c>
      <c r="M176" s="29">
        <f t="shared" si="29"/>
        <v>0</v>
      </c>
      <c r="O176" s="54"/>
      <c r="Q176" s="304"/>
      <c r="R176" s="259"/>
      <c r="S176" s="260"/>
      <c r="T176" s="261"/>
      <c r="U176" s="262"/>
      <c r="V176" s="263"/>
      <c r="W176" s="263"/>
      <c r="Y176" s="11"/>
    </row>
    <row r="177" spans="1:25" s="12" customFormat="1" hidden="1" outlineLevel="1">
      <c r="A177" s="95">
        <v>45466</v>
      </c>
      <c r="B177" s="25" t="s">
        <v>17</v>
      </c>
      <c r="C177" s="29"/>
      <c r="D177" s="29"/>
      <c r="E177" s="29">
        <f t="shared" si="23"/>
        <v>-31</v>
      </c>
      <c r="G177" s="64"/>
      <c r="H177" s="63"/>
      <c r="I177" s="27"/>
      <c r="J177" s="28"/>
      <c r="K177" s="43"/>
      <c r="L177" s="29">
        <f t="shared" si="28"/>
        <v>0</v>
      </c>
      <c r="M177" s="29">
        <f t="shared" si="29"/>
        <v>0</v>
      </c>
      <c r="O177" s="54"/>
      <c r="Q177" s="304"/>
      <c r="R177" s="259"/>
      <c r="S177" s="260"/>
      <c r="T177" s="261"/>
      <c r="U177" s="262"/>
      <c r="V177" s="263"/>
      <c r="W177" s="263"/>
      <c r="Y177" s="11"/>
    </row>
    <row r="178" spans="1:25" hidden="1" outlineLevel="1">
      <c r="A178" s="96">
        <v>45467</v>
      </c>
      <c r="B178" s="17" t="s">
        <v>18</v>
      </c>
      <c r="C178" s="23"/>
      <c r="D178" s="23"/>
      <c r="E178" s="23">
        <f t="shared" si="23"/>
        <v>-31</v>
      </c>
      <c r="G178" s="19">
        <v>0</v>
      </c>
      <c r="H178" s="62">
        <f>C174+I178</f>
        <v>0</v>
      </c>
      <c r="I178" s="20"/>
      <c r="J178" s="21"/>
      <c r="K178" s="42"/>
      <c r="L178" s="23">
        <f t="shared" si="28"/>
        <v>0</v>
      </c>
      <c r="M178" s="23">
        <f t="shared" si="29"/>
        <v>0</v>
      </c>
      <c r="O178" s="52"/>
      <c r="Q178" s="304"/>
      <c r="R178" s="259"/>
      <c r="S178" s="260"/>
      <c r="T178" s="261"/>
      <c r="U178" s="262"/>
      <c r="V178" s="263"/>
      <c r="W178" s="263"/>
    </row>
    <row r="179" spans="1:25" hidden="1" outlineLevel="1">
      <c r="A179" s="96">
        <v>45468</v>
      </c>
      <c r="B179" s="17" t="s">
        <v>19</v>
      </c>
      <c r="C179" s="23"/>
      <c r="D179" s="23"/>
      <c r="E179" s="23">
        <f t="shared" si="23"/>
        <v>-31</v>
      </c>
      <c r="G179" s="19">
        <v>0</v>
      </c>
      <c r="H179" s="62">
        <f>C175+I179</f>
        <v>0</v>
      </c>
      <c r="I179" s="20"/>
      <c r="J179" s="21"/>
      <c r="K179" s="42"/>
      <c r="L179" s="23">
        <f t="shared" si="28"/>
        <v>0</v>
      </c>
      <c r="M179" s="23">
        <f t="shared" si="29"/>
        <v>0</v>
      </c>
      <c r="O179" s="52"/>
      <c r="Q179" s="304"/>
      <c r="R179" s="259"/>
      <c r="S179" s="260"/>
      <c r="T179" s="261"/>
      <c r="U179" s="262"/>
      <c r="V179" s="263"/>
      <c r="W179" s="263"/>
    </row>
    <row r="180" spans="1:25" hidden="1" outlineLevel="1">
      <c r="A180" s="96">
        <v>45469</v>
      </c>
      <c r="B180" s="17" t="s">
        <v>20</v>
      </c>
      <c r="C180" s="23"/>
      <c r="D180" s="23"/>
      <c r="E180" s="23">
        <f t="shared" si="23"/>
        <v>-31</v>
      </c>
      <c r="G180" s="19">
        <v>0</v>
      </c>
      <c r="H180" s="62">
        <f>C178+I180</f>
        <v>0</v>
      </c>
      <c r="I180" s="20"/>
      <c r="J180" s="21"/>
      <c r="K180" s="42"/>
      <c r="L180" s="23">
        <f t="shared" si="28"/>
        <v>0</v>
      </c>
      <c r="M180" s="23">
        <f t="shared" si="29"/>
        <v>0</v>
      </c>
      <c r="O180" s="52"/>
      <c r="Q180" s="304"/>
      <c r="R180" s="259"/>
      <c r="S180" s="260"/>
      <c r="T180" s="261"/>
      <c r="U180" s="262"/>
      <c r="V180" s="263"/>
      <c r="W180" s="263"/>
    </row>
    <row r="181" spans="1:25" hidden="1" outlineLevel="1">
      <c r="A181" s="96">
        <v>45470</v>
      </c>
      <c r="B181" s="17" t="s">
        <v>14</v>
      </c>
      <c r="C181" s="23"/>
      <c r="D181" s="23"/>
      <c r="E181" s="23">
        <f t="shared" si="23"/>
        <v>-31</v>
      </c>
      <c r="G181" s="19">
        <v>0</v>
      </c>
      <c r="H181" s="62">
        <f t="shared" ref="H181" si="33">C179+I181</f>
        <v>0</v>
      </c>
      <c r="I181" s="20"/>
      <c r="J181" s="21"/>
      <c r="K181" s="42"/>
      <c r="L181" s="23">
        <f t="shared" si="28"/>
        <v>0</v>
      </c>
      <c r="M181" s="23">
        <f t="shared" si="29"/>
        <v>0</v>
      </c>
      <c r="O181" s="52"/>
      <c r="Q181" s="304"/>
      <c r="R181" s="259"/>
      <c r="S181" s="260"/>
      <c r="T181" s="261"/>
      <c r="U181" s="262"/>
      <c r="V181" s="263"/>
      <c r="W181" s="263"/>
    </row>
    <row r="182" spans="1:25" hidden="1" outlineLevel="1">
      <c r="A182" s="96">
        <v>45471</v>
      </c>
      <c r="B182" s="17" t="s">
        <v>15</v>
      </c>
      <c r="C182" s="23"/>
      <c r="D182" s="23"/>
      <c r="E182" s="23">
        <f t="shared" si="23"/>
        <v>-31</v>
      </c>
      <c r="G182" s="19">
        <v>0</v>
      </c>
      <c r="H182" s="62">
        <f>C180+I182</f>
        <v>0</v>
      </c>
      <c r="I182" s="20"/>
      <c r="J182" s="21"/>
      <c r="K182" s="42"/>
      <c r="L182" s="23">
        <f t="shared" si="28"/>
        <v>0</v>
      </c>
      <c r="M182" s="23">
        <f t="shared" si="29"/>
        <v>0</v>
      </c>
      <c r="O182" s="52"/>
      <c r="Q182" s="304"/>
      <c r="R182" s="259"/>
      <c r="S182" s="260"/>
      <c r="T182" s="261"/>
      <c r="U182" s="262"/>
      <c r="V182" s="263"/>
      <c r="W182" s="263"/>
    </row>
    <row r="183" spans="1:25" s="12" customFormat="1" hidden="1" outlineLevel="1">
      <c r="A183" s="95">
        <v>45472</v>
      </c>
      <c r="B183" s="25" t="s">
        <v>16</v>
      </c>
      <c r="C183" s="29"/>
      <c r="D183" s="29"/>
      <c r="E183" s="29">
        <f t="shared" si="23"/>
        <v>-31</v>
      </c>
      <c r="G183" s="64"/>
      <c r="H183" s="63"/>
      <c r="I183" s="27"/>
      <c r="J183" s="28"/>
      <c r="K183" s="43"/>
      <c r="L183" s="29">
        <f t="shared" si="28"/>
        <v>0</v>
      </c>
      <c r="M183" s="29">
        <f t="shared" si="29"/>
        <v>0</v>
      </c>
      <c r="O183" s="54"/>
      <c r="Q183" s="304"/>
      <c r="R183" s="259"/>
      <c r="S183" s="260"/>
      <c r="T183" s="261"/>
      <c r="U183" s="262"/>
      <c r="V183" s="263"/>
      <c r="W183" s="263"/>
      <c r="Y183" s="11"/>
    </row>
    <row r="184" spans="1:25" s="12" customFormat="1" hidden="1" outlineLevel="1">
      <c r="A184" s="95">
        <v>45473</v>
      </c>
      <c r="B184" s="25" t="s">
        <v>17</v>
      </c>
      <c r="C184" s="29"/>
      <c r="D184" s="29"/>
      <c r="E184" s="29">
        <f t="shared" si="23"/>
        <v>-31</v>
      </c>
      <c r="G184" s="64"/>
      <c r="H184" s="63"/>
      <c r="I184" s="27"/>
      <c r="J184" s="28"/>
      <c r="K184" s="43"/>
      <c r="L184" s="29">
        <f t="shared" si="28"/>
        <v>0</v>
      </c>
      <c r="M184" s="29">
        <f t="shared" si="29"/>
        <v>0</v>
      </c>
      <c r="O184" s="54"/>
      <c r="Q184" s="304"/>
      <c r="R184" s="259"/>
      <c r="S184" s="260"/>
      <c r="T184" s="261"/>
      <c r="U184" s="262"/>
      <c r="V184" s="263"/>
      <c r="W184" s="263"/>
      <c r="Y184" s="11"/>
    </row>
    <row r="185" spans="1:25" hidden="1" outlineLevel="1">
      <c r="A185" s="96">
        <v>45474</v>
      </c>
      <c r="B185" s="17" t="s">
        <v>18</v>
      </c>
      <c r="C185" s="23"/>
      <c r="D185" s="23"/>
      <c r="E185" s="23">
        <f t="shared" si="23"/>
        <v>-31</v>
      </c>
      <c r="G185" s="19">
        <v>0</v>
      </c>
      <c r="H185" s="62">
        <f>C181+I185</f>
        <v>0</v>
      </c>
      <c r="I185" s="20"/>
      <c r="J185" s="21"/>
      <c r="K185" s="42"/>
      <c r="L185" s="23">
        <f t="shared" si="28"/>
        <v>0</v>
      </c>
      <c r="M185" s="23">
        <f t="shared" si="29"/>
        <v>0</v>
      </c>
      <c r="O185" s="52"/>
      <c r="Q185" s="304"/>
      <c r="R185" s="259"/>
      <c r="S185" s="260"/>
      <c r="T185" s="261"/>
      <c r="U185" s="262"/>
      <c r="V185" s="263"/>
      <c r="W185" s="263"/>
    </row>
    <row r="186" spans="1:25" hidden="1" outlineLevel="1">
      <c r="A186" s="96">
        <v>45475</v>
      </c>
      <c r="B186" s="17" t="s">
        <v>19</v>
      </c>
      <c r="C186" s="23"/>
      <c r="D186" s="23"/>
      <c r="E186" s="23">
        <f t="shared" si="23"/>
        <v>-31</v>
      </c>
      <c r="G186" s="19">
        <v>0</v>
      </c>
      <c r="H186" s="62">
        <f>C182+I186</f>
        <v>0</v>
      </c>
      <c r="I186" s="20"/>
      <c r="J186" s="21"/>
      <c r="K186" s="42"/>
      <c r="L186" s="23">
        <f t="shared" ref="L186:L247" si="34">L185-G186+K186</f>
        <v>0</v>
      </c>
      <c r="M186" s="23">
        <f t="shared" ref="M186:M247" si="35">M185-G186+H186</f>
        <v>0</v>
      </c>
      <c r="O186" s="52"/>
      <c r="Q186" s="304"/>
      <c r="R186" s="259"/>
      <c r="S186" s="260"/>
      <c r="T186" s="261"/>
      <c r="U186" s="262"/>
      <c r="V186" s="263"/>
      <c r="W186" s="263"/>
    </row>
    <row r="187" spans="1:25" hidden="1" outlineLevel="1">
      <c r="A187" s="96">
        <v>45476</v>
      </c>
      <c r="B187" s="17" t="s">
        <v>20</v>
      </c>
      <c r="C187" s="23"/>
      <c r="D187" s="23"/>
      <c r="E187" s="23">
        <f t="shared" si="23"/>
        <v>-31</v>
      </c>
      <c r="G187" s="19">
        <v>0</v>
      </c>
      <c r="H187" s="62">
        <f>C185+I187</f>
        <v>0</v>
      </c>
      <c r="I187" s="20"/>
      <c r="J187" s="21"/>
      <c r="K187" s="42"/>
      <c r="L187" s="23">
        <f t="shared" si="34"/>
        <v>0</v>
      </c>
      <c r="M187" s="23">
        <f t="shared" si="35"/>
        <v>0</v>
      </c>
      <c r="O187" s="52"/>
      <c r="Q187" s="304"/>
      <c r="R187" s="259"/>
      <c r="S187" s="260"/>
      <c r="T187" s="261"/>
      <c r="U187" s="262"/>
      <c r="V187" s="263"/>
      <c r="W187" s="263"/>
    </row>
    <row r="188" spans="1:25" hidden="1" outlineLevel="1">
      <c r="A188" s="96">
        <v>45477</v>
      </c>
      <c r="B188" s="17" t="s">
        <v>14</v>
      </c>
      <c r="C188" s="23"/>
      <c r="D188" s="23"/>
      <c r="E188" s="23">
        <f t="shared" si="23"/>
        <v>-31</v>
      </c>
      <c r="G188" s="19">
        <v>0</v>
      </c>
      <c r="H188" s="62">
        <f t="shared" ref="H188" si="36">C186+I188</f>
        <v>0</v>
      </c>
      <c r="I188" s="20"/>
      <c r="J188" s="21"/>
      <c r="K188" s="42"/>
      <c r="L188" s="23">
        <f t="shared" si="34"/>
        <v>0</v>
      </c>
      <c r="M188" s="23">
        <f t="shared" si="35"/>
        <v>0</v>
      </c>
      <c r="O188" s="52"/>
      <c r="Q188" s="304"/>
      <c r="R188" s="259"/>
      <c r="S188" s="260"/>
      <c r="T188" s="261"/>
      <c r="U188" s="262"/>
      <c r="V188" s="263"/>
      <c r="W188" s="263"/>
    </row>
    <row r="189" spans="1:25" hidden="1" outlineLevel="1">
      <c r="A189" s="96">
        <v>45478</v>
      </c>
      <c r="B189" s="17" t="s">
        <v>15</v>
      </c>
      <c r="C189" s="23"/>
      <c r="D189" s="23"/>
      <c r="E189" s="23">
        <f t="shared" si="23"/>
        <v>-31</v>
      </c>
      <c r="G189" s="19">
        <v>0</v>
      </c>
      <c r="H189" s="62">
        <f>C187+I189</f>
        <v>0</v>
      </c>
      <c r="I189" s="20"/>
      <c r="J189" s="21"/>
      <c r="K189" s="42"/>
      <c r="L189" s="23">
        <f t="shared" si="34"/>
        <v>0</v>
      </c>
      <c r="M189" s="23">
        <f t="shared" si="35"/>
        <v>0</v>
      </c>
      <c r="O189" s="52"/>
      <c r="Q189" s="304"/>
      <c r="R189" s="259"/>
      <c r="S189" s="260"/>
      <c r="T189" s="261"/>
      <c r="U189" s="262"/>
      <c r="V189" s="263"/>
      <c r="W189" s="263"/>
    </row>
    <row r="190" spans="1:25" s="12" customFormat="1" hidden="1" outlineLevel="1">
      <c r="A190" s="95">
        <v>45479</v>
      </c>
      <c r="B190" s="25" t="s">
        <v>16</v>
      </c>
      <c r="C190" s="29"/>
      <c r="D190" s="29"/>
      <c r="E190" s="29">
        <f t="shared" si="23"/>
        <v>-31</v>
      </c>
      <c r="G190" s="64"/>
      <c r="H190" s="63"/>
      <c r="I190" s="27"/>
      <c r="J190" s="28"/>
      <c r="K190" s="43"/>
      <c r="L190" s="29">
        <f t="shared" si="34"/>
        <v>0</v>
      </c>
      <c r="M190" s="29">
        <f t="shared" si="35"/>
        <v>0</v>
      </c>
      <c r="O190" s="54"/>
      <c r="Q190" s="304"/>
      <c r="R190" s="259"/>
      <c r="S190" s="260"/>
      <c r="T190" s="261"/>
      <c r="U190" s="262"/>
      <c r="V190" s="263"/>
      <c r="W190" s="263"/>
      <c r="Y190" s="11"/>
    </row>
    <row r="191" spans="1:25" s="12" customFormat="1" hidden="1" outlineLevel="1">
      <c r="A191" s="95">
        <v>45480</v>
      </c>
      <c r="B191" s="25" t="s">
        <v>17</v>
      </c>
      <c r="C191" s="29"/>
      <c r="D191" s="29"/>
      <c r="E191" s="29">
        <f t="shared" si="23"/>
        <v>-31</v>
      </c>
      <c r="G191" s="64"/>
      <c r="H191" s="63"/>
      <c r="I191" s="27"/>
      <c r="J191" s="28"/>
      <c r="K191" s="43"/>
      <c r="L191" s="29">
        <f t="shared" si="34"/>
        <v>0</v>
      </c>
      <c r="M191" s="29">
        <f t="shared" si="35"/>
        <v>0</v>
      </c>
      <c r="O191" s="54"/>
      <c r="Q191" s="304"/>
      <c r="R191" s="259"/>
      <c r="S191" s="260"/>
      <c r="T191" s="261"/>
      <c r="U191" s="262"/>
      <c r="V191" s="263"/>
      <c r="W191" s="263"/>
      <c r="Y191" s="11"/>
    </row>
    <row r="192" spans="1:25" hidden="1" outlineLevel="1">
      <c r="A192" s="96">
        <v>45481</v>
      </c>
      <c r="B192" s="17" t="s">
        <v>18</v>
      </c>
      <c r="C192" s="23"/>
      <c r="D192" s="23"/>
      <c r="E192" s="23">
        <f t="shared" si="23"/>
        <v>-31</v>
      </c>
      <c r="G192" s="19">
        <v>0</v>
      </c>
      <c r="H192" s="62">
        <f>C188+I192</f>
        <v>0</v>
      </c>
      <c r="I192" s="20"/>
      <c r="J192" s="21"/>
      <c r="K192" s="42"/>
      <c r="L192" s="23">
        <f t="shared" si="34"/>
        <v>0</v>
      </c>
      <c r="M192" s="23">
        <f t="shared" si="35"/>
        <v>0</v>
      </c>
      <c r="O192" s="52"/>
      <c r="Q192" s="304"/>
      <c r="R192" s="259"/>
      <c r="S192" s="260"/>
      <c r="T192" s="261"/>
      <c r="U192" s="262"/>
      <c r="V192" s="263"/>
      <c r="W192" s="263"/>
    </row>
    <row r="193" spans="1:25" hidden="1" outlineLevel="1">
      <c r="A193" s="96">
        <v>45482</v>
      </c>
      <c r="B193" s="17" t="s">
        <v>19</v>
      </c>
      <c r="C193" s="23"/>
      <c r="D193" s="23"/>
      <c r="E193" s="23">
        <f t="shared" si="23"/>
        <v>-31</v>
      </c>
      <c r="G193" s="19">
        <v>0</v>
      </c>
      <c r="H193" s="62">
        <f>C189+I193</f>
        <v>0</v>
      </c>
      <c r="I193" s="20"/>
      <c r="J193" s="21"/>
      <c r="K193" s="42"/>
      <c r="L193" s="23">
        <f t="shared" si="34"/>
        <v>0</v>
      </c>
      <c r="M193" s="23">
        <f t="shared" si="35"/>
        <v>0</v>
      </c>
      <c r="O193" s="52"/>
      <c r="Q193" s="304"/>
      <c r="R193" s="259"/>
      <c r="S193" s="260"/>
      <c r="T193" s="261"/>
      <c r="U193" s="262"/>
      <c r="V193" s="263"/>
      <c r="W193" s="263"/>
    </row>
    <row r="194" spans="1:25" hidden="1" outlineLevel="1">
      <c r="A194" s="96">
        <v>45483</v>
      </c>
      <c r="B194" s="17" t="s">
        <v>20</v>
      </c>
      <c r="C194" s="23"/>
      <c r="D194" s="23"/>
      <c r="E194" s="23">
        <f t="shared" si="23"/>
        <v>-31</v>
      </c>
      <c r="G194" s="19">
        <v>0</v>
      </c>
      <c r="H194" s="62">
        <f>C192+I194</f>
        <v>0</v>
      </c>
      <c r="I194" s="20"/>
      <c r="J194" s="21"/>
      <c r="K194" s="42"/>
      <c r="L194" s="23">
        <f t="shared" si="34"/>
        <v>0</v>
      </c>
      <c r="M194" s="23">
        <f t="shared" si="35"/>
        <v>0</v>
      </c>
      <c r="O194" s="52"/>
      <c r="Q194" s="304"/>
      <c r="R194" s="259"/>
      <c r="S194" s="260"/>
      <c r="T194" s="261"/>
      <c r="U194" s="262"/>
      <c r="V194" s="263"/>
      <c r="W194" s="263"/>
    </row>
    <row r="195" spans="1:25" hidden="1" outlineLevel="1">
      <c r="A195" s="96">
        <v>45484</v>
      </c>
      <c r="B195" s="17" t="s">
        <v>14</v>
      </c>
      <c r="C195" s="23"/>
      <c r="D195" s="23"/>
      <c r="E195" s="23">
        <f t="shared" si="23"/>
        <v>-31</v>
      </c>
      <c r="G195" s="19">
        <v>0</v>
      </c>
      <c r="H195" s="62">
        <f t="shared" ref="H195" si="37">C193+I195</f>
        <v>0</v>
      </c>
      <c r="I195" s="20"/>
      <c r="J195" s="21"/>
      <c r="K195" s="42"/>
      <c r="L195" s="23">
        <f t="shared" si="34"/>
        <v>0</v>
      </c>
      <c r="M195" s="23">
        <f t="shared" si="35"/>
        <v>0</v>
      </c>
      <c r="O195" s="52"/>
      <c r="Q195" s="304"/>
      <c r="R195" s="259"/>
      <c r="S195" s="260"/>
      <c r="T195" s="261"/>
      <c r="U195" s="262"/>
      <c r="V195" s="263"/>
      <c r="W195" s="263"/>
    </row>
    <row r="196" spans="1:25" hidden="1" outlineLevel="1">
      <c r="A196" s="96">
        <v>45485</v>
      </c>
      <c r="B196" s="17" t="s">
        <v>15</v>
      </c>
      <c r="C196" s="23"/>
      <c r="D196" s="23"/>
      <c r="E196" s="23">
        <f t="shared" ref="E196:E259" si="38">E195-C196+D196</f>
        <v>-31</v>
      </c>
      <c r="G196" s="19">
        <v>0</v>
      </c>
      <c r="H196" s="62">
        <f>C194+I196</f>
        <v>0</v>
      </c>
      <c r="I196" s="20"/>
      <c r="J196" s="21"/>
      <c r="K196" s="42"/>
      <c r="L196" s="23">
        <f t="shared" si="34"/>
        <v>0</v>
      </c>
      <c r="M196" s="23">
        <f t="shared" si="35"/>
        <v>0</v>
      </c>
      <c r="O196" s="52"/>
      <c r="Q196" s="304"/>
      <c r="R196" s="259"/>
      <c r="S196" s="260"/>
      <c r="T196" s="261"/>
      <c r="U196" s="262"/>
      <c r="V196" s="263"/>
      <c r="W196" s="263"/>
    </row>
    <row r="197" spans="1:25" s="12" customFormat="1" hidden="1" outlineLevel="1">
      <c r="A197" s="95">
        <v>45486</v>
      </c>
      <c r="B197" s="25" t="s">
        <v>16</v>
      </c>
      <c r="C197" s="29"/>
      <c r="D197" s="29"/>
      <c r="E197" s="29">
        <f t="shared" si="38"/>
        <v>-31</v>
      </c>
      <c r="G197" s="64"/>
      <c r="H197" s="63"/>
      <c r="I197" s="27"/>
      <c r="J197" s="28"/>
      <c r="K197" s="43"/>
      <c r="L197" s="29">
        <f t="shared" si="34"/>
        <v>0</v>
      </c>
      <c r="M197" s="29">
        <f t="shared" si="35"/>
        <v>0</v>
      </c>
      <c r="O197" s="54"/>
      <c r="Q197" s="304"/>
      <c r="R197" s="259"/>
      <c r="S197" s="260"/>
      <c r="T197" s="261"/>
      <c r="U197" s="262"/>
      <c r="V197" s="263"/>
      <c r="W197" s="263"/>
      <c r="Y197" s="11"/>
    </row>
    <row r="198" spans="1:25" s="12" customFormat="1" hidden="1" outlineLevel="1">
      <c r="A198" s="95">
        <v>45487</v>
      </c>
      <c r="B198" s="25" t="s">
        <v>17</v>
      </c>
      <c r="C198" s="29"/>
      <c r="D198" s="29"/>
      <c r="E198" s="29">
        <f t="shared" si="38"/>
        <v>-31</v>
      </c>
      <c r="G198" s="64"/>
      <c r="H198" s="63"/>
      <c r="I198" s="27"/>
      <c r="J198" s="28"/>
      <c r="K198" s="43"/>
      <c r="L198" s="29">
        <f t="shared" si="34"/>
        <v>0</v>
      </c>
      <c r="M198" s="29">
        <f t="shared" si="35"/>
        <v>0</v>
      </c>
      <c r="O198" s="54"/>
      <c r="Q198" s="304"/>
      <c r="R198" s="259"/>
      <c r="S198" s="260"/>
      <c r="T198" s="261"/>
      <c r="U198" s="262"/>
      <c r="V198" s="263"/>
      <c r="W198" s="263"/>
      <c r="Y198" s="11"/>
    </row>
    <row r="199" spans="1:25" s="12" customFormat="1" hidden="1" outlineLevel="1">
      <c r="A199" s="95">
        <v>45488</v>
      </c>
      <c r="B199" s="25" t="s">
        <v>18</v>
      </c>
      <c r="C199" s="29"/>
      <c r="D199" s="29"/>
      <c r="E199" s="29">
        <f t="shared" si="38"/>
        <v>-31</v>
      </c>
      <c r="G199" s="64"/>
      <c r="H199" s="63"/>
      <c r="I199" s="27"/>
      <c r="J199" s="28"/>
      <c r="K199" s="43"/>
      <c r="L199" s="29">
        <f t="shared" si="34"/>
        <v>0</v>
      </c>
      <c r="M199" s="29">
        <f t="shared" si="35"/>
        <v>0</v>
      </c>
      <c r="O199" s="54"/>
      <c r="Q199" s="304"/>
      <c r="R199" s="259"/>
      <c r="S199" s="260"/>
      <c r="T199" s="261"/>
      <c r="U199" s="262"/>
      <c r="V199" s="263"/>
      <c r="W199" s="263"/>
      <c r="Y199" s="11"/>
    </row>
    <row r="200" spans="1:25" hidden="1" outlineLevel="1">
      <c r="A200" s="96">
        <v>45489</v>
      </c>
      <c r="B200" s="17" t="s">
        <v>19</v>
      </c>
      <c r="C200" s="23"/>
      <c r="D200" s="23"/>
      <c r="E200" s="23">
        <f t="shared" si="38"/>
        <v>-31</v>
      </c>
      <c r="G200" s="19">
        <v>0</v>
      </c>
      <c r="H200" s="62">
        <f>C195+I200</f>
        <v>0</v>
      </c>
      <c r="I200" s="20"/>
      <c r="J200" s="21"/>
      <c r="K200" s="42"/>
      <c r="L200" s="23">
        <f t="shared" si="34"/>
        <v>0</v>
      </c>
      <c r="M200" s="23">
        <f t="shared" si="35"/>
        <v>0</v>
      </c>
      <c r="O200" s="52"/>
      <c r="Q200" s="304"/>
      <c r="R200" s="259"/>
      <c r="S200" s="260"/>
      <c r="T200" s="261"/>
      <c r="U200" s="262"/>
      <c r="V200" s="263"/>
      <c r="W200" s="263"/>
    </row>
    <row r="201" spans="1:25" hidden="1" outlineLevel="1">
      <c r="A201" s="96">
        <v>45490</v>
      </c>
      <c r="B201" s="17" t="s">
        <v>20</v>
      </c>
      <c r="C201" s="23"/>
      <c r="D201" s="23"/>
      <c r="E201" s="23">
        <f t="shared" si="38"/>
        <v>-31</v>
      </c>
      <c r="G201" s="19">
        <v>0</v>
      </c>
      <c r="H201" s="62">
        <f>C196+I201</f>
        <v>0</v>
      </c>
      <c r="I201" s="20"/>
      <c r="J201" s="21"/>
      <c r="K201" s="42"/>
      <c r="L201" s="23">
        <f t="shared" si="34"/>
        <v>0</v>
      </c>
      <c r="M201" s="23">
        <f t="shared" si="35"/>
        <v>0</v>
      </c>
      <c r="O201" s="52"/>
      <c r="Q201" s="304"/>
      <c r="R201" s="259"/>
      <c r="S201" s="260"/>
      <c r="T201" s="261"/>
      <c r="U201" s="262"/>
      <c r="V201" s="263"/>
      <c r="W201" s="263"/>
    </row>
    <row r="202" spans="1:25" hidden="1" outlineLevel="1">
      <c r="A202" s="96">
        <v>45491</v>
      </c>
      <c r="B202" s="17" t="s">
        <v>14</v>
      </c>
      <c r="C202" s="23"/>
      <c r="D202" s="23"/>
      <c r="E202" s="23">
        <f t="shared" si="38"/>
        <v>-31</v>
      </c>
      <c r="G202" s="19">
        <v>0</v>
      </c>
      <c r="H202" s="62">
        <f>C200+I202</f>
        <v>0</v>
      </c>
      <c r="I202" s="20"/>
      <c r="J202" s="21"/>
      <c r="K202" s="42"/>
      <c r="L202" s="23">
        <f t="shared" si="34"/>
        <v>0</v>
      </c>
      <c r="M202" s="23">
        <f t="shared" si="35"/>
        <v>0</v>
      </c>
      <c r="O202" s="52"/>
      <c r="Q202" s="304"/>
      <c r="R202" s="259"/>
      <c r="S202" s="260"/>
      <c r="T202" s="261"/>
      <c r="U202" s="262"/>
      <c r="V202" s="263"/>
      <c r="W202" s="263"/>
    </row>
    <row r="203" spans="1:25" hidden="1" outlineLevel="1">
      <c r="A203" s="96">
        <v>45492</v>
      </c>
      <c r="B203" s="17" t="s">
        <v>15</v>
      </c>
      <c r="C203" s="23"/>
      <c r="D203" s="23"/>
      <c r="E203" s="23">
        <f t="shared" si="38"/>
        <v>-31</v>
      </c>
      <c r="G203" s="19">
        <v>0</v>
      </c>
      <c r="H203" s="62">
        <f>C201+I203</f>
        <v>0</v>
      </c>
      <c r="I203" s="20"/>
      <c r="J203" s="21"/>
      <c r="K203" s="42"/>
      <c r="L203" s="23">
        <f t="shared" si="34"/>
        <v>0</v>
      </c>
      <c r="M203" s="23">
        <f t="shared" si="35"/>
        <v>0</v>
      </c>
      <c r="O203" s="52"/>
      <c r="Q203" s="304"/>
      <c r="R203" s="259"/>
      <c r="S203" s="260"/>
      <c r="T203" s="261"/>
      <c r="U203" s="262"/>
      <c r="V203" s="263"/>
      <c r="W203" s="263"/>
    </row>
    <row r="204" spans="1:25" s="12" customFormat="1" hidden="1" outlineLevel="1" collapsed="1">
      <c r="A204" s="95">
        <v>45493</v>
      </c>
      <c r="B204" s="25" t="s">
        <v>16</v>
      </c>
      <c r="C204" s="29"/>
      <c r="D204" s="29"/>
      <c r="E204" s="29">
        <f t="shared" si="38"/>
        <v>-31</v>
      </c>
      <c r="G204" s="64"/>
      <c r="H204" s="63"/>
      <c r="I204" s="27"/>
      <c r="J204" s="28"/>
      <c r="K204" s="43"/>
      <c r="L204" s="29">
        <f t="shared" si="34"/>
        <v>0</v>
      </c>
      <c r="M204" s="29">
        <f t="shared" si="35"/>
        <v>0</v>
      </c>
      <c r="O204" s="54"/>
      <c r="Q204" s="304"/>
      <c r="R204" s="259"/>
      <c r="S204" s="260"/>
      <c r="T204" s="261"/>
      <c r="U204" s="262"/>
      <c r="V204" s="263"/>
      <c r="W204" s="263"/>
      <c r="Y204" s="11"/>
    </row>
    <row r="205" spans="1:25" s="12" customFormat="1" hidden="1" outlineLevel="1">
      <c r="A205" s="95">
        <v>45494</v>
      </c>
      <c r="B205" s="25" t="s">
        <v>17</v>
      </c>
      <c r="C205" s="29"/>
      <c r="D205" s="29"/>
      <c r="E205" s="29">
        <f t="shared" si="38"/>
        <v>-31</v>
      </c>
      <c r="G205" s="64"/>
      <c r="H205" s="63"/>
      <c r="I205" s="27"/>
      <c r="J205" s="28"/>
      <c r="K205" s="43"/>
      <c r="L205" s="29">
        <f t="shared" si="34"/>
        <v>0</v>
      </c>
      <c r="M205" s="29">
        <f t="shared" si="35"/>
        <v>0</v>
      </c>
      <c r="O205" s="54"/>
      <c r="Q205" s="304"/>
      <c r="R205" s="259"/>
      <c r="S205" s="260"/>
      <c r="T205" s="261"/>
      <c r="U205" s="262"/>
      <c r="V205" s="263"/>
      <c r="W205" s="263"/>
      <c r="Y205" s="11"/>
    </row>
    <row r="206" spans="1:25" hidden="1" outlineLevel="1">
      <c r="A206" s="96">
        <v>45495</v>
      </c>
      <c r="B206" s="17" t="s">
        <v>18</v>
      </c>
      <c r="C206" s="23"/>
      <c r="D206" s="23"/>
      <c r="E206" s="23">
        <f t="shared" si="38"/>
        <v>-31</v>
      </c>
      <c r="G206" s="19">
        <v>0</v>
      </c>
      <c r="H206" s="62">
        <f>C202+I206</f>
        <v>0</v>
      </c>
      <c r="I206" s="20"/>
      <c r="J206" s="21"/>
      <c r="K206" s="42"/>
      <c r="L206" s="23">
        <f t="shared" si="34"/>
        <v>0</v>
      </c>
      <c r="M206" s="23">
        <f t="shared" si="35"/>
        <v>0</v>
      </c>
      <c r="O206" s="52"/>
      <c r="Q206" s="304"/>
      <c r="R206" s="259"/>
      <c r="S206" s="260"/>
      <c r="T206" s="261"/>
      <c r="U206" s="262"/>
      <c r="V206" s="263"/>
      <c r="W206" s="263"/>
    </row>
    <row r="207" spans="1:25" hidden="1" outlineLevel="1">
      <c r="A207" s="96">
        <v>45496</v>
      </c>
      <c r="B207" s="17" t="s">
        <v>19</v>
      </c>
      <c r="C207" s="23"/>
      <c r="D207" s="23"/>
      <c r="E207" s="23">
        <f t="shared" si="38"/>
        <v>-31</v>
      </c>
      <c r="G207" s="19">
        <v>0</v>
      </c>
      <c r="H207" s="62">
        <f>C203+I207</f>
        <v>0</v>
      </c>
      <c r="I207" s="20"/>
      <c r="J207" s="21"/>
      <c r="K207" s="42"/>
      <c r="L207" s="23">
        <f t="shared" si="34"/>
        <v>0</v>
      </c>
      <c r="M207" s="23">
        <f t="shared" si="35"/>
        <v>0</v>
      </c>
      <c r="O207" s="52"/>
      <c r="Q207" s="304"/>
      <c r="R207" s="259"/>
      <c r="S207" s="260"/>
      <c r="T207" s="261"/>
      <c r="U207" s="262"/>
      <c r="V207" s="263"/>
      <c r="W207" s="263"/>
    </row>
    <row r="208" spans="1:25" hidden="1" outlineLevel="1">
      <c r="A208" s="96">
        <v>45497</v>
      </c>
      <c r="B208" s="17" t="s">
        <v>20</v>
      </c>
      <c r="C208" s="23"/>
      <c r="D208" s="23"/>
      <c r="E208" s="23">
        <f t="shared" si="38"/>
        <v>-31</v>
      </c>
      <c r="G208" s="19">
        <v>0</v>
      </c>
      <c r="H208" s="62">
        <f>C206+I208</f>
        <v>0</v>
      </c>
      <c r="I208" s="20"/>
      <c r="J208" s="21"/>
      <c r="K208" s="42"/>
      <c r="L208" s="23">
        <f t="shared" si="34"/>
        <v>0</v>
      </c>
      <c r="M208" s="23">
        <f t="shared" si="35"/>
        <v>0</v>
      </c>
      <c r="O208" s="52"/>
      <c r="Q208" s="304"/>
      <c r="R208" s="259"/>
      <c r="S208" s="260"/>
      <c r="T208" s="261"/>
      <c r="U208" s="262"/>
      <c r="V208" s="263"/>
      <c r="W208" s="263"/>
    </row>
    <row r="209" spans="1:25" hidden="1" outlineLevel="1">
      <c r="A209" s="96">
        <v>45498</v>
      </c>
      <c r="B209" s="17" t="s">
        <v>14</v>
      </c>
      <c r="C209" s="23"/>
      <c r="D209" s="23"/>
      <c r="E209" s="23">
        <f t="shared" si="38"/>
        <v>-31</v>
      </c>
      <c r="G209" s="19">
        <v>0</v>
      </c>
      <c r="H209" s="62">
        <f t="shared" ref="H209" si="39">C207+I209</f>
        <v>0</v>
      </c>
      <c r="I209" s="20"/>
      <c r="J209" s="21"/>
      <c r="K209" s="42"/>
      <c r="L209" s="23">
        <f t="shared" si="34"/>
        <v>0</v>
      </c>
      <c r="M209" s="23">
        <f t="shared" si="35"/>
        <v>0</v>
      </c>
      <c r="O209" s="52"/>
      <c r="Q209" s="304"/>
      <c r="R209" s="259"/>
      <c r="S209" s="260"/>
      <c r="T209" s="261"/>
      <c r="U209" s="262"/>
      <c r="V209" s="263"/>
      <c r="W209" s="263"/>
    </row>
    <row r="210" spans="1:25" hidden="1" outlineLevel="1">
      <c r="A210" s="96">
        <v>45499</v>
      </c>
      <c r="B210" s="17" t="s">
        <v>15</v>
      </c>
      <c r="C210" s="23"/>
      <c r="D210" s="23"/>
      <c r="E210" s="23">
        <f t="shared" si="38"/>
        <v>-31</v>
      </c>
      <c r="G210" s="19">
        <v>0</v>
      </c>
      <c r="H210" s="62">
        <f>C208+I210</f>
        <v>0</v>
      </c>
      <c r="I210" s="20"/>
      <c r="J210" s="21"/>
      <c r="K210" s="42"/>
      <c r="L210" s="23">
        <f t="shared" si="34"/>
        <v>0</v>
      </c>
      <c r="M210" s="23">
        <f t="shared" si="35"/>
        <v>0</v>
      </c>
      <c r="O210" s="52"/>
      <c r="Q210" s="304"/>
      <c r="R210" s="259"/>
      <c r="S210" s="260"/>
      <c r="T210" s="261"/>
      <c r="U210" s="262"/>
      <c r="V210" s="263"/>
      <c r="W210" s="263"/>
    </row>
    <row r="211" spans="1:25" s="12" customFormat="1" hidden="1" outlineLevel="1" collapsed="1">
      <c r="A211" s="95">
        <v>45500</v>
      </c>
      <c r="B211" s="25" t="s">
        <v>16</v>
      </c>
      <c r="C211" s="29"/>
      <c r="D211" s="29"/>
      <c r="E211" s="29">
        <f t="shared" si="38"/>
        <v>-31</v>
      </c>
      <c r="G211" s="64"/>
      <c r="H211" s="63"/>
      <c r="I211" s="27"/>
      <c r="J211" s="28"/>
      <c r="K211" s="43"/>
      <c r="L211" s="29">
        <f t="shared" si="34"/>
        <v>0</v>
      </c>
      <c r="M211" s="29">
        <f t="shared" si="35"/>
        <v>0</v>
      </c>
      <c r="O211" s="54"/>
      <c r="Q211" s="304"/>
      <c r="R211" s="259"/>
      <c r="S211" s="260"/>
      <c r="T211" s="261"/>
      <c r="U211" s="262"/>
      <c r="V211" s="263"/>
      <c r="W211" s="263"/>
      <c r="Y211" s="11"/>
    </row>
    <row r="212" spans="1:25" s="12" customFormat="1" hidden="1" outlineLevel="1">
      <c r="A212" s="95">
        <v>45501</v>
      </c>
      <c r="B212" s="25" t="s">
        <v>17</v>
      </c>
      <c r="C212" s="29"/>
      <c r="D212" s="29"/>
      <c r="E212" s="29">
        <f t="shared" si="38"/>
        <v>-31</v>
      </c>
      <c r="G212" s="64"/>
      <c r="H212" s="63"/>
      <c r="I212" s="27"/>
      <c r="J212" s="28"/>
      <c r="K212" s="43"/>
      <c r="L212" s="29">
        <f t="shared" si="34"/>
        <v>0</v>
      </c>
      <c r="M212" s="29">
        <f t="shared" si="35"/>
        <v>0</v>
      </c>
      <c r="O212" s="54"/>
      <c r="Q212" s="304"/>
      <c r="R212" s="259"/>
      <c r="S212" s="260"/>
      <c r="T212" s="261"/>
      <c r="U212" s="262"/>
      <c r="V212" s="263"/>
      <c r="W212" s="263"/>
      <c r="Y212" s="11"/>
    </row>
    <row r="213" spans="1:25" hidden="1" outlineLevel="1">
      <c r="A213" s="96">
        <v>45502</v>
      </c>
      <c r="B213" s="17" t="s">
        <v>18</v>
      </c>
      <c r="C213" s="23"/>
      <c r="D213" s="23"/>
      <c r="E213" s="23">
        <f t="shared" si="38"/>
        <v>-31</v>
      </c>
      <c r="G213" s="19">
        <v>0</v>
      </c>
      <c r="H213" s="62">
        <f>C209+I213</f>
        <v>0</v>
      </c>
      <c r="I213" s="20"/>
      <c r="J213" s="21"/>
      <c r="K213" s="42"/>
      <c r="L213" s="23">
        <f t="shared" si="34"/>
        <v>0</v>
      </c>
      <c r="M213" s="23">
        <f t="shared" si="35"/>
        <v>0</v>
      </c>
      <c r="O213" s="52"/>
      <c r="Q213" s="304"/>
      <c r="R213" s="259"/>
      <c r="S213" s="260"/>
      <c r="T213" s="261"/>
      <c r="U213" s="262"/>
      <c r="V213" s="263"/>
      <c r="W213" s="263"/>
    </row>
    <row r="214" spans="1:25" hidden="1" outlineLevel="1">
      <c r="A214" s="96">
        <v>45503</v>
      </c>
      <c r="B214" s="17" t="s">
        <v>19</v>
      </c>
      <c r="C214" s="23"/>
      <c r="D214" s="23"/>
      <c r="E214" s="23">
        <f t="shared" si="38"/>
        <v>-31</v>
      </c>
      <c r="G214" s="19">
        <v>0</v>
      </c>
      <c r="H214" s="62">
        <f>C210+I214</f>
        <v>0</v>
      </c>
      <c r="I214" s="20"/>
      <c r="J214" s="21"/>
      <c r="K214" s="42"/>
      <c r="L214" s="23">
        <f t="shared" si="34"/>
        <v>0</v>
      </c>
      <c r="M214" s="23">
        <f t="shared" si="35"/>
        <v>0</v>
      </c>
      <c r="O214" s="52"/>
      <c r="Q214" s="304"/>
      <c r="R214" s="259"/>
      <c r="S214" s="260"/>
      <c r="T214" s="261"/>
      <c r="U214" s="262"/>
      <c r="V214" s="263"/>
      <c r="W214" s="263"/>
    </row>
    <row r="215" spans="1:25" hidden="1" outlineLevel="1">
      <c r="A215" s="96">
        <v>45504</v>
      </c>
      <c r="B215" s="17" t="s">
        <v>20</v>
      </c>
      <c r="C215" s="23"/>
      <c r="D215" s="23"/>
      <c r="E215" s="23">
        <f t="shared" si="38"/>
        <v>-31</v>
      </c>
      <c r="G215" s="19">
        <v>0</v>
      </c>
      <c r="H215" s="62">
        <f>C213+I215</f>
        <v>0</v>
      </c>
      <c r="I215" s="20"/>
      <c r="J215" s="21"/>
      <c r="K215" s="42"/>
      <c r="L215" s="23">
        <f t="shared" si="34"/>
        <v>0</v>
      </c>
      <c r="M215" s="23">
        <f t="shared" si="35"/>
        <v>0</v>
      </c>
      <c r="O215" s="52"/>
      <c r="Q215" s="304"/>
      <c r="R215" s="259"/>
      <c r="S215" s="260"/>
      <c r="T215" s="261"/>
      <c r="U215" s="262"/>
      <c r="V215" s="263"/>
      <c r="W215" s="263"/>
    </row>
    <row r="216" spans="1:25" hidden="1" outlineLevel="1">
      <c r="A216" s="96">
        <v>45505</v>
      </c>
      <c r="B216" s="17" t="s">
        <v>14</v>
      </c>
      <c r="C216" s="23"/>
      <c r="D216" s="23"/>
      <c r="E216" s="23">
        <f t="shared" si="38"/>
        <v>-31</v>
      </c>
      <c r="G216" s="19">
        <v>0</v>
      </c>
      <c r="H216" s="62">
        <f t="shared" ref="H216" si="40">C214+I216</f>
        <v>0</v>
      </c>
      <c r="I216" s="20"/>
      <c r="J216" s="21"/>
      <c r="K216" s="42"/>
      <c r="L216" s="23">
        <f t="shared" si="34"/>
        <v>0</v>
      </c>
      <c r="M216" s="23">
        <f t="shared" si="35"/>
        <v>0</v>
      </c>
      <c r="O216" s="52"/>
      <c r="Q216" s="304"/>
      <c r="R216" s="259"/>
      <c r="S216" s="260"/>
      <c r="T216" s="261"/>
      <c r="U216" s="262"/>
      <c r="V216" s="263"/>
      <c r="W216" s="263"/>
    </row>
    <row r="217" spans="1:25" hidden="1" outlineLevel="1">
      <c r="A217" s="96">
        <v>45506</v>
      </c>
      <c r="B217" s="17" t="s">
        <v>15</v>
      </c>
      <c r="C217" s="23"/>
      <c r="D217" s="23"/>
      <c r="E217" s="23">
        <f t="shared" si="38"/>
        <v>-31</v>
      </c>
      <c r="G217" s="19">
        <v>0</v>
      </c>
      <c r="H217" s="62">
        <f>C215+I217</f>
        <v>0</v>
      </c>
      <c r="I217" s="20"/>
      <c r="J217" s="21"/>
      <c r="K217" s="42"/>
      <c r="L217" s="23">
        <f t="shared" si="34"/>
        <v>0</v>
      </c>
      <c r="M217" s="23">
        <f t="shared" si="35"/>
        <v>0</v>
      </c>
      <c r="O217" s="52"/>
      <c r="Q217" s="304"/>
      <c r="R217" s="259"/>
      <c r="S217" s="260"/>
      <c r="T217" s="261"/>
      <c r="U217" s="262"/>
      <c r="V217" s="263"/>
      <c r="W217" s="263"/>
    </row>
    <row r="218" spans="1:25" s="12" customFormat="1" hidden="1" outlineLevel="1" collapsed="1">
      <c r="A218" s="95">
        <v>45507</v>
      </c>
      <c r="B218" s="25" t="s">
        <v>16</v>
      </c>
      <c r="C218" s="29"/>
      <c r="D218" s="29"/>
      <c r="E218" s="29">
        <f t="shared" si="38"/>
        <v>-31</v>
      </c>
      <c r="G218" s="64"/>
      <c r="H218" s="63"/>
      <c r="I218" s="27"/>
      <c r="J218" s="28"/>
      <c r="K218" s="43"/>
      <c r="L218" s="29">
        <f t="shared" si="34"/>
        <v>0</v>
      </c>
      <c r="M218" s="29">
        <f t="shared" si="35"/>
        <v>0</v>
      </c>
      <c r="O218" s="54"/>
      <c r="Q218" s="304"/>
      <c r="R218" s="259"/>
      <c r="S218" s="260"/>
      <c r="T218" s="261"/>
      <c r="U218" s="262"/>
      <c r="V218" s="263"/>
      <c r="W218" s="263"/>
      <c r="Y218" s="11"/>
    </row>
    <row r="219" spans="1:25" s="12" customFormat="1" hidden="1" outlineLevel="1">
      <c r="A219" s="95">
        <v>45508</v>
      </c>
      <c r="B219" s="25" t="s">
        <v>17</v>
      </c>
      <c r="C219" s="29"/>
      <c r="D219" s="29"/>
      <c r="E219" s="29">
        <f t="shared" si="38"/>
        <v>-31</v>
      </c>
      <c r="G219" s="64"/>
      <c r="H219" s="63"/>
      <c r="I219" s="27"/>
      <c r="J219" s="28"/>
      <c r="K219" s="43"/>
      <c r="L219" s="29">
        <f t="shared" si="34"/>
        <v>0</v>
      </c>
      <c r="M219" s="29">
        <f t="shared" si="35"/>
        <v>0</v>
      </c>
      <c r="O219" s="54"/>
      <c r="Q219" s="304"/>
      <c r="R219" s="259"/>
      <c r="S219" s="260"/>
      <c r="T219" s="261"/>
      <c r="U219" s="262"/>
      <c r="V219" s="263"/>
      <c r="W219" s="263"/>
      <c r="Y219" s="11"/>
    </row>
    <row r="220" spans="1:25" hidden="1" outlineLevel="1">
      <c r="A220" s="96">
        <v>45509</v>
      </c>
      <c r="B220" s="17" t="s">
        <v>18</v>
      </c>
      <c r="C220" s="23"/>
      <c r="D220" s="23"/>
      <c r="E220" s="23">
        <f t="shared" si="38"/>
        <v>-31</v>
      </c>
      <c r="G220" s="19">
        <v>0</v>
      </c>
      <c r="H220" s="62">
        <f>C216+I220</f>
        <v>0</v>
      </c>
      <c r="I220" s="20"/>
      <c r="J220" s="21"/>
      <c r="K220" s="42"/>
      <c r="L220" s="23">
        <f t="shared" si="34"/>
        <v>0</v>
      </c>
      <c r="M220" s="23">
        <f t="shared" si="35"/>
        <v>0</v>
      </c>
      <c r="O220" s="52"/>
      <c r="Q220" s="304"/>
      <c r="R220" s="259"/>
      <c r="S220" s="260"/>
      <c r="T220" s="261"/>
      <c r="U220" s="262"/>
      <c r="V220" s="263"/>
      <c r="W220" s="263"/>
    </row>
    <row r="221" spans="1:25" hidden="1" outlineLevel="1">
      <c r="A221" s="96">
        <v>45510</v>
      </c>
      <c r="B221" s="17" t="s">
        <v>19</v>
      </c>
      <c r="C221" s="23"/>
      <c r="D221" s="23"/>
      <c r="E221" s="23">
        <f t="shared" si="38"/>
        <v>-31</v>
      </c>
      <c r="G221" s="19">
        <v>0</v>
      </c>
      <c r="H221" s="62">
        <f>C217+I221</f>
        <v>0</v>
      </c>
      <c r="I221" s="20"/>
      <c r="J221" s="21"/>
      <c r="K221" s="42"/>
      <c r="L221" s="23">
        <f t="shared" si="34"/>
        <v>0</v>
      </c>
      <c r="M221" s="23">
        <f t="shared" si="35"/>
        <v>0</v>
      </c>
      <c r="O221" s="52"/>
      <c r="Q221" s="304"/>
      <c r="R221" s="259"/>
      <c r="S221" s="260"/>
      <c r="T221" s="261"/>
      <c r="U221" s="262"/>
      <c r="V221" s="263"/>
      <c r="W221" s="263"/>
    </row>
    <row r="222" spans="1:25" hidden="1" outlineLevel="1">
      <c r="A222" s="96">
        <v>45511</v>
      </c>
      <c r="B222" s="17" t="s">
        <v>20</v>
      </c>
      <c r="C222" s="23"/>
      <c r="D222" s="23"/>
      <c r="E222" s="23">
        <f t="shared" si="38"/>
        <v>-31</v>
      </c>
      <c r="G222" s="19">
        <v>0</v>
      </c>
      <c r="H222" s="62">
        <f>C220+I222</f>
        <v>0</v>
      </c>
      <c r="I222" s="20"/>
      <c r="J222" s="21"/>
      <c r="K222" s="42"/>
      <c r="L222" s="23">
        <f t="shared" si="34"/>
        <v>0</v>
      </c>
      <c r="M222" s="23">
        <f t="shared" si="35"/>
        <v>0</v>
      </c>
      <c r="O222" s="52"/>
      <c r="Q222" s="304"/>
      <c r="R222" s="259"/>
      <c r="S222" s="260"/>
      <c r="T222" s="261"/>
      <c r="U222" s="262"/>
      <c r="V222" s="263"/>
      <c r="W222" s="263"/>
    </row>
    <row r="223" spans="1:25" hidden="1" outlineLevel="1">
      <c r="A223" s="96">
        <v>45512</v>
      </c>
      <c r="B223" s="17" t="s">
        <v>14</v>
      </c>
      <c r="C223" s="23">
        <v>8</v>
      </c>
      <c r="D223" s="23"/>
      <c r="E223" s="23">
        <f t="shared" si="38"/>
        <v>-39</v>
      </c>
      <c r="G223" s="19">
        <v>0</v>
      </c>
      <c r="H223" s="62">
        <f>C221+I223</f>
        <v>0</v>
      </c>
      <c r="I223" s="20"/>
      <c r="J223" s="21"/>
      <c r="K223" s="42"/>
      <c r="L223" s="23">
        <f t="shared" si="34"/>
        <v>0</v>
      </c>
      <c r="M223" s="23">
        <f t="shared" si="35"/>
        <v>0</v>
      </c>
      <c r="O223" s="52"/>
      <c r="Q223" s="304"/>
      <c r="R223" s="259"/>
      <c r="S223" s="260"/>
      <c r="T223" s="261"/>
      <c r="U223" s="262"/>
      <c r="V223" s="263"/>
      <c r="W223" s="263"/>
    </row>
    <row r="224" spans="1:25" hidden="1" outlineLevel="1">
      <c r="A224" s="96">
        <v>45513</v>
      </c>
      <c r="B224" s="17" t="s">
        <v>15</v>
      </c>
      <c r="C224" s="23"/>
      <c r="D224" s="23"/>
      <c r="E224" s="23">
        <f t="shared" si="38"/>
        <v>-39</v>
      </c>
      <c r="G224" s="19">
        <v>0</v>
      </c>
      <c r="H224" s="62">
        <f>C222+I224</f>
        <v>0</v>
      </c>
      <c r="I224" s="20"/>
      <c r="J224" s="21"/>
      <c r="K224" s="42"/>
      <c r="L224" s="23">
        <f t="shared" si="34"/>
        <v>0</v>
      </c>
      <c r="M224" s="23">
        <f t="shared" si="35"/>
        <v>0</v>
      </c>
      <c r="O224" s="52"/>
      <c r="Q224" s="304"/>
      <c r="R224" s="259"/>
      <c r="S224" s="260"/>
      <c r="T224" s="261"/>
      <c r="U224" s="262"/>
      <c r="V224" s="263"/>
      <c r="W224" s="263"/>
    </row>
    <row r="225" spans="1:25" s="12" customFormat="1" hidden="1" outlineLevel="1">
      <c r="A225" s="95">
        <v>45514</v>
      </c>
      <c r="B225" s="25" t="s">
        <v>16</v>
      </c>
      <c r="C225" s="29"/>
      <c r="D225" s="29"/>
      <c r="E225" s="29">
        <f t="shared" si="38"/>
        <v>-39</v>
      </c>
      <c r="G225" s="64"/>
      <c r="H225" s="63"/>
      <c r="I225" s="27"/>
      <c r="J225" s="28"/>
      <c r="K225" s="43"/>
      <c r="L225" s="29">
        <f t="shared" si="34"/>
        <v>0</v>
      </c>
      <c r="M225" s="29">
        <f t="shared" si="35"/>
        <v>0</v>
      </c>
      <c r="O225" s="54"/>
      <c r="Q225" s="304"/>
      <c r="R225" s="259"/>
      <c r="S225" s="260"/>
      <c r="T225" s="261"/>
      <c r="U225" s="262"/>
      <c r="V225" s="263"/>
      <c r="W225" s="263"/>
      <c r="Y225" s="11"/>
    </row>
    <row r="226" spans="1:25" s="12" customFormat="1" hidden="1" outlineLevel="1">
      <c r="A226" s="95">
        <v>45515</v>
      </c>
      <c r="B226" s="25" t="s">
        <v>17</v>
      </c>
      <c r="C226" s="29"/>
      <c r="D226" s="29"/>
      <c r="E226" s="29">
        <f t="shared" si="38"/>
        <v>-39</v>
      </c>
      <c r="G226" s="64"/>
      <c r="H226" s="63"/>
      <c r="I226" s="27"/>
      <c r="J226" s="28"/>
      <c r="K226" s="43"/>
      <c r="L226" s="29">
        <f t="shared" si="34"/>
        <v>0</v>
      </c>
      <c r="M226" s="29">
        <f t="shared" si="35"/>
        <v>0</v>
      </c>
      <c r="O226" s="54"/>
      <c r="Q226" s="304"/>
      <c r="R226" s="259"/>
      <c r="S226" s="260"/>
      <c r="T226" s="261"/>
      <c r="U226" s="262"/>
      <c r="V226" s="263"/>
      <c r="W226" s="263"/>
      <c r="Y226" s="11"/>
    </row>
    <row r="227" spans="1:25" s="12" customFormat="1" hidden="1" outlineLevel="1">
      <c r="A227" s="95">
        <v>45516</v>
      </c>
      <c r="B227" s="25" t="s">
        <v>18</v>
      </c>
      <c r="C227" s="29"/>
      <c r="D227" s="29"/>
      <c r="E227" s="29">
        <f t="shared" si="38"/>
        <v>-39</v>
      </c>
      <c r="G227" s="64"/>
      <c r="H227" s="63"/>
      <c r="I227" s="27"/>
      <c r="J227" s="28"/>
      <c r="K227" s="43"/>
      <c r="L227" s="29">
        <f t="shared" si="34"/>
        <v>0</v>
      </c>
      <c r="M227" s="29">
        <f t="shared" si="35"/>
        <v>0</v>
      </c>
      <c r="O227" s="54"/>
      <c r="Q227" s="304"/>
      <c r="R227" s="259"/>
      <c r="S227" s="260"/>
      <c r="T227" s="261"/>
      <c r="U227" s="262"/>
      <c r="V227" s="263"/>
      <c r="W227" s="263"/>
      <c r="Y227" s="11"/>
    </row>
    <row r="228" spans="1:25" s="12" customFormat="1" hidden="1" outlineLevel="1">
      <c r="A228" s="95">
        <v>45517</v>
      </c>
      <c r="B228" s="25" t="s">
        <v>19</v>
      </c>
      <c r="C228" s="29"/>
      <c r="D228" s="29"/>
      <c r="E228" s="29">
        <f t="shared" si="38"/>
        <v>-39</v>
      </c>
      <c r="G228" s="64"/>
      <c r="H228" s="63"/>
      <c r="I228" s="27"/>
      <c r="J228" s="28"/>
      <c r="K228" s="43"/>
      <c r="L228" s="29">
        <f t="shared" si="34"/>
        <v>0</v>
      </c>
      <c r="M228" s="29">
        <f t="shared" si="35"/>
        <v>0</v>
      </c>
      <c r="O228" s="54"/>
      <c r="Q228" s="304"/>
      <c r="R228" s="259"/>
      <c r="S228" s="260"/>
      <c r="T228" s="261"/>
      <c r="U228" s="262"/>
      <c r="V228" s="263"/>
      <c r="W228" s="263"/>
      <c r="Y228" s="11"/>
    </row>
    <row r="229" spans="1:25" s="12" customFormat="1" hidden="1" outlineLevel="1">
      <c r="A229" s="95">
        <v>45518</v>
      </c>
      <c r="B229" s="25" t="s">
        <v>20</v>
      </c>
      <c r="C229" s="29"/>
      <c r="D229" s="29"/>
      <c r="E229" s="29">
        <f t="shared" si="38"/>
        <v>-39</v>
      </c>
      <c r="G229" s="64"/>
      <c r="H229" s="63"/>
      <c r="I229" s="27"/>
      <c r="J229" s="28"/>
      <c r="K229" s="43"/>
      <c r="L229" s="29">
        <f t="shared" si="34"/>
        <v>0</v>
      </c>
      <c r="M229" s="29">
        <f t="shared" si="35"/>
        <v>0</v>
      </c>
      <c r="O229" s="54"/>
      <c r="Q229" s="304"/>
      <c r="R229" s="259"/>
      <c r="S229" s="260"/>
      <c r="T229" s="261"/>
      <c r="U229" s="262"/>
      <c r="V229" s="263"/>
      <c r="W229" s="263"/>
      <c r="Y229" s="11"/>
    </row>
    <row r="230" spans="1:25" s="12" customFormat="1" hidden="1" outlineLevel="1">
      <c r="A230" s="95">
        <v>45519</v>
      </c>
      <c r="B230" s="25" t="s">
        <v>14</v>
      </c>
      <c r="C230" s="29"/>
      <c r="D230" s="29"/>
      <c r="E230" s="29">
        <f t="shared" si="38"/>
        <v>-39</v>
      </c>
      <c r="G230" s="64"/>
      <c r="H230" s="63"/>
      <c r="I230" s="27"/>
      <c r="J230" s="28"/>
      <c r="K230" s="43"/>
      <c r="L230" s="29">
        <f t="shared" si="34"/>
        <v>0</v>
      </c>
      <c r="M230" s="29">
        <f t="shared" si="35"/>
        <v>0</v>
      </c>
      <c r="O230" s="54"/>
      <c r="Q230" s="304"/>
      <c r="R230" s="259"/>
      <c r="S230" s="260"/>
      <c r="T230" s="261"/>
      <c r="U230" s="262"/>
      <c r="V230" s="263"/>
      <c r="W230" s="263"/>
      <c r="Y230" s="11"/>
    </row>
    <row r="231" spans="1:25" s="12" customFormat="1" hidden="1" outlineLevel="1">
      <c r="A231" s="95">
        <v>45520</v>
      </c>
      <c r="B231" s="25" t="s">
        <v>15</v>
      </c>
      <c r="C231" s="29"/>
      <c r="D231" s="29"/>
      <c r="E231" s="29">
        <f t="shared" si="38"/>
        <v>-39</v>
      </c>
      <c r="G231" s="64"/>
      <c r="H231" s="63"/>
      <c r="I231" s="27"/>
      <c r="J231" s="28"/>
      <c r="K231" s="43"/>
      <c r="L231" s="29">
        <f t="shared" si="34"/>
        <v>0</v>
      </c>
      <c r="M231" s="29">
        <f t="shared" si="35"/>
        <v>0</v>
      </c>
      <c r="O231" s="54"/>
      <c r="Q231" s="304"/>
      <c r="R231" s="259"/>
      <c r="S231" s="260"/>
      <c r="T231" s="261"/>
      <c r="U231" s="262"/>
      <c r="V231" s="263"/>
      <c r="W231" s="263"/>
      <c r="Y231" s="11"/>
    </row>
    <row r="232" spans="1:25" s="12" customFormat="1" hidden="1" outlineLevel="1">
      <c r="A232" s="95">
        <v>45521</v>
      </c>
      <c r="B232" s="25" t="s">
        <v>16</v>
      </c>
      <c r="C232" s="29"/>
      <c r="D232" s="29"/>
      <c r="E232" s="29">
        <f t="shared" si="38"/>
        <v>-39</v>
      </c>
      <c r="G232" s="64"/>
      <c r="H232" s="63"/>
      <c r="I232" s="27"/>
      <c r="J232" s="28"/>
      <c r="K232" s="43"/>
      <c r="L232" s="29">
        <f t="shared" si="34"/>
        <v>0</v>
      </c>
      <c r="M232" s="29">
        <f t="shared" si="35"/>
        <v>0</v>
      </c>
      <c r="O232" s="54"/>
      <c r="Q232" s="304"/>
      <c r="R232" s="259"/>
      <c r="S232" s="260"/>
      <c r="T232" s="261"/>
      <c r="U232" s="262"/>
      <c r="V232" s="263"/>
      <c r="W232" s="263"/>
      <c r="Y232" s="11"/>
    </row>
    <row r="233" spans="1:25" s="12" customFormat="1" hidden="1" outlineLevel="1">
      <c r="A233" s="95">
        <v>45522</v>
      </c>
      <c r="B233" s="25" t="s">
        <v>17</v>
      </c>
      <c r="C233" s="29"/>
      <c r="D233" s="29"/>
      <c r="E233" s="29">
        <f t="shared" si="38"/>
        <v>-39</v>
      </c>
      <c r="G233" s="64"/>
      <c r="H233" s="63"/>
      <c r="I233" s="27"/>
      <c r="J233" s="28"/>
      <c r="K233" s="43"/>
      <c r="L233" s="29">
        <f t="shared" si="34"/>
        <v>0</v>
      </c>
      <c r="M233" s="29">
        <f t="shared" si="35"/>
        <v>0</v>
      </c>
      <c r="O233" s="54"/>
      <c r="Q233" s="304"/>
      <c r="R233" s="259"/>
      <c r="S233" s="260"/>
      <c r="T233" s="261"/>
      <c r="U233" s="262"/>
      <c r="V233" s="263"/>
      <c r="W233" s="263"/>
      <c r="Y233" s="11"/>
    </row>
    <row r="234" spans="1:25" hidden="1" outlineLevel="1">
      <c r="A234" s="96">
        <v>45523</v>
      </c>
      <c r="B234" s="17" t="s">
        <v>18</v>
      </c>
      <c r="C234" s="23"/>
      <c r="D234" s="23"/>
      <c r="E234" s="23">
        <f t="shared" si="38"/>
        <v>-39</v>
      </c>
      <c r="G234" s="212">
        <v>8</v>
      </c>
      <c r="H234" s="62">
        <f>C223+I234</f>
        <v>8</v>
      </c>
      <c r="I234" s="20"/>
      <c r="J234" s="21"/>
      <c r="K234" s="42">
        <v>8</v>
      </c>
      <c r="L234" s="23">
        <f t="shared" si="34"/>
        <v>0</v>
      </c>
      <c r="M234" s="23">
        <f t="shared" si="35"/>
        <v>0</v>
      </c>
      <c r="O234" s="52"/>
      <c r="Q234" s="308"/>
      <c r="R234" s="259"/>
      <c r="S234" s="260"/>
      <c r="T234" s="261"/>
      <c r="U234" s="262"/>
      <c r="V234" s="263"/>
      <c r="W234" s="263"/>
    </row>
    <row r="235" spans="1:25" hidden="1" outlineLevel="1">
      <c r="A235" s="96">
        <v>45524</v>
      </c>
      <c r="B235" s="17" t="s">
        <v>19</v>
      </c>
      <c r="C235" s="23"/>
      <c r="D235" s="23"/>
      <c r="E235" s="23">
        <f t="shared" si="38"/>
        <v>-39</v>
      </c>
      <c r="G235" s="19">
        <v>0</v>
      </c>
      <c r="H235" s="62">
        <f>C224+I235</f>
        <v>0</v>
      </c>
      <c r="I235" s="20"/>
      <c r="J235" s="21"/>
      <c r="K235" s="42"/>
      <c r="L235" s="23">
        <f t="shared" si="34"/>
        <v>0</v>
      </c>
      <c r="M235" s="23">
        <f t="shared" si="35"/>
        <v>0</v>
      </c>
      <c r="O235" s="52"/>
      <c r="Q235" s="304"/>
      <c r="R235" s="259"/>
      <c r="S235" s="260"/>
      <c r="T235" s="261"/>
      <c r="U235" s="262"/>
      <c r="V235" s="263"/>
      <c r="W235" s="263"/>
    </row>
    <row r="236" spans="1:25" hidden="1" outlineLevel="1">
      <c r="A236" s="96">
        <v>45525</v>
      </c>
      <c r="B236" s="17" t="s">
        <v>20</v>
      </c>
      <c r="C236" s="23"/>
      <c r="D236" s="23"/>
      <c r="E236" s="23">
        <f t="shared" si="38"/>
        <v>-39</v>
      </c>
      <c r="G236" s="19">
        <v>0</v>
      </c>
      <c r="H236" s="62">
        <f>C234+I236</f>
        <v>0</v>
      </c>
      <c r="I236" s="20"/>
      <c r="J236" s="21"/>
      <c r="K236" s="42"/>
      <c r="L236" s="23">
        <f t="shared" si="34"/>
        <v>0</v>
      </c>
      <c r="M236" s="23">
        <f t="shared" si="35"/>
        <v>0</v>
      </c>
      <c r="O236" s="52"/>
      <c r="Q236" s="304"/>
      <c r="R236" s="259"/>
      <c r="S236" s="260"/>
      <c r="T236" s="261"/>
      <c r="U236" s="262"/>
      <c r="V236" s="263"/>
      <c r="W236" s="263"/>
    </row>
    <row r="237" spans="1:25" hidden="1" outlineLevel="1">
      <c r="A237" s="96">
        <v>45526</v>
      </c>
      <c r="B237" s="17" t="s">
        <v>14</v>
      </c>
      <c r="C237" s="23"/>
      <c r="D237" s="23"/>
      <c r="E237" s="23">
        <f t="shared" si="38"/>
        <v>-39</v>
      </c>
      <c r="G237" s="19">
        <v>0</v>
      </c>
      <c r="H237" s="62">
        <f>C235+I237</f>
        <v>0</v>
      </c>
      <c r="I237" s="20"/>
      <c r="J237" s="21"/>
      <c r="K237" s="42"/>
      <c r="L237" s="23">
        <f t="shared" si="34"/>
        <v>0</v>
      </c>
      <c r="M237" s="23">
        <f t="shared" si="35"/>
        <v>0</v>
      </c>
      <c r="O237" s="52"/>
      <c r="Q237" s="304"/>
      <c r="R237" s="259"/>
      <c r="S237" s="260"/>
      <c r="T237" s="261"/>
      <c r="U237" s="262"/>
      <c r="V237" s="263"/>
      <c r="W237" s="263"/>
    </row>
    <row r="238" spans="1:25" hidden="1" outlineLevel="1">
      <c r="A238" s="96">
        <v>45527</v>
      </c>
      <c r="B238" s="17" t="s">
        <v>15</v>
      </c>
      <c r="C238" s="23"/>
      <c r="D238" s="23"/>
      <c r="E238" s="23">
        <f t="shared" si="38"/>
        <v>-39</v>
      </c>
      <c r="G238" s="19">
        <v>0</v>
      </c>
      <c r="H238" s="62">
        <f>C236+I238</f>
        <v>0</v>
      </c>
      <c r="I238" s="20"/>
      <c r="J238" s="21"/>
      <c r="K238" s="42"/>
      <c r="L238" s="23">
        <f t="shared" si="34"/>
        <v>0</v>
      </c>
      <c r="M238" s="23">
        <f t="shared" si="35"/>
        <v>0</v>
      </c>
      <c r="O238" s="52"/>
      <c r="Q238" s="304"/>
      <c r="R238" s="259"/>
      <c r="S238" s="260"/>
      <c r="T238" s="261"/>
      <c r="U238" s="262"/>
      <c r="V238" s="263"/>
      <c r="W238" s="263"/>
    </row>
    <row r="239" spans="1:25" s="12" customFormat="1" hidden="1" outlineLevel="1">
      <c r="A239" s="95">
        <v>45528</v>
      </c>
      <c r="B239" s="25" t="s">
        <v>16</v>
      </c>
      <c r="C239" s="29"/>
      <c r="D239" s="29"/>
      <c r="E239" s="29">
        <f t="shared" si="38"/>
        <v>-39</v>
      </c>
      <c r="G239" s="64"/>
      <c r="H239" s="63"/>
      <c r="I239" s="27"/>
      <c r="J239" s="28"/>
      <c r="K239" s="43"/>
      <c r="L239" s="29">
        <f t="shared" si="34"/>
        <v>0</v>
      </c>
      <c r="M239" s="29">
        <f t="shared" si="35"/>
        <v>0</v>
      </c>
      <c r="O239" s="54"/>
      <c r="Q239" s="304"/>
      <c r="R239" s="259"/>
      <c r="S239" s="260"/>
      <c r="T239" s="261"/>
      <c r="U239" s="262"/>
      <c r="V239" s="263"/>
      <c r="W239" s="263"/>
      <c r="Y239" s="11"/>
    </row>
    <row r="240" spans="1:25" s="12" customFormat="1" hidden="1" outlineLevel="1">
      <c r="A240" s="95">
        <v>45529</v>
      </c>
      <c r="B240" s="25" t="s">
        <v>17</v>
      </c>
      <c r="C240" s="29"/>
      <c r="D240" s="29"/>
      <c r="E240" s="29">
        <f t="shared" si="38"/>
        <v>-39</v>
      </c>
      <c r="G240" s="64"/>
      <c r="H240" s="63"/>
      <c r="I240" s="27"/>
      <c r="J240" s="28"/>
      <c r="K240" s="43"/>
      <c r="L240" s="29">
        <f t="shared" si="34"/>
        <v>0</v>
      </c>
      <c r="M240" s="29">
        <f t="shared" si="35"/>
        <v>0</v>
      </c>
      <c r="O240" s="54"/>
      <c r="Q240" s="304"/>
      <c r="R240" s="259"/>
      <c r="S240" s="260"/>
      <c r="T240" s="261"/>
      <c r="U240" s="262"/>
      <c r="V240" s="263"/>
      <c r="W240" s="263"/>
      <c r="Y240" s="11"/>
    </row>
    <row r="241" spans="1:25" hidden="1" outlineLevel="1" collapsed="1">
      <c r="A241" s="96">
        <v>45530</v>
      </c>
      <c r="B241" s="17" t="s">
        <v>18</v>
      </c>
      <c r="C241" s="23"/>
      <c r="D241" s="23"/>
      <c r="E241" s="23">
        <f t="shared" si="38"/>
        <v>-39</v>
      </c>
      <c r="G241" s="19">
        <v>0</v>
      </c>
      <c r="H241" s="62">
        <f>C237+I241</f>
        <v>0</v>
      </c>
      <c r="I241" s="20"/>
      <c r="J241" s="21"/>
      <c r="K241" s="42"/>
      <c r="L241" s="23">
        <f t="shared" si="34"/>
        <v>0</v>
      </c>
      <c r="M241" s="23">
        <f t="shared" si="35"/>
        <v>0</v>
      </c>
      <c r="O241" s="52"/>
      <c r="Q241" s="304"/>
      <c r="R241" s="259"/>
      <c r="S241" s="260"/>
      <c r="T241" s="261"/>
      <c r="U241" s="262"/>
      <c r="V241" s="263"/>
      <c r="W241" s="263"/>
    </row>
    <row r="242" spans="1:25" hidden="1" outlineLevel="1">
      <c r="A242" s="96">
        <v>45531</v>
      </c>
      <c r="B242" s="17" t="s">
        <v>19</v>
      </c>
      <c r="C242" s="23"/>
      <c r="D242" s="23"/>
      <c r="E242" s="23">
        <f t="shared" si="38"/>
        <v>-39</v>
      </c>
      <c r="G242" s="19">
        <v>0</v>
      </c>
      <c r="H242" s="62">
        <f>C238+I242</f>
        <v>0</v>
      </c>
      <c r="I242" s="20"/>
      <c r="J242" s="21"/>
      <c r="K242" s="42"/>
      <c r="L242" s="23">
        <f t="shared" si="34"/>
        <v>0</v>
      </c>
      <c r="M242" s="23">
        <f t="shared" si="35"/>
        <v>0</v>
      </c>
      <c r="O242" s="52"/>
      <c r="Q242" s="304"/>
      <c r="R242" s="259"/>
      <c r="S242" s="260"/>
      <c r="T242" s="261"/>
      <c r="U242" s="262"/>
      <c r="V242" s="263"/>
      <c r="W242" s="263"/>
    </row>
    <row r="243" spans="1:25" hidden="1" outlineLevel="1">
      <c r="A243" s="96">
        <v>45532</v>
      </c>
      <c r="B243" s="17" t="s">
        <v>20</v>
      </c>
      <c r="C243" s="23"/>
      <c r="D243" s="23"/>
      <c r="E243" s="23">
        <f t="shared" si="38"/>
        <v>-39</v>
      </c>
      <c r="G243" s="19">
        <v>0</v>
      </c>
      <c r="H243" s="62">
        <f>C241+I243</f>
        <v>0</v>
      </c>
      <c r="I243" s="20"/>
      <c r="J243" s="21"/>
      <c r="K243" s="42"/>
      <c r="L243" s="23">
        <f t="shared" si="34"/>
        <v>0</v>
      </c>
      <c r="M243" s="23">
        <f t="shared" si="35"/>
        <v>0</v>
      </c>
      <c r="O243" s="52"/>
      <c r="Q243" s="304"/>
      <c r="R243" s="259"/>
      <c r="S243" s="260"/>
      <c r="T243" s="261"/>
      <c r="U243" s="262"/>
      <c r="V243" s="263"/>
      <c r="W243" s="263"/>
    </row>
    <row r="244" spans="1:25" hidden="1" outlineLevel="1">
      <c r="A244" s="96">
        <v>45533</v>
      </c>
      <c r="B244" s="17" t="s">
        <v>14</v>
      </c>
      <c r="C244" s="23"/>
      <c r="D244" s="23"/>
      <c r="E244" s="23">
        <f t="shared" si="38"/>
        <v>-39</v>
      </c>
      <c r="G244" s="19">
        <v>0</v>
      </c>
      <c r="H244" s="62">
        <f>C242+I244</f>
        <v>0</v>
      </c>
      <c r="I244" s="20"/>
      <c r="J244" s="21"/>
      <c r="K244" s="42"/>
      <c r="L244" s="23">
        <f t="shared" si="34"/>
        <v>0</v>
      </c>
      <c r="M244" s="23">
        <f t="shared" si="35"/>
        <v>0</v>
      </c>
      <c r="O244" s="52"/>
      <c r="Q244" s="304"/>
      <c r="R244" s="259"/>
      <c r="S244" s="260"/>
      <c r="T244" s="261"/>
      <c r="U244" s="262"/>
      <c r="V244" s="263"/>
      <c r="W244" s="263"/>
    </row>
    <row r="245" spans="1:25" hidden="1" outlineLevel="1">
      <c r="A245" s="96">
        <v>45534</v>
      </c>
      <c r="B245" s="17" t="s">
        <v>15</v>
      </c>
      <c r="C245" s="23"/>
      <c r="D245" s="23"/>
      <c r="E245" s="23">
        <f t="shared" si="38"/>
        <v>-39</v>
      </c>
      <c r="G245" s="19">
        <v>0</v>
      </c>
      <c r="H245" s="62">
        <f>C243+I245</f>
        <v>0</v>
      </c>
      <c r="I245" s="20"/>
      <c r="J245" s="21"/>
      <c r="K245" s="42"/>
      <c r="L245" s="23">
        <f t="shared" si="34"/>
        <v>0</v>
      </c>
      <c r="M245" s="23">
        <f t="shared" si="35"/>
        <v>0</v>
      </c>
      <c r="O245" s="52"/>
      <c r="Q245" s="304"/>
      <c r="R245" s="259"/>
      <c r="S245" s="260"/>
      <c r="T245" s="261"/>
      <c r="U245" s="262"/>
      <c r="V245" s="263"/>
      <c r="W245" s="263"/>
    </row>
    <row r="246" spans="1:25" s="12" customFormat="1" hidden="1" outlineLevel="1">
      <c r="A246" s="95">
        <v>45535</v>
      </c>
      <c r="B246" s="25" t="s">
        <v>16</v>
      </c>
      <c r="C246" s="29"/>
      <c r="D246" s="29"/>
      <c r="E246" s="29">
        <f t="shared" si="38"/>
        <v>-39</v>
      </c>
      <c r="G246" s="64"/>
      <c r="H246" s="63"/>
      <c r="I246" s="27"/>
      <c r="J246" s="28"/>
      <c r="K246" s="43"/>
      <c r="L246" s="29">
        <f t="shared" si="34"/>
        <v>0</v>
      </c>
      <c r="M246" s="29">
        <f t="shared" si="35"/>
        <v>0</v>
      </c>
      <c r="O246" s="54"/>
      <c r="Q246" s="304"/>
      <c r="R246" s="259"/>
      <c r="S246" s="260"/>
      <c r="T246" s="261"/>
      <c r="U246" s="262"/>
      <c r="V246" s="263"/>
      <c r="W246" s="263"/>
      <c r="Y246" s="11"/>
    </row>
    <row r="247" spans="1:25" s="12" customFormat="1" hidden="1" outlineLevel="1">
      <c r="A247" s="95">
        <v>45536</v>
      </c>
      <c r="B247" s="25" t="s">
        <v>17</v>
      </c>
      <c r="C247" s="29"/>
      <c r="D247" s="29"/>
      <c r="E247" s="29">
        <f t="shared" si="38"/>
        <v>-39</v>
      </c>
      <c r="G247" s="64"/>
      <c r="H247" s="63"/>
      <c r="I247" s="27"/>
      <c r="J247" s="28"/>
      <c r="K247" s="43"/>
      <c r="L247" s="29">
        <f t="shared" si="34"/>
        <v>0</v>
      </c>
      <c r="M247" s="29">
        <f t="shared" si="35"/>
        <v>0</v>
      </c>
      <c r="O247" s="54"/>
      <c r="Q247" s="304"/>
      <c r="R247" s="259"/>
      <c r="S247" s="260"/>
      <c r="T247" s="261"/>
      <c r="U247" s="262"/>
      <c r="V247" s="263"/>
      <c r="W247" s="263"/>
      <c r="Y247" s="11"/>
    </row>
    <row r="248" spans="1:25" hidden="1" outlineLevel="1" collapsed="1">
      <c r="A248" s="96">
        <v>45537</v>
      </c>
      <c r="B248" s="17" t="s">
        <v>18</v>
      </c>
      <c r="C248" s="23"/>
      <c r="D248" s="23"/>
      <c r="E248" s="23">
        <f t="shared" si="38"/>
        <v>-39</v>
      </c>
      <c r="G248" s="19">
        <v>0</v>
      </c>
      <c r="H248" s="62">
        <f>C244+I248</f>
        <v>0</v>
      </c>
      <c r="I248" s="20"/>
      <c r="J248" s="21"/>
      <c r="K248" s="42"/>
      <c r="L248" s="23">
        <f t="shared" ref="L248:L276" si="41">L247-G248+K248</f>
        <v>0</v>
      </c>
      <c r="M248" s="23">
        <f t="shared" ref="M248:M276" si="42">M247-G248+H248</f>
        <v>0</v>
      </c>
      <c r="O248" s="52"/>
      <c r="Q248" s="304"/>
      <c r="R248" s="259"/>
      <c r="S248" s="260"/>
      <c r="T248" s="261"/>
      <c r="U248" s="262"/>
      <c r="V248" s="263"/>
      <c r="W248" s="263"/>
    </row>
    <row r="249" spans="1:25" hidden="1" outlineLevel="1">
      <c r="A249" s="96">
        <v>45538</v>
      </c>
      <c r="B249" s="17" t="s">
        <v>19</v>
      </c>
      <c r="C249" s="23"/>
      <c r="D249" s="23"/>
      <c r="E249" s="23">
        <f t="shared" si="38"/>
        <v>-39</v>
      </c>
      <c r="G249" s="19">
        <v>0</v>
      </c>
      <c r="H249" s="62">
        <f>C245+I249</f>
        <v>0</v>
      </c>
      <c r="I249" s="20"/>
      <c r="J249" s="21"/>
      <c r="K249" s="42"/>
      <c r="L249" s="23">
        <f t="shared" si="41"/>
        <v>0</v>
      </c>
      <c r="M249" s="23">
        <f t="shared" si="42"/>
        <v>0</v>
      </c>
      <c r="O249" s="52"/>
      <c r="Q249" s="304"/>
      <c r="R249" s="259"/>
      <c r="S249" s="260"/>
      <c r="T249" s="261"/>
      <c r="U249" s="262"/>
      <c r="V249" s="263"/>
      <c r="W249" s="263"/>
    </row>
    <row r="250" spans="1:25" hidden="1" outlineLevel="1">
      <c r="A250" s="96">
        <v>45539</v>
      </c>
      <c r="B250" s="17" t="s">
        <v>20</v>
      </c>
      <c r="C250" s="23"/>
      <c r="D250" s="23"/>
      <c r="E250" s="23">
        <f t="shared" si="38"/>
        <v>-39</v>
      </c>
      <c r="G250" s="19">
        <v>0</v>
      </c>
      <c r="H250" s="62">
        <f>C248+I250</f>
        <v>0</v>
      </c>
      <c r="I250" s="20"/>
      <c r="J250" s="21"/>
      <c r="K250" s="42"/>
      <c r="L250" s="23">
        <f t="shared" si="41"/>
        <v>0</v>
      </c>
      <c r="M250" s="23">
        <f t="shared" si="42"/>
        <v>0</v>
      </c>
      <c r="O250" s="52"/>
      <c r="Q250" s="304"/>
      <c r="R250" s="259"/>
      <c r="S250" s="260"/>
      <c r="T250" s="261"/>
      <c r="U250" s="262"/>
      <c r="V250" s="263"/>
      <c r="W250" s="263"/>
    </row>
    <row r="251" spans="1:25" hidden="1" outlineLevel="1">
      <c r="A251" s="96">
        <v>45540</v>
      </c>
      <c r="B251" s="17" t="s">
        <v>14</v>
      </c>
      <c r="C251" s="23"/>
      <c r="D251" s="23"/>
      <c r="E251" s="23">
        <f t="shared" si="38"/>
        <v>-39</v>
      </c>
      <c r="G251" s="19">
        <v>0</v>
      </c>
      <c r="H251" s="62">
        <f>C249+I251</f>
        <v>0</v>
      </c>
      <c r="I251" s="20"/>
      <c r="J251" s="21"/>
      <c r="K251" s="42"/>
      <c r="L251" s="23">
        <f t="shared" si="41"/>
        <v>0</v>
      </c>
      <c r="M251" s="23">
        <f t="shared" si="42"/>
        <v>0</v>
      </c>
      <c r="O251" s="52"/>
      <c r="Q251" s="304"/>
      <c r="R251" s="259"/>
      <c r="S251" s="260"/>
      <c r="T251" s="261"/>
      <c r="U251" s="262"/>
      <c r="V251" s="263"/>
      <c r="W251" s="263"/>
    </row>
    <row r="252" spans="1:25" hidden="1" outlineLevel="1">
      <c r="A252" s="96">
        <v>45541</v>
      </c>
      <c r="B252" s="17" t="s">
        <v>15</v>
      </c>
      <c r="C252" s="23"/>
      <c r="D252" s="23"/>
      <c r="E252" s="23">
        <f t="shared" si="38"/>
        <v>-39</v>
      </c>
      <c r="G252" s="19">
        <v>0</v>
      </c>
      <c r="H252" s="62">
        <f>C250+I252</f>
        <v>0</v>
      </c>
      <c r="I252" s="20"/>
      <c r="J252" s="21"/>
      <c r="K252" s="42"/>
      <c r="L252" s="23">
        <f t="shared" si="41"/>
        <v>0</v>
      </c>
      <c r="M252" s="23">
        <f t="shared" si="42"/>
        <v>0</v>
      </c>
      <c r="O252" s="52"/>
      <c r="Q252" s="304"/>
      <c r="R252" s="259"/>
      <c r="S252" s="260"/>
      <c r="T252" s="261"/>
      <c r="U252" s="262"/>
      <c r="V252" s="263"/>
      <c r="W252" s="263"/>
    </row>
    <row r="253" spans="1:25" s="12" customFormat="1" hidden="1" outlineLevel="1">
      <c r="A253" s="95">
        <v>45542</v>
      </c>
      <c r="B253" s="25" t="s">
        <v>16</v>
      </c>
      <c r="C253" s="29"/>
      <c r="D253" s="29"/>
      <c r="E253" s="29">
        <f t="shared" si="38"/>
        <v>-39</v>
      </c>
      <c r="G253" s="64"/>
      <c r="H253" s="63"/>
      <c r="I253" s="27"/>
      <c r="J253" s="28"/>
      <c r="K253" s="43"/>
      <c r="L253" s="29">
        <f t="shared" si="41"/>
        <v>0</v>
      </c>
      <c r="M253" s="29">
        <f t="shared" si="42"/>
        <v>0</v>
      </c>
      <c r="O253" s="54"/>
      <c r="Q253" s="304"/>
      <c r="R253" s="259"/>
      <c r="S253" s="260"/>
      <c r="T253" s="261"/>
      <c r="U253" s="262"/>
      <c r="V253" s="263"/>
      <c r="W253" s="263"/>
      <c r="Y253" s="11"/>
    </row>
    <row r="254" spans="1:25" s="12" customFormat="1" hidden="1" outlineLevel="1" collapsed="1">
      <c r="A254" s="95">
        <v>45543</v>
      </c>
      <c r="B254" s="25" t="s">
        <v>17</v>
      </c>
      <c r="C254" s="29"/>
      <c r="D254" s="29"/>
      <c r="E254" s="29">
        <f t="shared" si="38"/>
        <v>-39</v>
      </c>
      <c r="G254" s="64"/>
      <c r="H254" s="63"/>
      <c r="I254" s="27"/>
      <c r="J254" s="28"/>
      <c r="K254" s="43"/>
      <c r="L254" s="29">
        <f t="shared" si="41"/>
        <v>0</v>
      </c>
      <c r="M254" s="29">
        <f t="shared" si="42"/>
        <v>0</v>
      </c>
      <c r="O254" s="54"/>
      <c r="Q254" s="304"/>
      <c r="R254" s="259"/>
      <c r="S254" s="260"/>
      <c r="T254" s="261"/>
      <c r="U254" s="262"/>
      <c r="V254" s="263"/>
      <c r="W254" s="263"/>
      <c r="Y254" s="11"/>
    </row>
    <row r="255" spans="1:25" hidden="1" outlineLevel="1">
      <c r="A255" s="96">
        <v>45544</v>
      </c>
      <c r="B255" s="17" t="s">
        <v>18</v>
      </c>
      <c r="C255" s="23"/>
      <c r="D255" s="23"/>
      <c r="E255" s="23">
        <f t="shared" si="38"/>
        <v>-39</v>
      </c>
      <c r="G255" s="19">
        <v>0</v>
      </c>
      <c r="H255" s="62">
        <f>C251+I255</f>
        <v>0</v>
      </c>
      <c r="I255" s="20"/>
      <c r="J255" s="21"/>
      <c r="K255" s="42"/>
      <c r="L255" s="23">
        <f t="shared" si="41"/>
        <v>0</v>
      </c>
      <c r="M255" s="23">
        <f t="shared" si="42"/>
        <v>0</v>
      </c>
      <c r="O255" s="52"/>
      <c r="Q255" s="304"/>
      <c r="R255" s="259"/>
      <c r="S255" s="260"/>
      <c r="T255" s="261"/>
      <c r="U255" s="262"/>
      <c r="V255" s="263"/>
      <c r="W255" s="263"/>
    </row>
    <row r="256" spans="1:25" hidden="1" outlineLevel="1">
      <c r="A256" s="96">
        <v>45545</v>
      </c>
      <c r="B256" s="17" t="s">
        <v>19</v>
      </c>
      <c r="C256" s="23"/>
      <c r="D256" s="23"/>
      <c r="E256" s="23">
        <f t="shared" si="38"/>
        <v>-39</v>
      </c>
      <c r="G256" s="19">
        <v>0</v>
      </c>
      <c r="H256" s="62">
        <f>C252+I256</f>
        <v>0</v>
      </c>
      <c r="I256" s="20"/>
      <c r="J256" s="21"/>
      <c r="K256" s="42"/>
      <c r="L256" s="23">
        <f t="shared" si="41"/>
        <v>0</v>
      </c>
      <c r="M256" s="23">
        <f t="shared" si="42"/>
        <v>0</v>
      </c>
      <c r="O256" s="52"/>
      <c r="Q256" s="304"/>
      <c r="R256" s="259"/>
      <c r="S256" s="260"/>
      <c r="T256" s="261"/>
      <c r="U256" s="262"/>
      <c r="V256" s="263"/>
      <c r="W256" s="263"/>
    </row>
    <row r="257" spans="1:25" hidden="1" outlineLevel="1">
      <c r="A257" s="96">
        <v>45546</v>
      </c>
      <c r="B257" s="17" t="s">
        <v>20</v>
      </c>
      <c r="C257" s="23"/>
      <c r="D257" s="23"/>
      <c r="E257" s="23">
        <f t="shared" si="38"/>
        <v>-39</v>
      </c>
      <c r="G257" s="19">
        <v>0</v>
      </c>
      <c r="H257" s="62">
        <f>C255+I257</f>
        <v>0</v>
      </c>
      <c r="I257" s="20"/>
      <c r="J257" s="21"/>
      <c r="K257" s="42"/>
      <c r="L257" s="23">
        <f t="shared" si="41"/>
        <v>0</v>
      </c>
      <c r="M257" s="23">
        <f t="shared" si="42"/>
        <v>0</v>
      </c>
      <c r="O257" s="52"/>
      <c r="Q257" s="304"/>
      <c r="R257" s="259"/>
      <c r="S257" s="260"/>
      <c r="T257" s="261"/>
      <c r="U257" s="262"/>
      <c r="V257" s="263"/>
      <c r="W257" s="263"/>
    </row>
    <row r="258" spans="1:25" hidden="1" outlineLevel="1">
      <c r="A258" s="96">
        <v>45547</v>
      </c>
      <c r="B258" s="17" t="s">
        <v>14</v>
      </c>
      <c r="C258" s="23"/>
      <c r="D258" s="23"/>
      <c r="E258" s="23">
        <f t="shared" si="38"/>
        <v>-39</v>
      </c>
      <c r="G258" s="19">
        <v>0</v>
      </c>
      <c r="H258" s="62">
        <f>C256+I258</f>
        <v>0</v>
      </c>
      <c r="I258" s="20"/>
      <c r="J258" s="21"/>
      <c r="K258" s="42"/>
      <c r="L258" s="23">
        <f t="shared" si="41"/>
        <v>0</v>
      </c>
      <c r="M258" s="23">
        <f t="shared" si="42"/>
        <v>0</v>
      </c>
      <c r="O258" s="52"/>
      <c r="Q258" s="304"/>
      <c r="R258" s="259"/>
      <c r="S258" s="260"/>
      <c r="T258" s="261"/>
      <c r="U258" s="262"/>
      <c r="V258" s="263"/>
      <c r="W258" s="263"/>
    </row>
    <row r="259" spans="1:25" hidden="1" outlineLevel="1">
      <c r="A259" s="96">
        <v>45548</v>
      </c>
      <c r="B259" s="17" t="s">
        <v>15</v>
      </c>
      <c r="C259" s="23"/>
      <c r="D259" s="23"/>
      <c r="E259" s="23">
        <f t="shared" si="38"/>
        <v>-39</v>
      </c>
      <c r="G259" s="19">
        <v>0</v>
      </c>
      <c r="H259" s="62">
        <f>C257+I259</f>
        <v>0</v>
      </c>
      <c r="I259" s="20"/>
      <c r="J259" s="21"/>
      <c r="K259" s="42"/>
      <c r="L259" s="23">
        <f t="shared" si="41"/>
        <v>0</v>
      </c>
      <c r="M259" s="23">
        <f t="shared" si="42"/>
        <v>0</v>
      </c>
      <c r="O259" s="52"/>
      <c r="Q259" s="304"/>
      <c r="R259" s="259"/>
      <c r="S259" s="260"/>
      <c r="T259" s="261"/>
      <c r="U259" s="262"/>
      <c r="V259" s="263"/>
      <c r="W259" s="263"/>
    </row>
    <row r="260" spans="1:25" s="12" customFormat="1" hidden="1" outlineLevel="1">
      <c r="A260" s="95">
        <v>45549</v>
      </c>
      <c r="B260" s="25" t="s">
        <v>16</v>
      </c>
      <c r="C260" s="29"/>
      <c r="D260" s="29"/>
      <c r="E260" s="29">
        <f t="shared" ref="E260:E277" si="43">E259-C260+D260</f>
        <v>-39</v>
      </c>
      <c r="G260" s="64"/>
      <c r="H260" s="63"/>
      <c r="I260" s="27"/>
      <c r="J260" s="28"/>
      <c r="K260" s="43"/>
      <c r="L260" s="29">
        <f t="shared" si="41"/>
        <v>0</v>
      </c>
      <c r="M260" s="29">
        <f t="shared" si="42"/>
        <v>0</v>
      </c>
      <c r="O260" s="54"/>
      <c r="Q260" s="304"/>
      <c r="R260" s="259"/>
      <c r="S260" s="260"/>
      <c r="T260" s="261"/>
      <c r="U260" s="262"/>
      <c r="V260" s="263"/>
      <c r="W260" s="263"/>
      <c r="Y260" s="11"/>
    </row>
    <row r="261" spans="1:25" s="12" customFormat="1" hidden="1" outlineLevel="1">
      <c r="A261" s="95">
        <v>45550</v>
      </c>
      <c r="B261" s="25" t="s">
        <v>17</v>
      </c>
      <c r="C261" s="29"/>
      <c r="D261" s="29"/>
      <c r="E261" s="29">
        <f t="shared" si="43"/>
        <v>-39</v>
      </c>
      <c r="G261" s="64"/>
      <c r="H261" s="63"/>
      <c r="I261" s="27"/>
      <c r="J261" s="28"/>
      <c r="K261" s="43"/>
      <c r="L261" s="29">
        <f t="shared" si="41"/>
        <v>0</v>
      </c>
      <c r="M261" s="29">
        <f t="shared" si="42"/>
        <v>0</v>
      </c>
      <c r="O261" s="54"/>
      <c r="Q261" s="304"/>
      <c r="R261" s="259"/>
      <c r="S261" s="260"/>
      <c r="T261" s="261"/>
      <c r="U261" s="262"/>
      <c r="V261" s="263"/>
      <c r="W261" s="263"/>
      <c r="Y261" s="11"/>
    </row>
    <row r="262" spans="1:25" s="12" customFormat="1" hidden="1" outlineLevel="1" collapsed="1">
      <c r="A262" s="95">
        <v>45551</v>
      </c>
      <c r="B262" s="25" t="s">
        <v>18</v>
      </c>
      <c r="C262" s="29"/>
      <c r="D262" s="29"/>
      <c r="E262" s="29">
        <f t="shared" si="43"/>
        <v>-39</v>
      </c>
      <c r="G262" s="64"/>
      <c r="H262" s="63"/>
      <c r="I262" s="27"/>
      <c r="J262" s="28"/>
      <c r="K262" s="43"/>
      <c r="L262" s="29">
        <f t="shared" si="41"/>
        <v>0</v>
      </c>
      <c r="M262" s="29">
        <f t="shared" si="42"/>
        <v>0</v>
      </c>
      <c r="O262" s="54"/>
      <c r="Q262" s="304"/>
      <c r="R262" s="259"/>
      <c r="S262" s="260"/>
      <c r="T262" s="261"/>
      <c r="U262" s="262"/>
      <c r="V262" s="263"/>
      <c r="W262" s="263"/>
      <c r="Y262" s="11"/>
    </row>
    <row r="263" spans="1:25" hidden="1" outlineLevel="1">
      <c r="A263" s="96">
        <v>45552</v>
      </c>
      <c r="B263" s="17" t="s">
        <v>19</v>
      </c>
      <c r="C263" s="23"/>
      <c r="D263" s="23"/>
      <c r="E263" s="23">
        <f t="shared" si="43"/>
        <v>-39</v>
      </c>
      <c r="G263" s="19">
        <v>0</v>
      </c>
      <c r="H263" s="62">
        <f>C258+I263</f>
        <v>0</v>
      </c>
      <c r="I263" s="20"/>
      <c r="J263" s="21"/>
      <c r="K263" s="42"/>
      <c r="L263" s="23">
        <f t="shared" si="41"/>
        <v>0</v>
      </c>
      <c r="M263" s="23">
        <f t="shared" si="42"/>
        <v>0</v>
      </c>
      <c r="O263" s="52"/>
      <c r="Q263" s="304"/>
      <c r="R263" s="259"/>
      <c r="S263" s="260"/>
      <c r="T263" s="261"/>
      <c r="U263" s="262"/>
      <c r="V263" s="263"/>
      <c r="W263" s="263"/>
    </row>
    <row r="264" spans="1:25" hidden="1" outlineLevel="1">
      <c r="A264" s="96">
        <v>45553</v>
      </c>
      <c r="B264" s="17" t="s">
        <v>20</v>
      </c>
      <c r="C264" s="23">
        <v>5</v>
      </c>
      <c r="D264" s="23"/>
      <c r="E264" s="23">
        <f t="shared" si="43"/>
        <v>-44</v>
      </c>
      <c r="G264" s="19">
        <v>0</v>
      </c>
      <c r="H264" s="62">
        <f>C259+I264</f>
        <v>0</v>
      </c>
      <c r="I264" s="20"/>
      <c r="J264" s="21"/>
      <c r="K264" s="42"/>
      <c r="L264" s="23">
        <f t="shared" si="41"/>
        <v>0</v>
      </c>
      <c r="M264" s="23">
        <f t="shared" si="42"/>
        <v>0</v>
      </c>
      <c r="O264" s="52"/>
      <c r="Q264" s="304"/>
      <c r="R264" s="259"/>
      <c r="S264" s="260"/>
      <c r="T264" s="261"/>
      <c r="U264" s="262"/>
      <c r="V264" s="263"/>
      <c r="W264" s="263"/>
    </row>
    <row r="265" spans="1:25" hidden="1" outlineLevel="1">
      <c r="A265" s="96">
        <v>45554</v>
      </c>
      <c r="B265" s="17" t="s">
        <v>14</v>
      </c>
      <c r="C265" s="23"/>
      <c r="D265" s="23"/>
      <c r="E265" s="23">
        <f t="shared" si="43"/>
        <v>-44</v>
      </c>
      <c r="G265" s="19">
        <v>0</v>
      </c>
      <c r="H265" s="62">
        <f>C263+I265</f>
        <v>0</v>
      </c>
      <c r="I265" s="20"/>
      <c r="J265" s="21"/>
      <c r="K265" s="42"/>
      <c r="L265" s="23">
        <f t="shared" si="41"/>
        <v>0</v>
      </c>
      <c r="M265" s="23">
        <f t="shared" si="42"/>
        <v>0</v>
      </c>
      <c r="O265" s="52"/>
      <c r="Q265" s="304"/>
      <c r="R265" s="259"/>
      <c r="S265" s="260"/>
      <c r="T265" s="261"/>
      <c r="U265" s="262"/>
      <c r="V265" s="263"/>
      <c r="W265" s="263"/>
    </row>
    <row r="266" spans="1:25" hidden="1" outlineLevel="1">
      <c r="A266" s="96">
        <v>45555</v>
      </c>
      <c r="B266" s="17" t="s">
        <v>15</v>
      </c>
      <c r="C266" s="23"/>
      <c r="D266" s="23"/>
      <c r="E266" s="23">
        <f t="shared" si="43"/>
        <v>-44</v>
      </c>
      <c r="G266" s="209">
        <v>5</v>
      </c>
      <c r="H266" s="62">
        <f>C264+I266</f>
        <v>0</v>
      </c>
      <c r="I266" s="20">
        <v>-5</v>
      </c>
      <c r="J266" s="21"/>
      <c r="K266" s="42"/>
      <c r="L266" s="23">
        <f t="shared" si="41"/>
        <v>-5</v>
      </c>
      <c r="M266" s="23">
        <f t="shared" si="42"/>
        <v>-5</v>
      </c>
      <c r="O266" s="52"/>
      <c r="Q266" s="308"/>
      <c r="R266" s="259"/>
      <c r="S266" s="260"/>
      <c r="T266" s="261"/>
      <c r="U266" s="262"/>
      <c r="V266" s="263"/>
      <c r="W266" s="263"/>
    </row>
    <row r="267" spans="1:25" s="12" customFormat="1" hidden="1" outlineLevel="1">
      <c r="A267" s="95">
        <v>45556</v>
      </c>
      <c r="B267" s="25" t="s">
        <v>16</v>
      </c>
      <c r="C267" s="29"/>
      <c r="D267" s="29"/>
      <c r="E267" s="29">
        <f t="shared" si="43"/>
        <v>-44</v>
      </c>
      <c r="G267" s="64"/>
      <c r="H267" s="63"/>
      <c r="I267" s="27"/>
      <c r="J267" s="28"/>
      <c r="K267" s="43"/>
      <c r="L267" s="29">
        <f t="shared" si="41"/>
        <v>-5</v>
      </c>
      <c r="M267" s="29">
        <f t="shared" si="42"/>
        <v>-5</v>
      </c>
      <c r="O267" s="54"/>
      <c r="Q267" s="304"/>
      <c r="R267" s="259"/>
      <c r="S267" s="260"/>
      <c r="T267" s="261"/>
      <c r="U267" s="262"/>
      <c r="V267" s="263"/>
      <c r="W267" s="263"/>
      <c r="Y267" s="11"/>
    </row>
    <row r="268" spans="1:25" s="12" customFormat="1" hidden="1" outlineLevel="1">
      <c r="A268" s="95">
        <v>45557</v>
      </c>
      <c r="B268" s="25" t="s">
        <v>17</v>
      </c>
      <c r="C268" s="29"/>
      <c r="D268" s="29"/>
      <c r="E268" s="29">
        <f t="shared" si="43"/>
        <v>-44</v>
      </c>
      <c r="G268" s="64"/>
      <c r="H268" s="63"/>
      <c r="I268" s="27"/>
      <c r="J268" s="28"/>
      <c r="K268" s="43"/>
      <c r="L268" s="29">
        <f t="shared" si="41"/>
        <v>-5</v>
      </c>
      <c r="M268" s="29">
        <f t="shared" si="42"/>
        <v>-5</v>
      </c>
      <c r="O268" s="54"/>
      <c r="Q268" s="304"/>
      <c r="R268" s="259"/>
      <c r="S268" s="260"/>
      <c r="T268" s="261"/>
      <c r="U268" s="262"/>
      <c r="V268" s="263"/>
      <c r="W268" s="263"/>
      <c r="Y268" s="11"/>
    </row>
    <row r="269" spans="1:25" hidden="1" outlineLevel="1" collapsed="1">
      <c r="A269" s="96">
        <v>45558</v>
      </c>
      <c r="B269" s="17" t="s">
        <v>18</v>
      </c>
      <c r="C269" s="23"/>
      <c r="D269" s="23"/>
      <c r="E269" s="23">
        <f t="shared" si="43"/>
        <v>-44</v>
      </c>
      <c r="G269" s="19"/>
      <c r="H269" s="62">
        <f>C265+I269</f>
        <v>0</v>
      </c>
      <c r="I269" s="20"/>
      <c r="J269" s="21"/>
      <c r="K269" s="42"/>
      <c r="L269" s="23">
        <f t="shared" si="41"/>
        <v>-5</v>
      </c>
      <c r="M269" s="23">
        <f t="shared" si="42"/>
        <v>-5</v>
      </c>
      <c r="O269" s="52"/>
      <c r="Q269" s="304"/>
      <c r="R269" s="259"/>
      <c r="S269" s="260"/>
      <c r="T269" s="261"/>
      <c r="U269" s="262"/>
      <c r="V269" s="263"/>
      <c r="W269" s="263"/>
    </row>
    <row r="270" spans="1:25" hidden="1" outlineLevel="1">
      <c r="A270" s="96">
        <v>45559</v>
      </c>
      <c r="B270" s="17" t="s">
        <v>19</v>
      </c>
      <c r="C270" s="23"/>
      <c r="D270" s="23"/>
      <c r="E270" s="23">
        <f t="shared" si="43"/>
        <v>-44</v>
      </c>
      <c r="G270" s="19"/>
      <c r="H270" s="231">
        <f>C266+I270</f>
        <v>5</v>
      </c>
      <c r="I270" s="20">
        <v>5</v>
      </c>
      <c r="J270" s="21"/>
      <c r="K270" s="57">
        <v>5</v>
      </c>
      <c r="L270" s="23">
        <f t="shared" si="41"/>
        <v>0</v>
      </c>
      <c r="M270" s="23">
        <f t="shared" si="42"/>
        <v>0</v>
      </c>
      <c r="O270" s="52"/>
      <c r="Q270" s="304"/>
      <c r="R270" s="259"/>
      <c r="S270" s="260"/>
      <c r="T270" s="261"/>
      <c r="U270" s="262"/>
      <c r="V270" s="263"/>
      <c r="W270" s="263"/>
    </row>
    <row r="271" spans="1:25" hidden="1" outlineLevel="1">
      <c r="A271" s="96">
        <v>45560</v>
      </c>
      <c r="B271" s="17" t="s">
        <v>20</v>
      </c>
      <c r="C271" s="23"/>
      <c r="D271" s="23"/>
      <c r="E271" s="23">
        <f t="shared" si="43"/>
        <v>-44</v>
      </c>
      <c r="G271" s="19"/>
      <c r="H271" s="62">
        <f>C269+I271</f>
        <v>0</v>
      </c>
      <c r="I271" s="20"/>
      <c r="J271" s="21"/>
      <c r="K271" s="42"/>
      <c r="L271" s="23">
        <f t="shared" si="41"/>
        <v>0</v>
      </c>
      <c r="M271" s="23">
        <f t="shared" si="42"/>
        <v>0</v>
      </c>
      <c r="O271" s="52"/>
      <c r="Q271" s="304"/>
      <c r="R271" s="259"/>
      <c r="S271" s="260"/>
      <c r="T271" s="261"/>
      <c r="U271" s="262"/>
      <c r="V271" s="263"/>
      <c r="W271" s="263"/>
    </row>
    <row r="272" spans="1:25" hidden="1" outlineLevel="1">
      <c r="A272" s="96">
        <v>45561</v>
      </c>
      <c r="B272" s="17" t="s">
        <v>14</v>
      </c>
      <c r="C272" s="23"/>
      <c r="D272" s="23"/>
      <c r="E272" s="23">
        <f t="shared" si="43"/>
        <v>-44</v>
      </c>
      <c r="G272" s="19"/>
      <c r="H272" s="62">
        <f>C270+I272</f>
        <v>0</v>
      </c>
      <c r="I272" s="20"/>
      <c r="J272" s="21"/>
      <c r="K272" s="42"/>
      <c r="L272" s="23">
        <f t="shared" si="41"/>
        <v>0</v>
      </c>
      <c r="M272" s="23">
        <f t="shared" si="42"/>
        <v>0</v>
      </c>
      <c r="O272" s="52"/>
      <c r="Q272" s="304"/>
      <c r="R272" s="259"/>
      <c r="S272" s="260"/>
      <c r="T272" s="261"/>
      <c r="U272" s="262"/>
      <c r="V272" s="263"/>
      <c r="W272" s="263"/>
    </row>
    <row r="273" spans="1:25" hidden="1" outlineLevel="1">
      <c r="A273" s="96">
        <v>45562</v>
      </c>
      <c r="B273" s="17" t="s">
        <v>15</v>
      </c>
      <c r="C273" s="23"/>
      <c r="D273" s="23"/>
      <c r="E273" s="23">
        <f t="shared" si="43"/>
        <v>-44</v>
      </c>
      <c r="G273" s="19"/>
      <c r="H273" s="62">
        <f>C271+I273</f>
        <v>0</v>
      </c>
      <c r="I273" s="20"/>
      <c r="J273" s="21"/>
      <c r="K273" s="42"/>
      <c r="L273" s="23">
        <f t="shared" si="41"/>
        <v>0</v>
      </c>
      <c r="M273" s="23">
        <f t="shared" si="42"/>
        <v>0</v>
      </c>
      <c r="O273" s="52"/>
      <c r="Q273" s="304"/>
      <c r="R273" s="259"/>
      <c r="S273" s="260"/>
      <c r="T273" s="261"/>
      <c r="U273" s="262"/>
      <c r="V273" s="263"/>
      <c r="W273" s="263"/>
    </row>
    <row r="274" spans="1:25" s="12" customFormat="1" hidden="1" outlineLevel="1">
      <c r="A274" s="95">
        <v>45563</v>
      </c>
      <c r="B274" s="25" t="s">
        <v>16</v>
      </c>
      <c r="C274" s="29"/>
      <c r="D274" s="29"/>
      <c r="E274" s="29">
        <f t="shared" si="43"/>
        <v>-44</v>
      </c>
      <c r="G274" s="64"/>
      <c r="H274" s="63"/>
      <c r="I274" s="27"/>
      <c r="J274" s="28"/>
      <c r="K274" s="43"/>
      <c r="L274" s="29">
        <f t="shared" si="41"/>
        <v>0</v>
      </c>
      <c r="M274" s="29">
        <f t="shared" si="42"/>
        <v>0</v>
      </c>
      <c r="O274" s="54"/>
      <c r="Q274" s="304"/>
      <c r="R274" s="259"/>
      <c r="S274" s="260"/>
      <c r="T274" s="261"/>
      <c r="U274" s="262"/>
      <c r="V274" s="263"/>
      <c r="W274" s="263"/>
      <c r="Y274" s="11"/>
    </row>
    <row r="275" spans="1:25" s="12" customFormat="1" hidden="1" outlineLevel="1">
      <c r="A275" s="95">
        <v>45564</v>
      </c>
      <c r="B275" s="25" t="s">
        <v>17</v>
      </c>
      <c r="C275" s="29"/>
      <c r="D275" s="29"/>
      <c r="E275" s="29">
        <f t="shared" si="43"/>
        <v>-44</v>
      </c>
      <c r="G275" s="64"/>
      <c r="H275" s="63"/>
      <c r="I275" s="27"/>
      <c r="J275" s="28"/>
      <c r="K275" s="43"/>
      <c r="L275" s="29">
        <f t="shared" si="41"/>
        <v>0</v>
      </c>
      <c r="M275" s="29">
        <f t="shared" si="42"/>
        <v>0</v>
      </c>
      <c r="O275" s="54"/>
      <c r="Q275" s="304"/>
      <c r="R275" s="259"/>
      <c r="S275" s="260"/>
      <c r="T275" s="261"/>
      <c r="U275" s="262"/>
      <c r="V275" s="263"/>
      <c r="W275" s="263"/>
      <c r="Y275" s="11"/>
    </row>
    <row r="276" spans="1:25" hidden="1" outlineLevel="1">
      <c r="A276" s="96">
        <v>45565</v>
      </c>
      <c r="B276" s="17" t="s">
        <v>18</v>
      </c>
      <c r="C276" s="23"/>
      <c r="D276" s="23"/>
      <c r="E276" s="23">
        <f t="shared" si="43"/>
        <v>-44</v>
      </c>
      <c r="G276" s="19"/>
      <c r="H276" s="62">
        <f>C272+I276</f>
        <v>0</v>
      </c>
      <c r="I276" s="20"/>
      <c r="J276" s="21"/>
      <c r="K276" s="42"/>
      <c r="L276" s="23">
        <f t="shared" si="41"/>
        <v>0</v>
      </c>
      <c r="M276" s="23">
        <f t="shared" si="42"/>
        <v>0</v>
      </c>
      <c r="O276" s="52"/>
      <c r="Q276" s="304"/>
      <c r="R276" s="259"/>
      <c r="S276" s="260"/>
      <c r="T276" s="261"/>
      <c r="U276" s="262"/>
      <c r="V276" s="263"/>
      <c r="W276" s="263"/>
    </row>
    <row r="277" spans="1:25" hidden="1" outlineLevel="1">
      <c r="A277" s="96">
        <v>45566</v>
      </c>
      <c r="B277" s="17" t="s">
        <v>19</v>
      </c>
      <c r="C277" s="23"/>
      <c r="D277" s="23"/>
      <c r="E277" s="23">
        <f t="shared" si="43"/>
        <v>-44</v>
      </c>
      <c r="G277" s="19"/>
      <c r="H277" s="62">
        <f>C273+I277</f>
        <v>0</v>
      </c>
      <c r="I277" s="20"/>
      <c r="J277" s="21"/>
      <c r="K277" s="42"/>
      <c r="L277" s="23">
        <f t="shared" ref="L277:L307" si="44">L276-G277+K277</f>
        <v>0</v>
      </c>
      <c r="M277" s="23">
        <f t="shared" ref="M277:M307" si="45">M276-G277+H277</f>
        <v>0</v>
      </c>
      <c r="O277" s="52"/>
      <c r="Q277" s="304"/>
      <c r="R277" s="259"/>
      <c r="S277" s="260"/>
      <c r="T277" s="261"/>
      <c r="U277" s="262"/>
      <c r="V277" s="263"/>
      <c r="W277" s="263"/>
    </row>
    <row r="278" spans="1:25" hidden="1" outlineLevel="1">
      <c r="A278" s="96">
        <v>45567</v>
      </c>
      <c r="B278" s="17" t="s">
        <v>20</v>
      </c>
      <c r="C278" s="23"/>
      <c r="D278" s="23"/>
      <c r="E278" s="23">
        <f t="shared" ref="E278:E341" si="46">E277-C278+D278</f>
        <v>-44</v>
      </c>
      <c r="G278" s="19"/>
      <c r="H278" s="62">
        <f>C276+I278</f>
        <v>0</v>
      </c>
      <c r="I278" s="20"/>
      <c r="J278" s="21"/>
      <c r="K278" s="42"/>
      <c r="L278" s="23">
        <f t="shared" si="44"/>
        <v>0</v>
      </c>
      <c r="M278" s="23">
        <f t="shared" si="45"/>
        <v>0</v>
      </c>
      <c r="O278" s="52"/>
      <c r="Q278" s="304"/>
      <c r="R278" s="259"/>
      <c r="S278" s="260"/>
      <c r="T278" s="261"/>
      <c r="U278" s="262"/>
      <c r="V278" s="263"/>
      <c r="W278" s="263"/>
    </row>
    <row r="279" spans="1:25" hidden="1" outlineLevel="1">
      <c r="A279" s="96">
        <v>45568</v>
      </c>
      <c r="B279" s="17" t="s">
        <v>14</v>
      </c>
      <c r="C279" s="23"/>
      <c r="D279" s="23"/>
      <c r="E279" s="23">
        <f t="shared" si="46"/>
        <v>-44</v>
      </c>
      <c r="G279" s="19"/>
      <c r="H279" s="62">
        <f>C277+I279</f>
        <v>0</v>
      </c>
      <c r="I279" s="20"/>
      <c r="J279" s="21"/>
      <c r="K279" s="42"/>
      <c r="L279" s="23">
        <f t="shared" si="44"/>
        <v>0</v>
      </c>
      <c r="M279" s="23">
        <f t="shared" si="45"/>
        <v>0</v>
      </c>
      <c r="O279" s="52"/>
      <c r="Q279" s="304"/>
      <c r="R279" s="259"/>
      <c r="S279" s="260"/>
      <c r="T279" s="261"/>
      <c r="U279" s="262"/>
      <c r="V279" s="263"/>
      <c r="W279" s="263"/>
    </row>
    <row r="280" spans="1:25" hidden="1" outlineLevel="1">
      <c r="A280" s="96">
        <v>45569</v>
      </c>
      <c r="B280" s="17" t="s">
        <v>15</v>
      </c>
      <c r="C280" s="23"/>
      <c r="D280" s="23"/>
      <c r="E280" s="23">
        <f t="shared" si="46"/>
        <v>-44</v>
      </c>
      <c r="G280" s="19"/>
      <c r="H280" s="62">
        <f>C278+I280</f>
        <v>0</v>
      </c>
      <c r="I280" s="20"/>
      <c r="J280" s="21"/>
      <c r="K280" s="42"/>
      <c r="L280" s="23">
        <f t="shared" si="44"/>
        <v>0</v>
      </c>
      <c r="M280" s="23">
        <f t="shared" si="45"/>
        <v>0</v>
      </c>
      <c r="O280" s="52"/>
      <c r="Q280" s="304"/>
      <c r="R280" s="259"/>
      <c r="S280" s="260"/>
      <c r="T280" s="261"/>
      <c r="U280" s="262"/>
      <c r="V280" s="263"/>
      <c r="W280" s="263"/>
    </row>
    <row r="281" spans="1:25" s="12" customFormat="1" hidden="1" outlineLevel="1">
      <c r="A281" s="95">
        <v>45570</v>
      </c>
      <c r="B281" s="25" t="s">
        <v>16</v>
      </c>
      <c r="C281" s="29"/>
      <c r="D281" s="29"/>
      <c r="E281" s="29">
        <f t="shared" si="46"/>
        <v>-44</v>
      </c>
      <c r="G281" s="64"/>
      <c r="H281" s="63"/>
      <c r="I281" s="27"/>
      <c r="J281" s="28"/>
      <c r="K281" s="43"/>
      <c r="L281" s="29">
        <f t="shared" si="44"/>
        <v>0</v>
      </c>
      <c r="M281" s="29">
        <f t="shared" si="45"/>
        <v>0</v>
      </c>
      <c r="O281" s="54"/>
      <c r="Q281" s="304"/>
      <c r="R281" s="259"/>
      <c r="S281" s="260"/>
      <c r="T281" s="261"/>
      <c r="U281" s="262"/>
      <c r="V281" s="263"/>
      <c r="W281" s="263"/>
      <c r="Y281" s="11"/>
    </row>
    <row r="282" spans="1:25" s="12" customFormat="1" hidden="1" outlineLevel="1" collapsed="1">
      <c r="A282" s="95">
        <v>45571</v>
      </c>
      <c r="B282" s="25" t="s">
        <v>17</v>
      </c>
      <c r="C282" s="29"/>
      <c r="D282" s="29"/>
      <c r="E282" s="29">
        <f t="shared" si="46"/>
        <v>-44</v>
      </c>
      <c r="G282" s="64"/>
      <c r="H282" s="63"/>
      <c r="I282" s="27"/>
      <c r="J282" s="28"/>
      <c r="K282" s="43"/>
      <c r="L282" s="29">
        <f t="shared" si="44"/>
        <v>0</v>
      </c>
      <c r="M282" s="29">
        <f t="shared" si="45"/>
        <v>0</v>
      </c>
      <c r="O282" s="54"/>
      <c r="Q282" s="304"/>
      <c r="R282" s="259"/>
      <c r="S282" s="260"/>
      <c r="T282" s="261"/>
      <c r="U282" s="262"/>
      <c r="V282" s="263"/>
      <c r="W282" s="263"/>
      <c r="Y282" s="11"/>
    </row>
    <row r="283" spans="1:25" hidden="1" outlineLevel="1">
      <c r="A283" s="96">
        <v>45572</v>
      </c>
      <c r="B283" s="17" t="s">
        <v>18</v>
      </c>
      <c r="C283" s="23"/>
      <c r="D283" s="23"/>
      <c r="E283" s="23">
        <f t="shared" si="46"/>
        <v>-44</v>
      </c>
      <c r="G283" s="19"/>
      <c r="H283" s="62">
        <f>C279+I283</f>
        <v>0</v>
      </c>
      <c r="I283" s="20"/>
      <c r="J283" s="21"/>
      <c r="K283" s="42"/>
      <c r="L283" s="23">
        <f t="shared" si="44"/>
        <v>0</v>
      </c>
      <c r="M283" s="23">
        <f t="shared" si="45"/>
        <v>0</v>
      </c>
      <c r="O283" s="52"/>
      <c r="Q283" s="304"/>
      <c r="R283" s="259"/>
      <c r="S283" s="260"/>
      <c r="T283" s="261"/>
      <c r="U283" s="262"/>
      <c r="V283" s="263"/>
      <c r="W283" s="263"/>
    </row>
    <row r="284" spans="1:25" hidden="1" outlineLevel="1">
      <c r="A284" s="96">
        <v>45573</v>
      </c>
      <c r="B284" s="17" t="s">
        <v>19</v>
      </c>
      <c r="C284" s="23"/>
      <c r="D284" s="23"/>
      <c r="E284" s="23">
        <f t="shared" si="46"/>
        <v>-44</v>
      </c>
      <c r="G284" s="19"/>
      <c r="H284" s="62">
        <f>C280+I284</f>
        <v>0</v>
      </c>
      <c r="I284" s="20"/>
      <c r="J284" s="21"/>
      <c r="K284" s="42"/>
      <c r="L284" s="23">
        <f t="shared" si="44"/>
        <v>0</v>
      </c>
      <c r="M284" s="23">
        <f t="shared" si="45"/>
        <v>0</v>
      </c>
      <c r="O284" s="52"/>
      <c r="Q284" s="304"/>
      <c r="R284" s="259"/>
      <c r="S284" s="260"/>
      <c r="T284" s="261"/>
      <c r="U284" s="262"/>
      <c r="V284" s="263"/>
      <c r="W284" s="263"/>
    </row>
    <row r="285" spans="1:25" hidden="1" outlineLevel="1">
      <c r="A285" s="124">
        <v>45574</v>
      </c>
      <c r="B285" s="17" t="s">
        <v>20</v>
      </c>
      <c r="C285" s="23"/>
      <c r="D285" s="23"/>
      <c r="E285" s="23">
        <f t="shared" si="46"/>
        <v>-44</v>
      </c>
      <c r="G285" s="19"/>
      <c r="H285" s="62">
        <f>C283+I285</f>
        <v>0</v>
      </c>
      <c r="I285" s="20"/>
      <c r="J285" s="21"/>
      <c r="K285" s="42"/>
      <c r="L285" s="23">
        <f t="shared" si="44"/>
        <v>0</v>
      </c>
      <c r="M285" s="23">
        <f t="shared" si="45"/>
        <v>0</v>
      </c>
      <c r="O285" s="52"/>
      <c r="Q285" s="304"/>
      <c r="R285" s="259"/>
      <c r="S285" s="260"/>
      <c r="T285" s="261"/>
      <c r="U285" s="262"/>
      <c r="V285" s="263"/>
      <c r="W285" s="263"/>
    </row>
    <row r="286" spans="1:25" hidden="1" outlineLevel="1">
      <c r="A286" s="124">
        <v>45575</v>
      </c>
      <c r="B286" s="17" t="s">
        <v>14</v>
      </c>
      <c r="C286" s="23"/>
      <c r="D286" s="23"/>
      <c r="E286" s="23">
        <f t="shared" si="46"/>
        <v>-44</v>
      </c>
      <c r="G286" s="19"/>
      <c r="H286" s="62">
        <f>C284+I286</f>
        <v>0</v>
      </c>
      <c r="I286" s="20"/>
      <c r="J286" s="21"/>
      <c r="K286" s="42"/>
      <c r="L286" s="23">
        <f t="shared" si="44"/>
        <v>0</v>
      </c>
      <c r="M286" s="23">
        <f t="shared" si="45"/>
        <v>0</v>
      </c>
      <c r="O286" s="52"/>
      <c r="Q286" s="304"/>
      <c r="R286" s="259"/>
      <c r="S286" s="260"/>
      <c r="T286" s="261"/>
      <c r="U286" s="262"/>
      <c r="V286" s="263"/>
      <c r="W286" s="263"/>
    </row>
    <row r="287" spans="1:25" hidden="1" outlineLevel="1">
      <c r="A287" s="124">
        <v>45576</v>
      </c>
      <c r="B287" s="17" t="s">
        <v>15</v>
      </c>
      <c r="C287" s="23"/>
      <c r="D287" s="23"/>
      <c r="E287" s="23">
        <f t="shared" si="46"/>
        <v>-44</v>
      </c>
      <c r="G287" s="19"/>
      <c r="H287" s="62">
        <f>C285+I287</f>
        <v>0</v>
      </c>
      <c r="I287" s="20"/>
      <c r="J287" s="21"/>
      <c r="K287" s="42"/>
      <c r="L287" s="23">
        <f t="shared" si="44"/>
        <v>0</v>
      </c>
      <c r="M287" s="23">
        <f t="shared" si="45"/>
        <v>0</v>
      </c>
      <c r="O287" s="52"/>
      <c r="Q287" s="304"/>
      <c r="R287" s="259"/>
      <c r="S287" s="260"/>
      <c r="T287" s="261"/>
      <c r="U287" s="262"/>
      <c r="V287" s="263"/>
      <c r="W287" s="263"/>
    </row>
    <row r="288" spans="1:25" s="12" customFormat="1" hidden="1" outlineLevel="1">
      <c r="A288" s="123">
        <v>45577</v>
      </c>
      <c r="B288" s="25" t="s">
        <v>16</v>
      </c>
      <c r="C288" s="29"/>
      <c r="D288" s="29"/>
      <c r="E288" s="29">
        <f t="shared" si="46"/>
        <v>-44</v>
      </c>
      <c r="G288" s="64"/>
      <c r="H288" s="63"/>
      <c r="I288" s="27"/>
      <c r="J288" s="28"/>
      <c r="K288" s="43"/>
      <c r="L288" s="29">
        <f t="shared" si="44"/>
        <v>0</v>
      </c>
      <c r="M288" s="29">
        <f t="shared" si="45"/>
        <v>0</v>
      </c>
      <c r="O288" s="54"/>
      <c r="Q288" s="304"/>
      <c r="R288" s="259"/>
      <c r="S288" s="260"/>
      <c r="T288" s="261"/>
      <c r="U288" s="262"/>
      <c r="V288" s="263"/>
      <c r="W288" s="263"/>
      <c r="Y288" s="11"/>
    </row>
    <row r="289" spans="1:25" s="12" customFormat="1" hidden="1" outlineLevel="1">
      <c r="A289" s="123">
        <v>45578</v>
      </c>
      <c r="B289" s="25" t="s">
        <v>17</v>
      </c>
      <c r="C289" s="29"/>
      <c r="D289" s="29"/>
      <c r="E289" s="29">
        <f t="shared" si="46"/>
        <v>-44</v>
      </c>
      <c r="G289" s="64"/>
      <c r="H289" s="63"/>
      <c r="I289" s="27"/>
      <c r="J289" s="28"/>
      <c r="K289" s="43"/>
      <c r="L289" s="29">
        <f t="shared" si="44"/>
        <v>0</v>
      </c>
      <c r="M289" s="29">
        <f t="shared" si="45"/>
        <v>0</v>
      </c>
      <c r="O289" s="54"/>
      <c r="Q289" s="304"/>
      <c r="R289" s="259"/>
      <c r="S289" s="260"/>
      <c r="T289" s="261"/>
      <c r="U289" s="262"/>
      <c r="V289" s="263"/>
      <c r="W289" s="263"/>
      <c r="Y289" s="11"/>
    </row>
    <row r="290" spans="1:25" s="12" customFormat="1" hidden="1" outlineLevel="1" collapsed="1">
      <c r="A290" s="123">
        <v>45579</v>
      </c>
      <c r="B290" s="25" t="s">
        <v>18</v>
      </c>
      <c r="C290" s="29"/>
      <c r="D290" s="29"/>
      <c r="E290" s="29">
        <f t="shared" si="46"/>
        <v>-44</v>
      </c>
      <c r="G290" s="64"/>
      <c r="H290" s="63"/>
      <c r="I290" s="27"/>
      <c r="J290" s="28"/>
      <c r="K290" s="43"/>
      <c r="L290" s="29">
        <f t="shared" si="44"/>
        <v>0</v>
      </c>
      <c r="M290" s="29">
        <f t="shared" si="45"/>
        <v>0</v>
      </c>
      <c r="O290" s="54"/>
      <c r="Q290" s="304"/>
      <c r="R290" s="259"/>
      <c r="S290" s="260"/>
      <c r="T290" s="261"/>
      <c r="U290" s="262"/>
      <c r="V290" s="263"/>
      <c r="W290" s="263"/>
      <c r="Y290" s="11"/>
    </row>
    <row r="291" spans="1:25" hidden="1" outlineLevel="1">
      <c r="A291" s="124">
        <v>45580</v>
      </c>
      <c r="B291" s="17" t="s">
        <v>19</v>
      </c>
      <c r="C291" s="23"/>
      <c r="D291" s="23"/>
      <c r="E291" s="23">
        <f t="shared" si="46"/>
        <v>-44</v>
      </c>
      <c r="G291" s="19"/>
      <c r="H291" s="62">
        <f>C286+I291</f>
        <v>0</v>
      </c>
      <c r="I291" s="20"/>
      <c r="J291" s="21"/>
      <c r="K291" s="42"/>
      <c r="L291" s="23">
        <f t="shared" si="44"/>
        <v>0</v>
      </c>
      <c r="M291" s="23">
        <f t="shared" si="45"/>
        <v>0</v>
      </c>
      <c r="O291" s="52"/>
      <c r="Q291" s="304"/>
      <c r="R291" s="259"/>
      <c r="S291" s="260"/>
      <c r="T291" s="261"/>
      <c r="U291" s="262"/>
      <c r="V291" s="263"/>
      <c r="W291" s="263"/>
    </row>
    <row r="292" spans="1:25" hidden="1" outlineLevel="1">
      <c r="A292" s="124">
        <v>45581</v>
      </c>
      <c r="B292" s="17" t="s">
        <v>20</v>
      </c>
      <c r="C292" s="23"/>
      <c r="D292" s="23"/>
      <c r="E292" s="23">
        <f t="shared" si="46"/>
        <v>-44</v>
      </c>
      <c r="G292" s="19"/>
      <c r="H292" s="62">
        <f>C287+I292</f>
        <v>0</v>
      </c>
      <c r="I292" s="20"/>
      <c r="J292" s="21"/>
      <c r="K292" s="42"/>
      <c r="L292" s="23">
        <f t="shared" si="44"/>
        <v>0</v>
      </c>
      <c r="M292" s="23">
        <f t="shared" si="45"/>
        <v>0</v>
      </c>
      <c r="O292" s="52"/>
      <c r="Q292" s="304"/>
      <c r="R292" s="259"/>
      <c r="S292" s="260"/>
      <c r="T292" s="261"/>
      <c r="U292" s="262"/>
      <c r="V292" s="263"/>
      <c r="W292" s="263"/>
    </row>
    <row r="293" spans="1:25" hidden="1" outlineLevel="1">
      <c r="A293" s="124">
        <v>45582</v>
      </c>
      <c r="B293" s="17" t="s">
        <v>14</v>
      </c>
      <c r="C293" s="23"/>
      <c r="D293" s="23"/>
      <c r="E293" s="23">
        <f t="shared" si="46"/>
        <v>-44</v>
      </c>
      <c r="G293" s="19"/>
      <c r="H293" s="62">
        <f>C291+I293</f>
        <v>0</v>
      </c>
      <c r="I293" s="20"/>
      <c r="J293" s="21"/>
      <c r="K293" s="42"/>
      <c r="L293" s="23">
        <f t="shared" si="44"/>
        <v>0</v>
      </c>
      <c r="M293" s="23">
        <f t="shared" si="45"/>
        <v>0</v>
      </c>
      <c r="O293" s="52"/>
      <c r="Q293" s="304"/>
      <c r="R293" s="259"/>
      <c r="S293" s="260"/>
      <c r="T293" s="261"/>
      <c r="U293" s="262"/>
      <c r="V293" s="263"/>
      <c r="W293" s="263"/>
    </row>
    <row r="294" spans="1:25" hidden="1" outlineLevel="1">
      <c r="A294" s="124">
        <v>45583</v>
      </c>
      <c r="B294" s="17" t="s">
        <v>15</v>
      </c>
      <c r="C294" s="23"/>
      <c r="D294" s="23"/>
      <c r="E294" s="23">
        <f t="shared" si="46"/>
        <v>-44</v>
      </c>
      <c r="G294" s="19"/>
      <c r="H294" s="62">
        <f>C292+I294</f>
        <v>0</v>
      </c>
      <c r="I294" s="20"/>
      <c r="J294" s="21"/>
      <c r="K294" s="42"/>
      <c r="L294" s="23">
        <f t="shared" si="44"/>
        <v>0</v>
      </c>
      <c r="M294" s="23">
        <f t="shared" si="45"/>
        <v>0</v>
      </c>
      <c r="O294" s="52"/>
      <c r="Q294" s="304"/>
      <c r="R294" s="259"/>
      <c r="S294" s="260"/>
      <c r="T294" s="261"/>
      <c r="U294" s="262"/>
      <c r="V294" s="263"/>
      <c r="W294" s="263"/>
    </row>
    <row r="295" spans="1:25" s="12" customFormat="1" hidden="1" outlineLevel="1">
      <c r="A295" s="123">
        <v>45584</v>
      </c>
      <c r="B295" s="25" t="s">
        <v>16</v>
      </c>
      <c r="C295" s="29"/>
      <c r="D295" s="29"/>
      <c r="E295" s="29">
        <f t="shared" si="46"/>
        <v>-44</v>
      </c>
      <c r="G295" s="64"/>
      <c r="H295" s="63"/>
      <c r="I295" s="27"/>
      <c r="J295" s="28"/>
      <c r="K295" s="43"/>
      <c r="L295" s="29">
        <f t="shared" si="44"/>
        <v>0</v>
      </c>
      <c r="M295" s="29">
        <f t="shared" si="45"/>
        <v>0</v>
      </c>
      <c r="O295" s="54"/>
      <c r="Q295" s="304"/>
      <c r="R295" s="259"/>
      <c r="S295" s="260"/>
      <c r="T295" s="261"/>
      <c r="U295" s="262"/>
      <c r="V295" s="263"/>
      <c r="W295" s="263"/>
      <c r="Y295" s="11"/>
    </row>
    <row r="296" spans="1:25" s="12" customFormat="1" hidden="1" outlineLevel="1" collapsed="1">
      <c r="A296" s="123">
        <v>45585</v>
      </c>
      <c r="B296" s="25" t="s">
        <v>17</v>
      </c>
      <c r="C296" s="29"/>
      <c r="D296" s="29"/>
      <c r="E296" s="29">
        <f t="shared" si="46"/>
        <v>-44</v>
      </c>
      <c r="G296" s="64"/>
      <c r="H296" s="63"/>
      <c r="I296" s="27"/>
      <c r="J296" s="28"/>
      <c r="K296" s="43"/>
      <c r="L296" s="29">
        <f t="shared" si="44"/>
        <v>0</v>
      </c>
      <c r="M296" s="29">
        <f t="shared" si="45"/>
        <v>0</v>
      </c>
      <c r="O296" s="54"/>
      <c r="Q296" s="304"/>
      <c r="R296" s="259"/>
      <c r="S296" s="260"/>
      <c r="T296" s="261"/>
      <c r="U296" s="262"/>
      <c r="V296" s="263"/>
      <c r="W296" s="263"/>
      <c r="Y296" s="11"/>
    </row>
    <row r="297" spans="1:25" hidden="1" outlineLevel="1">
      <c r="A297" s="124">
        <v>45586</v>
      </c>
      <c r="B297" s="17" t="s">
        <v>18</v>
      </c>
      <c r="C297" s="23"/>
      <c r="D297" s="23"/>
      <c r="E297" s="23">
        <f t="shared" si="46"/>
        <v>-44</v>
      </c>
      <c r="G297" s="19"/>
      <c r="H297" s="62">
        <f>C293+I297</f>
        <v>0</v>
      </c>
      <c r="I297" s="20"/>
      <c r="J297" s="21"/>
      <c r="K297" s="42"/>
      <c r="L297" s="23">
        <f t="shared" si="44"/>
        <v>0</v>
      </c>
      <c r="M297" s="23">
        <f t="shared" si="45"/>
        <v>0</v>
      </c>
      <c r="O297" s="52"/>
      <c r="Q297" s="304"/>
      <c r="R297" s="259"/>
      <c r="S297" s="260"/>
      <c r="T297" s="261"/>
      <c r="U297" s="262"/>
      <c r="V297" s="263"/>
      <c r="W297" s="263"/>
    </row>
    <row r="298" spans="1:25" hidden="1" outlineLevel="1">
      <c r="A298" s="124">
        <v>45587</v>
      </c>
      <c r="B298" s="17" t="s">
        <v>19</v>
      </c>
      <c r="C298" s="23"/>
      <c r="D298" s="23"/>
      <c r="E298" s="23">
        <f t="shared" si="46"/>
        <v>-44</v>
      </c>
      <c r="G298" s="19"/>
      <c r="H298" s="62">
        <f>C294+I298</f>
        <v>0</v>
      </c>
      <c r="I298" s="20"/>
      <c r="J298" s="21"/>
      <c r="K298" s="42"/>
      <c r="L298" s="23">
        <f t="shared" si="44"/>
        <v>0</v>
      </c>
      <c r="M298" s="23">
        <f t="shared" si="45"/>
        <v>0</v>
      </c>
      <c r="O298" s="52"/>
      <c r="Q298" s="304"/>
      <c r="R298" s="259"/>
      <c r="S298" s="260"/>
      <c r="T298" s="261"/>
      <c r="U298" s="262"/>
      <c r="V298" s="263"/>
      <c r="W298" s="263"/>
    </row>
    <row r="299" spans="1:25" hidden="1" outlineLevel="1">
      <c r="A299" s="124">
        <v>45588</v>
      </c>
      <c r="B299" s="17" t="s">
        <v>20</v>
      </c>
      <c r="C299" s="23"/>
      <c r="D299" s="23"/>
      <c r="E299" s="23">
        <f t="shared" si="46"/>
        <v>-44</v>
      </c>
      <c r="G299" s="19"/>
      <c r="H299" s="62">
        <f>C297+I299</f>
        <v>0</v>
      </c>
      <c r="I299" s="20"/>
      <c r="J299" s="21"/>
      <c r="K299" s="42"/>
      <c r="L299" s="23">
        <f t="shared" si="44"/>
        <v>0</v>
      </c>
      <c r="M299" s="23">
        <f t="shared" si="45"/>
        <v>0</v>
      </c>
      <c r="O299" s="52"/>
      <c r="Q299" s="304"/>
      <c r="R299" s="259"/>
      <c r="S299" s="260"/>
      <c r="T299" s="261"/>
      <c r="U299" s="262"/>
      <c r="V299" s="263"/>
      <c r="W299" s="263"/>
    </row>
    <row r="300" spans="1:25" hidden="1" outlineLevel="1">
      <c r="A300" s="124">
        <v>45589</v>
      </c>
      <c r="B300" s="17" t="s">
        <v>14</v>
      </c>
      <c r="C300" s="23"/>
      <c r="D300" s="23"/>
      <c r="E300" s="23">
        <f t="shared" si="46"/>
        <v>-44</v>
      </c>
      <c r="G300" s="19"/>
      <c r="H300" s="62">
        <f>C298+I300</f>
        <v>0</v>
      </c>
      <c r="I300" s="20"/>
      <c r="J300" s="21"/>
      <c r="K300" s="42"/>
      <c r="L300" s="23">
        <f t="shared" si="44"/>
        <v>0</v>
      </c>
      <c r="M300" s="23">
        <f t="shared" si="45"/>
        <v>0</v>
      </c>
      <c r="O300" s="52"/>
      <c r="Q300" s="304"/>
      <c r="R300" s="259"/>
      <c r="S300" s="260"/>
      <c r="T300" s="261"/>
      <c r="U300" s="262"/>
      <c r="V300" s="263"/>
      <c r="W300" s="263"/>
    </row>
    <row r="301" spans="1:25" hidden="1" outlineLevel="1">
      <c r="A301" s="124">
        <v>45590</v>
      </c>
      <c r="B301" s="17" t="s">
        <v>15</v>
      </c>
      <c r="C301" s="23"/>
      <c r="D301" s="23"/>
      <c r="E301" s="23">
        <f t="shared" si="46"/>
        <v>-44</v>
      </c>
      <c r="G301" s="19"/>
      <c r="H301" s="62">
        <f>C299+I301</f>
        <v>0</v>
      </c>
      <c r="I301" s="20"/>
      <c r="J301" s="21"/>
      <c r="K301" s="42"/>
      <c r="L301" s="23">
        <f t="shared" si="44"/>
        <v>0</v>
      </c>
      <c r="M301" s="23">
        <f t="shared" si="45"/>
        <v>0</v>
      </c>
      <c r="O301" s="52"/>
      <c r="Q301" s="304"/>
      <c r="R301" s="259"/>
      <c r="S301" s="260"/>
      <c r="T301" s="261"/>
      <c r="U301" s="262"/>
      <c r="V301" s="263"/>
      <c r="W301" s="263"/>
    </row>
    <row r="302" spans="1:25" s="12" customFormat="1" hidden="1" outlineLevel="1">
      <c r="A302" s="123">
        <v>45591</v>
      </c>
      <c r="B302" s="25" t="s">
        <v>16</v>
      </c>
      <c r="C302" s="29"/>
      <c r="D302" s="29"/>
      <c r="E302" s="29">
        <f t="shared" si="46"/>
        <v>-44</v>
      </c>
      <c r="G302" s="64"/>
      <c r="H302" s="63"/>
      <c r="I302" s="27"/>
      <c r="J302" s="28"/>
      <c r="K302" s="43"/>
      <c r="L302" s="29">
        <f t="shared" si="44"/>
        <v>0</v>
      </c>
      <c r="M302" s="29">
        <f t="shared" si="45"/>
        <v>0</v>
      </c>
      <c r="O302" s="54"/>
      <c r="Q302" s="304"/>
      <c r="R302" s="259"/>
      <c r="S302" s="260"/>
      <c r="T302" s="261"/>
      <c r="U302" s="262"/>
      <c r="V302" s="263"/>
      <c r="W302" s="263"/>
      <c r="Y302" s="11"/>
    </row>
    <row r="303" spans="1:25" s="12" customFormat="1" hidden="1" outlineLevel="1" collapsed="1">
      <c r="A303" s="123">
        <v>45592</v>
      </c>
      <c r="B303" s="25" t="s">
        <v>17</v>
      </c>
      <c r="C303" s="29"/>
      <c r="D303" s="29"/>
      <c r="E303" s="29">
        <f t="shared" si="46"/>
        <v>-44</v>
      </c>
      <c r="G303" s="64"/>
      <c r="H303" s="63"/>
      <c r="I303" s="27"/>
      <c r="J303" s="28"/>
      <c r="K303" s="43"/>
      <c r="L303" s="29">
        <f t="shared" si="44"/>
        <v>0</v>
      </c>
      <c r="M303" s="29">
        <f t="shared" si="45"/>
        <v>0</v>
      </c>
      <c r="O303" s="54"/>
      <c r="Q303" s="304"/>
      <c r="R303" s="259"/>
      <c r="S303" s="260"/>
      <c r="T303" s="261"/>
      <c r="U303" s="262"/>
      <c r="V303" s="263"/>
      <c r="W303" s="263"/>
      <c r="Y303" s="11"/>
    </row>
    <row r="304" spans="1:25" hidden="1" outlineLevel="1">
      <c r="A304" s="124">
        <v>45593</v>
      </c>
      <c r="B304" s="17" t="s">
        <v>18</v>
      </c>
      <c r="C304" s="23"/>
      <c r="D304" s="23"/>
      <c r="E304" s="23">
        <f t="shared" si="46"/>
        <v>-44</v>
      </c>
      <c r="G304" s="19"/>
      <c r="H304" s="62">
        <f>C300+I304</f>
        <v>0</v>
      </c>
      <c r="I304" s="20"/>
      <c r="J304" s="21"/>
      <c r="K304" s="42"/>
      <c r="L304" s="23">
        <f t="shared" si="44"/>
        <v>0</v>
      </c>
      <c r="M304" s="23">
        <f t="shared" si="45"/>
        <v>0</v>
      </c>
      <c r="O304" s="52"/>
      <c r="Q304" s="304"/>
      <c r="R304" s="259"/>
      <c r="S304" s="260"/>
      <c r="T304" s="261"/>
      <c r="U304" s="262"/>
      <c r="V304" s="263"/>
      <c r="W304" s="263"/>
    </row>
    <row r="305" spans="1:25" hidden="1" outlineLevel="1">
      <c r="A305" s="124">
        <v>45594</v>
      </c>
      <c r="B305" s="17" t="s">
        <v>19</v>
      </c>
      <c r="C305" s="23"/>
      <c r="D305" s="23"/>
      <c r="E305" s="23">
        <f t="shared" si="46"/>
        <v>-44</v>
      </c>
      <c r="G305" s="19"/>
      <c r="H305" s="62">
        <f>C301+I305</f>
        <v>0</v>
      </c>
      <c r="I305" s="20"/>
      <c r="J305" s="21"/>
      <c r="K305" s="42"/>
      <c r="L305" s="23">
        <f t="shared" si="44"/>
        <v>0</v>
      </c>
      <c r="M305" s="23">
        <f t="shared" si="45"/>
        <v>0</v>
      </c>
      <c r="O305" s="52"/>
      <c r="Q305" s="304"/>
      <c r="R305" s="259"/>
      <c r="S305" s="260"/>
      <c r="T305" s="261"/>
      <c r="U305" s="262"/>
      <c r="V305" s="263"/>
      <c r="W305" s="263"/>
    </row>
    <row r="306" spans="1:25" hidden="1" outlineLevel="1">
      <c r="A306" s="124">
        <v>45595</v>
      </c>
      <c r="B306" s="17" t="s">
        <v>20</v>
      </c>
      <c r="C306" s="23"/>
      <c r="D306" s="23"/>
      <c r="E306" s="23">
        <f t="shared" si="46"/>
        <v>-44</v>
      </c>
      <c r="G306" s="19"/>
      <c r="H306" s="62">
        <f>C304+I306</f>
        <v>0</v>
      </c>
      <c r="I306" s="20"/>
      <c r="J306" s="21"/>
      <c r="K306" s="42"/>
      <c r="L306" s="23">
        <f t="shared" si="44"/>
        <v>0</v>
      </c>
      <c r="M306" s="23">
        <f t="shared" si="45"/>
        <v>0</v>
      </c>
      <c r="O306" s="52"/>
      <c r="Q306" s="304"/>
      <c r="R306" s="259"/>
      <c r="S306" s="260"/>
      <c r="T306" s="261"/>
      <c r="U306" s="262"/>
      <c r="V306" s="263"/>
      <c r="W306" s="263"/>
    </row>
    <row r="307" spans="1:25" hidden="1" outlineLevel="1">
      <c r="A307" s="124">
        <v>45596</v>
      </c>
      <c r="B307" s="17" t="s">
        <v>14</v>
      </c>
      <c r="C307" s="23"/>
      <c r="D307" s="23"/>
      <c r="E307" s="23">
        <f t="shared" si="46"/>
        <v>-44</v>
      </c>
      <c r="G307" s="19"/>
      <c r="H307" s="62">
        <f>C305+I307</f>
        <v>0</v>
      </c>
      <c r="I307" s="20"/>
      <c r="J307" s="21"/>
      <c r="K307" s="42"/>
      <c r="L307" s="23">
        <f t="shared" si="44"/>
        <v>0</v>
      </c>
      <c r="M307" s="23">
        <f t="shared" si="45"/>
        <v>0</v>
      </c>
      <c r="O307" s="52"/>
      <c r="Q307" s="304"/>
      <c r="R307" s="259"/>
      <c r="S307" s="260"/>
      <c r="T307" s="261"/>
      <c r="U307" s="262"/>
      <c r="V307" s="263"/>
      <c r="W307" s="263"/>
    </row>
    <row r="308" spans="1:25" hidden="1" outlineLevel="1">
      <c r="A308" s="124">
        <v>45597</v>
      </c>
      <c r="B308" s="17" t="s">
        <v>15</v>
      </c>
      <c r="C308" s="23"/>
      <c r="D308" s="23"/>
      <c r="E308" s="23">
        <f t="shared" si="46"/>
        <v>-44</v>
      </c>
      <c r="G308" s="19"/>
      <c r="H308" s="62">
        <f>C306+I308</f>
        <v>0</v>
      </c>
      <c r="I308" s="20"/>
      <c r="J308" s="21"/>
      <c r="K308" s="42"/>
      <c r="L308" s="23">
        <f t="shared" ref="L308:L337" si="47">L307-G308+K308</f>
        <v>0</v>
      </c>
      <c r="M308" s="23">
        <f t="shared" ref="M308:M337" si="48">M307-G308+H308</f>
        <v>0</v>
      </c>
      <c r="O308" s="52"/>
      <c r="Q308" s="304"/>
      <c r="R308" s="259"/>
      <c r="S308" s="260"/>
      <c r="T308" s="261"/>
      <c r="U308" s="262"/>
      <c r="V308" s="263"/>
      <c r="W308" s="263"/>
    </row>
    <row r="309" spans="1:25" s="12" customFormat="1" hidden="1" outlineLevel="1">
      <c r="A309" s="123">
        <v>45598</v>
      </c>
      <c r="B309" s="25" t="s">
        <v>16</v>
      </c>
      <c r="C309" s="29"/>
      <c r="D309" s="29"/>
      <c r="E309" s="29">
        <f t="shared" si="46"/>
        <v>-44</v>
      </c>
      <c r="G309" s="64"/>
      <c r="H309" s="63"/>
      <c r="I309" s="27"/>
      <c r="J309" s="28"/>
      <c r="K309" s="43"/>
      <c r="L309" s="29">
        <f t="shared" si="47"/>
        <v>0</v>
      </c>
      <c r="M309" s="29">
        <f t="shared" si="48"/>
        <v>0</v>
      </c>
      <c r="O309" s="54"/>
      <c r="Q309" s="304"/>
      <c r="R309" s="259"/>
      <c r="S309" s="260"/>
      <c r="T309" s="261"/>
      <c r="U309" s="262"/>
      <c r="V309" s="263"/>
      <c r="W309" s="263"/>
      <c r="Y309" s="11"/>
    </row>
    <row r="310" spans="1:25" s="12" customFormat="1" hidden="1" outlineLevel="1">
      <c r="A310" s="123">
        <v>45599</v>
      </c>
      <c r="B310" s="25" t="s">
        <v>17</v>
      </c>
      <c r="C310" s="29"/>
      <c r="D310" s="29"/>
      <c r="E310" s="29">
        <f t="shared" si="46"/>
        <v>-44</v>
      </c>
      <c r="G310" s="64"/>
      <c r="H310" s="63"/>
      <c r="I310" s="27"/>
      <c r="J310" s="28"/>
      <c r="K310" s="43"/>
      <c r="L310" s="29">
        <f t="shared" si="47"/>
        <v>0</v>
      </c>
      <c r="M310" s="29">
        <f t="shared" si="48"/>
        <v>0</v>
      </c>
      <c r="O310" s="54"/>
      <c r="Q310" s="304"/>
      <c r="R310" s="259"/>
      <c r="S310" s="260"/>
      <c r="T310" s="261"/>
      <c r="U310" s="262"/>
      <c r="V310" s="263"/>
      <c r="W310" s="263"/>
      <c r="Y310" s="11"/>
    </row>
    <row r="311" spans="1:25" s="12" customFormat="1" hidden="1" outlineLevel="1" collapsed="1">
      <c r="A311" s="123">
        <v>45600</v>
      </c>
      <c r="B311" s="25" t="s">
        <v>18</v>
      </c>
      <c r="C311" s="29"/>
      <c r="D311" s="29"/>
      <c r="E311" s="29">
        <f t="shared" si="46"/>
        <v>-44</v>
      </c>
      <c r="G311" s="64"/>
      <c r="H311" s="63"/>
      <c r="I311" s="27"/>
      <c r="J311" s="28"/>
      <c r="K311" s="43"/>
      <c r="L311" s="29">
        <f t="shared" si="47"/>
        <v>0</v>
      </c>
      <c r="M311" s="29">
        <f t="shared" si="48"/>
        <v>0</v>
      </c>
      <c r="O311" s="54"/>
      <c r="Q311" s="304"/>
      <c r="R311" s="259"/>
      <c r="S311" s="260"/>
      <c r="T311" s="261"/>
      <c r="U311" s="262"/>
      <c r="V311" s="263"/>
      <c r="W311" s="263"/>
      <c r="Y311" s="11"/>
    </row>
    <row r="312" spans="1:25" hidden="1" outlineLevel="1">
      <c r="A312" s="124">
        <v>45601</v>
      </c>
      <c r="B312" s="17" t="s">
        <v>19</v>
      </c>
      <c r="C312" s="23"/>
      <c r="D312" s="23"/>
      <c r="E312" s="23">
        <f t="shared" si="46"/>
        <v>-44</v>
      </c>
      <c r="G312" s="19"/>
      <c r="H312" s="62">
        <f>C307+I312</f>
        <v>0</v>
      </c>
      <c r="I312" s="20"/>
      <c r="J312" s="21"/>
      <c r="K312" s="42"/>
      <c r="L312" s="23">
        <f t="shared" si="47"/>
        <v>0</v>
      </c>
      <c r="M312" s="23">
        <f t="shared" si="48"/>
        <v>0</v>
      </c>
      <c r="O312" s="52"/>
      <c r="Q312" s="304"/>
      <c r="R312" s="259"/>
      <c r="S312" s="260"/>
      <c r="T312" s="261"/>
      <c r="U312" s="262"/>
      <c r="V312" s="263"/>
      <c r="W312" s="263"/>
    </row>
    <row r="313" spans="1:25" hidden="1" outlineLevel="1">
      <c r="A313" s="124">
        <v>45602</v>
      </c>
      <c r="B313" s="17" t="s">
        <v>20</v>
      </c>
      <c r="C313" s="23"/>
      <c r="D313" s="23"/>
      <c r="E313" s="23">
        <f t="shared" si="46"/>
        <v>-44</v>
      </c>
      <c r="G313" s="19"/>
      <c r="H313" s="62">
        <f>C308+I313</f>
        <v>0</v>
      </c>
      <c r="I313" s="20"/>
      <c r="J313" s="21"/>
      <c r="K313" s="42"/>
      <c r="L313" s="23">
        <f t="shared" si="47"/>
        <v>0</v>
      </c>
      <c r="M313" s="23">
        <f t="shared" si="48"/>
        <v>0</v>
      </c>
      <c r="O313" s="52"/>
      <c r="Q313" s="304"/>
      <c r="R313" s="259"/>
      <c r="S313" s="260"/>
      <c r="T313" s="261"/>
      <c r="U313" s="262"/>
      <c r="V313" s="263"/>
      <c r="W313" s="263"/>
    </row>
    <row r="314" spans="1:25" hidden="1" outlineLevel="1">
      <c r="A314" s="124">
        <v>45603</v>
      </c>
      <c r="B314" s="17" t="s">
        <v>14</v>
      </c>
      <c r="C314" s="23"/>
      <c r="D314" s="23"/>
      <c r="E314" s="23">
        <f t="shared" si="46"/>
        <v>-44</v>
      </c>
      <c r="G314" s="19"/>
      <c r="H314" s="62">
        <f>C312+I314</f>
        <v>0</v>
      </c>
      <c r="I314" s="20"/>
      <c r="J314" s="21"/>
      <c r="K314" s="42"/>
      <c r="L314" s="23">
        <f t="shared" si="47"/>
        <v>0</v>
      </c>
      <c r="M314" s="23">
        <f t="shared" si="48"/>
        <v>0</v>
      </c>
      <c r="O314" s="52"/>
      <c r="Q314" s="304"/>
      <c r="R314" s="259"/>
      <c r="S314" s="260"/>
      <c r="T314" s="261"/>
      <c r="U314" s="262"/>
      <c r="V314" s="263"/>
      <c r="W314" s="263"/>
    </row>
    <row r="315" spans="1:25" hidden="1" outlineLevel="1">
      <c r="A315" s="124">
        <v>45604</v>
      </c>
      <c r="B315" s="17" t="s">
        <v>15</v>
      </c>
      <c r="C315" s="23"/>
      <c r="D315" s="23"/>
      <c r="E315" s="23">
        <f t="shared" si="46"/>
        <v>-44</v>
      </c>
      <c r="G315" s="19"/>
      <c r="H315" s="62">
        <f>C313+I315</f>
        <v>0</v>
      </c>
      <c r="I315" s="20"/>
      <c r="J315" s="21"/>
      <c r="K315" s="42"/>
      <c r="L315" s="23">
        <f t="shared" si="47"/>
        <v>0</v>
      </c>
      <c r="M315" s="23">
        <f t="shared" si="48"/>
        <v>0</v>
      </c>
      <c r="O315" s="52"/>
      <c r="Q315" s="304"/>
      <c r="R315" s="259"/>
      <c r="S315" s="260"/>
      <c r="T315" s="261"/>
      <c r="U315" s="262"/>
      <c r="V315" s="263"/>
      <c r="W315" s="263"/>
    </row>
    <row r="316" spans="1:25" s="12" customFormat="1" hidden="1" outlineLevel="1">
      <c r="A316" s="123">
        <v>45605</v>
      </c>
      <c r="B316" s="25" t="s">
        <v>16</v>
      </c>
      <c r="C316" s="29"/>
      <c r="D316" s="29"/>
      <c r="E316" s="29">
        <f t="shared" si="46"/>
        <v>-44</v>
      </c>
      <c r="G316" s="64"/>
      <c r="H316" s="63"/>
      <c r="I316" s="27"/>
      <c r="J316" s="28"/>
      <c r="K316" s="43"/>
      <c r="L316" s="29">
        <f t="shared" si="47"/>
        <v>0</v>
      </c>
      <c r="M316" s="29">
        <f t="shared" si="48"/>
        <v>0</v>
      </c>
      <c r="O316" s="54"/>
      <c r="Q316" s="304"/>
      <c r="R316" s="259"/>
      <c r="S316" s="260"/>
      <c r="T316" s="261"/>
      <c r="U316" s="262"/>
      <c r="V316" s="263"/>
      <c r="W316" s="263"/>
      <c r="Y316" s="11"/>
    </row>
    <row r="317" spans="1:25" s="12" customFormat="1" hidden="1" outlineLevel="1" collapsed="1">
      <c r="A317" s="123">
        <v>45606</v>
      </c>
      <c r="B317" s="25" t="s">
        <v>17</v>
      </c>
      <c r="C317" s="29"/>
      <c r="D317" s="29"/>
      <c r="E317" s="29">
        <f t="shared" si="46"/>
        <v>-44</v>
      </c>
      <c r="G317" s="64"/>
      <c r="H317" s="63"/>
      <c r="I317" s="27"/>
      <c r="J317" s="28"/>
      <c r="K317" s="43"/>
      <c r="L317" s="29">
        <f t="shared" si="47"/>
        <v>0</v>
      </c>
      <c r="M317" s="29">
        <f t="shared" si="48"/>
        <v>0</v>
      </c>
      <c r="O317" s="54"/>
      <c r="Q317" s="304"/>
      <c r="R317" s="259"/>
      <c r="S317" s="260"/>
      <c r="T317" s="261"/>
      <c r="U317" s="262"/>
      <c r="V317" s="263"/>
      <c r="W317" s="263"/>
      <c r="Y317" s="11"/>
    </row>
    <row r="318" spans="1:25" hidden="1" outlineLevel="1">
      <c r="A318" s="124">
        <v>45607</v>
      </c>
      <c r="B318" s="17" t="s">
        <v>18</v>
      </c>
      <c r="C318" s="23"/>
      <c r="D318" s="23"/>
      <c r="E318" s="23">
        <f t="shared" si="46"/>
        <v>-44</v>
      </c>
      <c r="G318" s="19"/>
      <c r="H318" s="62">
        <f>C314+I318</f>
        <v>0</v>
      </c>
      <c r="I318" s="20"/>
      <c r="J318" s="21"/>
      <c r="K318" s="42"/>
      <c r="L318" s="23">
        <f t="shared" si="47"/>
        <v>0</v>
      </c>
      <c r="M318" s="23">
        <f t="shared" si="48"/>
        <v>0</v>
      </c>
      <c r="O318" s="52"/>
      <c r="Q318" s="304"/>
      <c r="R318" s="259"/>
      <c r="S318" s="260"/>
      <c r="T318" s="261"/>
      <c r="U318" s="262"/>
      <c r="V318" s="263"/>
      <c r="W318" s="263"/>
    </row>
    <row r="319" spans="1:25" hidden="1" outlineLevel="1">
      <c r="A319" s="124">
        <v>45608</v>
      </c>
      <c r="B319" s="17" t="s">
        <v>19</v>
      </c>
      <c r="C319" s="23"/>
      <c r="D319" s="23"/>
      <c r="E319" s="23">
        <f t="shared" si="46"/>
        <v>-44</v>
      </c>
      <c r="G319" s="19"/>
      <c r="H319" s="62">
        <f>C315+I319</f>
        <v>0</v>
      </c>
      <c r="I319" s="20"/>
      <c r="J319" s="21"/>
      <c r="K319" s="42"/>
      <c r="L319" s="23">
        <f t="shared" si="47"/>
        <v>0</v>
      </c>
      <c r="M319" s="23">
        <f t="shared" si="48"/>
        <v>0</v>
      </c>
      <c r="O319" s="52"/>
      <c r="Q319" s="304"/>
      <c r="R319" s="259"/>
      <c r="S319" s="260"/>
      <c r="T319" s="261"/>
      <c r="U319" s="262"/>
      <c r="V319" s="263"/>
      <c r="W319" s="263"/>
    </row>
    <row r="320" spans="1:25" hidden="1" outlineLevel="1">
      <c r="A320" s="124">
        <v>45609</v>
      </c>
      <c r="B320" s="17" t="s">
        <v>20</v>
      </c>
      <c r="C320" s="23"/>
      <c r="D320" s="23"/>
      <c r="E320" s="23">
        <f t="shared" si="46"/>
        <v>-44</v>
      </c>
      <c r="G320" s="19"/>
      <c r="H320" s="62">
        <f>C318+I320</f>
        <v>0</v>
      </c>
      <c r="I320" s="20"/>
      <c r="J320" s="21"/>
      <c r="K320" s="42"/>
      <c r="L320" s="23">
        <f t="shared" si="47"/>
        <v>0</v>
      </c>
      <c r="M320" s="23">
        <f t="shared" si="48"/>
        <v>0</v>
      </c>
      <c r="O320" s="52"/>
      <c r="Q320" s="304"/>
      <c r="R320" s="259"/>
      <c r="S320" s="260"/>
      <c r="T320" s="261"/>
      <c r="U320" s="262"/>
      <c r="V320" s="263"/>
      <c r="W320" s="263"/>
    </row>
    <row r="321" spans="1:25" hidden="1" outlineLevel="1">
      <c r="A321" s="124">
        <v>45610</v>
      </c>
      <c r="B321" s="17" t="s">
        <v>14</v>
      </c>
      <c r="C321" s="23"/>
      <c r="D321" s="23"/>
      <c r="E321" s="23">
        <f t="shared" si="46"/>
        <v>-44</v>
      </c>
      <c r="G321" s="19"/>
      <c r="H321" s="62">
        <f>C319+I321</f>
        <v>0</v>
      </c>
      <c r="I321" s="20"/>
      <c r="J321" s="21"/>
      <c r="K321" s="42"/>
      <c r="L321" s="23">
        <f t="shared" si="47"/>
        <v>0</v>
      </c>
      <c r="M321" s="23">
        <f t="shared" si="48"/>
        <v>0</v>
      </c>
      <c r="O321" s="52"/>
      <c r="Q321" s="304"/>
      <c r="R321" s="259"/>
      <c r="S321" s="260"/>
      <c r="T321" s="261"/>
      <c r="U321" s="262"/>
      <c r="V321" s="263"/>
      <c r="W321" s="263"/>
    </row>
    <row r="322" spans="1:25" hidden="1" outlineLevel="1">
      <c r="A322" s="124">
        <v>45611</v>
      </c>
      <c r="B322" s="17" t="s">
        <v>15</v>
      </c>
      <c r="C322" s="23"/>
      <c r="D322" s="23"/>
      <c r="E322" s="23">
        <f t="shared" si="46"/>
        <v>-44</v>
      </c>
      <c r="G322" s="19"/>
      <c r="H322" s="62">
        <f>C320+I322</f>
        <v>0</v>
      </c>
      <c r="I322" s="20"/>
      <c r="J322" s="21"/>
      <c r="K322" s="42"/>
      <c r="L322" s="23">
        <f t="shared" si="47"/>
        <v>0</v>
      </c>
      <c r="M322" s="23">
        <f t="shared" si="48"/>
        <v>0</v>
      </c>
      <c r="O322" s="52"/>
      <c r="Q322" s="304"/>
      <c r="R322" s="259"/>
      <c r="S322" s="260"/>
      <c r="T322" s="261"/>
      <c r="U322" s="262"/>
      <c r="V322" s="263"/>
      <c r="W322" s="263"/>
    </row>
    <row r="323" spans="1:25" s="12" customFormat="1" hidden="1" outlineLevel="1">
      <c r="A323" s="123">
        <v>45612</v>
      </c>
      <c r="B323" s="25" t="s">
        <v>16</v>
      </c>
      <c r="C323" s="29"/>
      <c r="D323" s="29"/>
      <c r="E323" s="29">
        <f t="shared" si="46"/>
        <v>-44</v>
      </c>
      <c r="G323" s="64"/>
      <c r="H323" s="63"/>
      <c r="I323" s="27"/>
      <c r="J323" s="28"/>
      <c r="K323" s="43"/>
      <c r="L323" s="29">
        <f t="shared" si="47"/>
        <v>0</v>
      </c>
      <c r="M323" s="29">
        <f t="shared" si="48"/>
        <v>0</v>
      </c>
      <c r="O323" s="54"/>
      <c r="Q323" s="304"/>
      <c r="R323" s="259"/>
      <c r="S323" s="260"/>
      <c r="T323" s="261"/>
      <c r="U323" s="262"/>
      <c r="V323" s="263"/>
      <c r="W323" s="263"/>
      <c r="Y323" s="11"/>
    </row>
    <row r="324" spans="1:25" s="12" customFormat="1" hidden="1" outlineLevel="1" collapsed="1">
      <c r="A324" s="123">
        <v>45613</v>
      </c>
      <c r="B324" s="25" t="s">
        <v>17</v>
      </c>
      <c r="C324" s="29"/>
      <c r="D324" s="29"/>
      <c r="E324" s="29">
        <f t="shared" si="46"/>
        <v>-44</v>
      </c>
      <c r="G324" s="223"/>
      <c r="H324" s="224"/>
      <c r="I324" s="225"/>
      <c r="J324" s="226"/>
      <c r="K324" s="227"/>
      <c r="L324" s="220">
        <f t="shared" si="47"/>
        <v>0</v>
      </c>
      <c r="M324" s="220">
        <f t="shared" si="48"/>
        <v>0</v>
      </c>
      <c r="N324" s="222"/>
      <c r="O324" s="221"/>
      <c r="Q324" s="304"/>
      <c r="R324" s="259"/>
      <c r="S324" s="260"/>
      <c r="T324" s="261"/>
      <c r="U324" s="262"/>
      <c r="V324" s="263"/>
      <c r="W324" s="263"/>
      <c r="Y324" s="11"/>
    </row>
    <row r="325" spans="1:25" hidden="1" outlineLevel="1">
      <c r="A325" s="124">
        <v>45614</v>
      </c>
      <c r="B325" s="17" t="s">
        <v>18</v>
      </c>
      <c r="C325" s="23"/>
      <c r="D325" s="23"/>
      <c r="E325" s="23">
        <f t="shared" si="46"/>
        <v>-44</v>
      </c>
      <c r="G325" s="223"/>
      <c r="H325" s="224">
        <f>C321+I325</f>
        <v>0</v>
      </c>
      <c r="I325" s="225"/>
      <c r="J325" s="226"/>
      <c r="K325" s="227"/>
      <c r="L325" s="220">
        <f t="shared" si="47"/>
        <v>0</v>
      </c>
      <c r="M325" s="220">
        <f t="shared" si="48"/>
        <v>0</v>
      </c>
      <c r="N325" s="222"/>
      <c r="O325" s="221"/>
      <c r="Q325" s="304"/>
      <c r="R325" s="259"/>
      <c r="S325" s="260"/>
      <c r="T325" s="261"/>
      <c r="U325" s="262"/>
      <c r="V325" s="263"/>
      <c r="W325" s="263"/>
    </row>
    <row r="326" spans="1:25" hidden="1" outlineLevel="1">
      <c r="A326" s="124">
        <v>45615</v>
      </c>
      <c r="B326" s="17" t="s">
        <v>19</v>
      </c>
      <c r="C326" s="23"/>
      <c r="D326" s="23"/>
      <c r="E326" s="23">
        <f t="shared" si="46"/>
        <v>-44</v>
      </c>
      <c r="G326" s="223"/>
      <c r="H326" s="224">
        <f>C322+I326</f>
        <v>0</v>
      </c>
      <c r="I326" s="225"/>
      <c r="J326" s="226"/>
      <c r="K326" s="227"/>
      <c r="L326" s="220">
        <f t="shared" si="47"/>
        <v>0</v>
      </c>
      <c r="M326" s="220">
        <f t="shared" si="48"/>
        <v>0</v>
      </c>
      <c r="N326" s="222"/>
      <c r="O326" s="221"/>
      <c r="Q326" s="304"/>
      <c r="R326" s="259"/>
      <c r="S326" s="260"/>
      <c r="T326" s="261"/>
      <c r="U326" s="262"/>
      <c r="V326" s="263"/>
      <c r="W326" s="263"/>
    </row>
    <row r="327" spans="1:25" hidden="1" outlineLevel="1">
      <c r="A327" s="124">
        <v>45616</v>
      </c>
      <c r="B327" s="17" t="s">
        <v>20</v>
      </c>
      <c r="C327" s="23"/>
      <c r="D327" s="23"/>
      <c r="E327" s="23">
        <f t="shared" si="46"/>
        <v>-44</v>
      </c>
      <c r="G327" s="223"/>
      <c r="H327" s="224">
        <f>C325+I327</f>
        <v>0</v>
      </c>
      <c r="I327" s="225"/>
      <c r="J327" s="226"/>
      <c r="K327" s="227"/>
      <c r="L327" s="220">
        <f t="shared" si="47"/>
        <v>0</v>
      </c>
      <c r="M327" s="220">
        <f t="shared" si="48"/>
        <v>0</v>
      </c>
      <c r="N327" s="222"/>
      <c r="O327" s="221"/>
      <c r="Q327" s="304"/>
      <c r="R327" s="259"/>
      <c r="S327" s="260"/>
      <c r="T327" s="261"/>
      <c r="U327" s="262"/>
      <c r="V327" s="263"/>
      <c r="W327" s="263"/>
    </row>
    <row r="328" spans="1:25" hidden="1" outlineLevel="1">
      <c r="A328" s="124">
        <v>45617</v>
      </c>
      <c r="B328" s="17" t="s">
        <v>14</v>
      </c>
      <c r="C328" s="23"/>
      <c r="D328" s="23"/>
      <c r="E328" s="23">
        <f t="shared" si="46"/>
        <v>-44</v>
      </c>
      <c r="G328" s="223"/>
      <c r="H328" s="224">
        <f>C326+I328</f>
        <v>0</v>
      </c>
      <c r="I328" s="225"/>
      <c r="J328" s="226"/>
      <c r="K328" s="227"/>
      <c r="L328" s="220">
        <f t="shared" si="47"/>
        <v>0</v>
      </c>
      <c r="M328" s="220">
        <f t="shared" si="48"/>
        <v>0</v>
      </c>
      <c r="N328" s="222"/>
      <c r="O328" s="221"/>
      <c r="Q328" s="304"/>
      <c r="R328" s="259"/>
      <c r="S328" s="260"/>
      <c r="T328" s="261"/>
      <c r="U328" s="262"/>
      <c r="V328" s="263"/>
      <c r="W328" s="263"/>
    </row>
    <row r="329" spans="1:25" hidden="1" outlineLevel="1">
      <c r="A329" s="124">
        <v>45618</v>
      </c>
      <c r="B329" s="17" t="s">
        <v>15</v>
      </c>
      <c r="C329" s="23"/>
      <c r="D329" s="23"/>
      <c r="E329" s="23">
        <f t="shared" si="46"/>
        <v>-44</v>
      </c>
      <c r="G329" s="223"/>
      <c r="H329" s="224">
        <f>C327+I329</f>
        <v>0</v>
      </c>
      <c r="I329" s="225"/>
      <c r="J329" s="226"/>
      <c r="K329" s="227"/>
      <c r="L329" s="220">
        <f t="shared" si="47"/>
        <v>0</v>
      </c>
      <c r="M329" s="220">
        <f t="shared" si="48"/>
        <v>0</v>
      </c>
      <c r="N329" s="222"/>
      <c r="O329" s="221"/>
      <c r="Q329" s="304"/>
      <c r="R329" s="259"/>
      <c r="S329" s="260"/>
      <c r="T329" s="261"/>
      <c r="U329" s="262"/>
      <c r="V329" s="263"/>
      <c r="W329" s="263"/>
    </row>
    <row r="330" spans="1:25" s="12" customFormat="1" hidden="1" outlineLevel="1">
      <c r="A330" s="123">
        <v>45619</v>
      </c>
      <c r="B330" s="25" t="s">
        <v>16</v>
      </c>
      <c r="C330" s="29"/>
      <c r="D330" s="29"/>
      <c r="E330" s="29">
        <f t="shared" si="46"/>
        <v>-44</v>
      </c>
      <c r="G330" s="223"/>
      <c r="H330" s="224"/>
      <c r="I330" s="225"/>
      <c r="J330" s="226"/>
      <c r="K330" s="227"/>
      <c r="L330" s="220">
        <f t="shared" si="47"/>
        <v>0</v>
      </c>
      <c r="M330" s="220">
        <f t="shared" si="48"/>
        <v>0</v>
      </c>
      <c r="N330" s="222"/>
      <c r="O330" s="221"/>
      <c r="Q330" s="304"/>
      <c r="R330" s="259"/>
      <c r="S330" s="260"/>
      <c r="T330" s="261"/>
      <c r="U330" s="262"/>
      <c r="V330" s="263"/>
      <c r="W330" s="263"/>
      <c r="Y330" s="11"/>
    </row>
    <row r="331" spans="1:25" s="12" customFormat="1" hidden="1" outlineLevel="1" collapsed="1">
      <c r="A331" s="123">
        <v>45620</v>
      </c>
      <c r="B331" s="25" t="s">
        <v>17</v>
      </c>
      <c r="C331" s="29"/>
      <c r="D331" s="29"/>
      <c r="E331" s="29">
        <f t="shared" si="46"/>
        <v>-44</v>
      </c>
      <c r="G331" s="223"/>
      <c r="H331" s="224"/>
      <c r="I331" s="225"/>
      <c r="J331" s="226"/>
      <c r="K331" s="227"/>
      <c r="L331" s="220">
        <f t="shared" si="47"/>
        <v>0</v>
      </c>
      <c r="M331" s="220">
        <f t="shared" si="48"/>
        <v>0</v>
      </c>
      <c r="N331" s="222"/>
      <c r="O331" s="221"/>
      <c r="Q331" s="304"/>
      <c r="R331" s="259"/>
      <c r="S331" s="260"/>
      <c r="T331" s="261"/>
      <c r="U331" s="262"/>
      <c r="V331" s="263"/>
      <c r="W331" s="263"/>
      <c r="Y331" s="11"/>
    </row>
    <row r="332" spans="1:25" hidden="1" outlineLevel="1">
      <c r="A332" s="124">
        <v>45621</v>
      </c>
      <c r="B332" s="17" t="s">
        <v>18</v>
      </c>
      <c r="C332" s="23"/>
      <c r="D332" s="23"/>
      <c r="E332" s="23">
        <f t="shared" si="46"/>
        <v>-44</v>
      </c>
      <c r="G332" s="223"/>
      <c r="H332" s="224">
        <f>C328+I332</f>
        <v>0</v>
      </c>
      <c r="I332" s="225"/>
      <c r="J332" s="226"/>
      <c r="K332" s="227"/>
      <c r="L332" s="220">
        <f t="shared" si="47"/>
        <v>0</v>
      </c>
      <c r="M332" s="220">
        <f t="shared" si="48"/>
        <v>0</v>
      </c>
      <c r="N332" s="222"/>
      <c r="O332" s="221"/>
      <c r="Q332" s="304"/>
      <c r="R332" s="259"/>
      <c r="S332" s="260"/>
      <c r="T332" s="261"/>
      <c r="U332" s="262"/>
      <c r="V332" s="263"/>
      <c r="W332" s="263"/>
    </row>
    <row r="333" spans="1:25" hidden="1" outlineLevel="1">
      <c r="A333" s="270">
        <v>45622</v>
      </c>
      <c r="B333" s="233" t="s">
        <v>19</v>
      </c>
      <c r="C333" s="240"/>
      <c r="D333" s="240"/>
      <c r="E333" s="240">
        <f t="shared" si="46"/>
        <v>-44</v>
      </c>
      <c r="G333" s="223"/>
      <c r="H333" s="224">
        <f>C329+I333</f>
        <v>0</v>
      </c>
      <c r="I333" s="225"/>
      <c r="J333" s="226"/>
      <c r="K333" s="227"/>
      <c r="L333" s="220">
        <f t="shared" si="47"/>
        <v>0</v>
      </c>
      <c r="M333" s="220">
        <f t="shared" si="48"/>
        <v>0</v>
      </c>
      <c r="N333" s="222"/>
      <c r="O333" s="221"/>
      <c r="Q333" s="304"/>
      <c r="R333" s="259"/>
      <c r="S333" s="260"/>
      <c r="T333" s="261"/>
      <c r="U333" s="262"/>
      <c r="V333" s="263"/>
      <c r="W333" s="263"/>
    </row>
    <row r="334" spans="1:25" hidden="1" outlineLevel="1">
      <c r="A334" s="270">
        <v>45623</v>
      </c>
      <c r="B334" s="233" t="s">
        <v>20</v>
      </c>
      <c r="C334" s="240"/>
      <c r="D334" s="240"/>
      <c r="E334" s="240">
        <f t="shared" si="46"/>
        <v>-44</v>
      </c>
      <c r="G334" s="223"/>
      <c r="H334" s="224">
        <f>C332+I334</f>
        <v>0</v>
      </c>
      <c r="I334" s="225"/>
      <c r="J334" s="226"/>
      <c r="K334" s="227"/>
      <c r="L334" s="220">
        <f t="shared" si="47"/>
        <v>0</v>
      </c>
      <c r="M334" s="220">
        <f t="shared" si="48"/>
        <v>0</v>
      </c>
      <c r="N334" s="222"/>
      <c r="O334" s="221"/>
      <c r="Q334" s="304"/>
      <c r="R334" s="259"/>
      <c r="S334" s="260"/>
      <c r="T334" s="261"/>
      <c r="U334" s="262"/>
      <c r="V334" s="263"/>
      <c r="W334" s="263"/>
    </row>
    <row r="335" spans="1:25" hidden="1" outlineLevel="1">
      <c r="A335" s="124">
        <v>45624</v>
      </c>
      <c r="B335" s="17" t="s">
        <v>14</v>
      </c>
      <c r="C335" s="23"/>
      <c r="D335" s="23"/>
      <c r="E335" s="23">
        <f t="shared" si="46"/>
        <v>-44</v>
      </c>
      <c r="G335" s="223"/>
      <c r="H335" s="224">
        <f>C333+I335</f>
        <v>0</v>
      </c>
      <c r="I335" s="225"/>
      <c r="J335" s="226"/>
      <c r="K335" s="227"/>
      <c r="L335" s="220">
        <f t="shared" si="47"/>
        <v>0</v>
      </c>
      <c r="M335" s="220">
        <f t="shared" si="48"/>
        <v>0</v>
      </c>
      <c r="N335" s="222"/>
      <c r="O335" s="221"/>
      <c r="Q335" s="304"/>
      <c r="R335" s="259"/>
      <c r="S335" s="260"/>
      <c r="T335" s="261"/>
      <c r="U335" s="262"/>
      <c r="V335" s="263"/>
      <c r="W335" s="263"/>
    </row>
    <row r="336" spans="1:25" hidden="1" outlineLevel="1">
      <c r="A336" s="124">
        <v>45625</v>
      </c>
      <c r="B336" s="17" t="s">
        <v>15</v>
      </c>
      <c r="C336" s="23"/>
      <c r="D336" s="23"/>
      <c r="E336" s="23">
        <f t="shared" si="46"/>
        <v>-44</v>
      </c>
      <c r="G336" s="223"/>
      <c r="H336" s="224">
        <f>C334+I336</f>
        <v>0</v>
      </c>
      <c r="I336" s="225"/>
      <c r="J336" s="226"/>
      <c r="K336" s="227"/>
      <c r="L336" s="220">
        <f t="shared" si="47"/>
        <v>0</v>
      </c>
      <c r="M336" s="220">
        <f t="shared" si="48"/>
        <v>0</v>
      </c>
      <c r="N336" s="222"/>
      <c r="O336" s="221"/>
      <c r="Q336" s="304"/>
      <c r="R336" s="259"/>
      <c r="S336" s="260"/>
      <c r="T336" s="261"/>
      <c r="U336" s="262"/>
      <c r="V336" s="263"/>
      <c r="W336" s="263"/>
    </row>
    <row r="337" spans="1:25" s="12" customFormat="1" hidden="1" outlineLevel="1">
      <c r="A337" s="123">
        <v>45626</v>
      </c>
      <c r="B337" s="25" t="s">
        <v>16</v>
      </c>
      <c r="C337" s="29"/>
      <c r="D337" s="29"/>
      <c r="E337" s="29">
        <f t="shared" si="46"/>
        <v>-44</v>
      </c>
      <c r="G337" s="223"/>
      <c r="H337" s="224"/>
      <c r="I337" s="225"/>
      <c r="J337" s="226"/>
      <c r="K337" s="227"/>
      <c r="L337" s="220">
        <f t="shared" si="47"/>
        <v>0</v>
      </c>
      <c r="M337" s="220">
        <f t="shared" si="48"/>
        <v>0</v>
      </c>
      <c r="N337" s="222"/>
      <c r="O337" s="221"/>
      <c r="Q337" s="304"/>
      <c r="R337" s="259"/>
      <c r="S337" s="260"/>
      <c r="T337" s="261"/>
      <c r="U337" s="262"/>
      <c r="V337" s="263"/>
      <c r="W337" s="263"/>
      <c r="Y337" s="11"/>
    </row>
    <row r="338" spans="1:25" s="12" customFormat="1" hidden="1" outlineLevel="1" collapsed="1">
      <c r="A338" s="95">
        <v>45627</v>
      </c>
      <c r="B338" s="25" t="s">
        <v>17</v>
      </c>
      <c r="C338" s="29"/>
      <c r="D338" s="29"/>
      <c r="E338" s="29">
        <f t="shared" si="46"/>
        <v>-44</v>
      </c>
      <c r="G338" s="223"/>
      <c r="H338" s="224"/>
      <c r="I338" s="225"/>
      <c r="J338" s="226"/>
      <c r="K338" s="227"/>
      <c r="L338" s="220">
        <f t="shared" ref="L338:L368" si="49">L337-G338+K338</f>
        <v>0</v>
      </c>
      <c r="M338" s="220">
        <f t="shared" ref="M338:M368" si="50">M337-G338+H338</f>
        <v>0</v>
      </c>
      <c r="N338" s="222"/>
      <c r="O338" s="221"/>
      <c r="Q338" s="304"/>
      <c r="R338" s="259"/>
      <c r="S338" s="260"/>
      <c r="T338" s="261"/>
      <c r="U338" s="262"/>
      <c r="V338" s="263"/>
      <c r="W338" s="263"/>
      <c r="Y338" s="11"/>
    </row>
    <row r="339" spans="1:25" hidden="1" outlineLevel="1">
      <c r="A339" s="96">
        <v>45628</v>
      </c>
      <c r="B339" s="17" t="s">
        <v>18</v>
      </c>
      <c r="C339" s="23"/>
      <c r="D339" s="23"/>
      <c r="E339" s="23">
        <f t="shared" si="46"/>
        <v>-44</v>
      </c>
      <c r="G339" s="223"/>
      <c r="H339" s="224">
        <f>C335+I339</f>
        <v>0</v>
      </c>
      <c r="I339" s="225"/>
      <c r="J339" s="226"/>
      <c r="K339" s="227"/>
      <c r="L339" s="220">
        <f t="shared" si="49"/>
        <v>0</v>
      </c>
      <c r="M339" s="220">
        <f t="shared" si="50"/>
        <v>0</v>
      </c>
      <c r="N339" s="222"/>
      <c r="O339" s="221"/>
      <c r="Q339" s="304"/>
      <c r="R339" s="259"/>
      <c r="S339" s="260"/>
      <c r="T339" s="261"/>
      <c r="U339" s="262"/>
      <c r="V339" s="263"/>
      <c r="W339" s="263"/>
    </row>
    <row r="340" spans="1:25" hidden="1" outlineLevel="1">
      <c r="A340" s="96">
        <v>45629</v>
      </c>
      <c r="B340" s="17" t="s">
        <v>19</v>
      </c>
      <c r="C340" s="23"/>
      <c r="D340" s="23"/>
      <c r="E340" s="23">
        <f t="shared" si="46"/>
        <v>-44</v>
      </c>
      <c r="G340" s="223"/>
      <c r="H340" s="224">
        <f>C336+I340</f>
        <v>0</v>
      </c>
      <c r="I340" s="225"/>
      <c r="J340" s="226"/>
      <c r="K340" s="227"/>
      <c r="L340" s="220">
        <f t="shared" si="49"/>
        <v>0</v>
      </c>
      <c r="M340" s="220">
        <f t="shared" si="50"/>
        <v>0</v>
      </c>
      <c r="N340" s="222"/>
      <c r="O340" s="221"/>
      <c r="Q340" s="304"/>
      <c r="R340" s="259"/>
      <c r="S340" s="260"/>
      <c r="T340" s="261"/>
      <c r="U340" s="262"/>
      <c r="V340" s="263"/>
      <c r="W340" s="263"/>
    </row>
    <row r="341" spans="1:25" hidden="1" outlineLevel="1">
      <c r="A341" s="124">
        <v>45630</v>
      </c>
      <c r="B341" s="17" t="s">
        <v>20</v>
      </c>
      <c r="C341" s="23"/>
      <c r="D341" s="23"/>
      <c r="E341" s="23">
        <f t="shared" si="46"/>
        <v>-44</v>
      </c>
      <c r="G341" s="223"/>
      <c r="H341" s="224">
        <f>C339+I341</f>
        <v>0</v>
      </c>
      <c r="I341" s="225"/>
      <c r="J341" s="226"/>
      <c r="K341" s="227"/>
      <c r="L341" s="220">
        <f t="shared" si="49"/>
        <v>0</v>
      </c>
      <c r="M341" s="220">
        <f t="shared" si="50"/>
        <v>0</v>
      </c>
      <c r="N341" s="222"/>
      <c r="O341" s="221"/>
      <c r="Q341" s="304"/>
      <c r="R341" s="259"/>
      <c r="S341" s="260"/>
      <c r="T341" s="261"/>
      <c r="U341" s="262"/>
      <c r="V341" s="263"/>
      <c r="W341" s="263"/>
    </row>
    <row r="342" spans="1:25" hidden="1" outlineLevel="1">
      <c r="A342" s="124">
        <v>45631</v>
      </c>
      <c r="B342" s="17" t="s">
        <v>14</v>
      </c>
      <c r="C342" s="23"/>
      <c r="D342" s="23"/>
      <c r="E342" s="23">
        <f t="shared" ref="E342:E368" si="51">E341-C342+D342</f>
        <v>-44</v>
      </c>
      <c r="G342" s="223"/>
      <c r="H342" s="224">
        <f>C340+I342</f>
        <v>0</v>
      </c>
      <c r="I342" s="225"/>
      <c r="J342" s="226"/>
      <c r="K342" s="227"/>
      <c r="L342" s="220">
        <f t="shared" si="49"/>
        <v>0</v>
      </c>
      <c r="M342" s="220">
        <f t="shared" si="50"/>
        <v>0</v>
      </c>
      <c r="N342" s="222"/>
      <c r="O342" s="221"/>
      <c r="Q342" s="304"/>
      <c r="R342" s="259"/>
      <c r="S342" s="260"/>
      <c r="T342" s="261"/>
      <c r="U342" s="262"/>
      <c r="V342" s="263"/>
      <c r="W342" s="263"/>
    </row>
    <row r="343" spans="1:25" hidden="1" outlineLevel="1">
      <c r="A343" s="124">
        <v>45632</v>
      </c>
      <c r="B343" s="17" t="s">
        <v>15</v>
      </c>
      <c r="C343" s="23">
        <v>1</v>
      </c>
      <c r="D343" s="23"/>
      <c r="E343" s="23">
        <f t="shared" si="51"/>
        <v>-45</v>
      </c>
      <c r="G343" s="223"/>
      <c r="H343" s="224">
        <f>C341+I343</f>
        <v>0</v>
      </c>
      <c r="I343" s="225"/>
      <c r="J343" s="226"/>
      <c r="K343" s="227"/>
      <c r="L343" s="220">
        <f t="shared" si="49"/>
        <v>0</v>
      </c>
      <c r="M343" s="220">
        <f t="shared" si="50"/>
        <v>0</v>
      </c>
      <c r="N343" s="222"/>
      <c r="O343" s="221"/>
      <c r="Q343" s="304"/>
      <c r="R343" s="259"/>
      <c r="S343" s="260"/>
      <c r="T343" s="261"/>
      <c r="U343" s="262"/>
      <c r="V343" s="263"/>
      <c r="W343" s="263"/>
    </row>
    <row r="344" spans="1:25" s="12" customFormat="1" hidden="1" outlineLevel="1">
      <c r="A344" s="123">
        <v>45633</v>
      </c>
      <c r="B344" s="25" t="s">
        <v>16</v>
      </c>
      <c r="C344" s="29"/>
      <c r="D344" s="29"/>
      <c r="E344" s="29">
        <f t="shared" si="51"/>
        <v>-45</v>
      </c>
      <c r="G344" s="223"/>
      <c r="H344" s="224"/>
      <c r="I344" s="225"/>
      <c r="J344" s="226"/>
      <c r="K344" s="227"/>
      <c r="L344" s="220">
        <f t="shared" si="49"/>
        <v>0</v>
      </c>
      <c r="M344" s="220">
        <f t="shared" si="50"/>
        <v>0</v>
      </c>
      <c r="N344" s="222"/>
      <c r="O344" s="221"/>
      <c r="Q344" s="304"/>
      <c r="R344" s="259"/>
      <c r="S344" s="260"/>
      <c r="T344" s="261"/>
      <c r="U344" s="262"/>
      <c r="V344" s="263"/>
      <c r="W344" s="263"/>
      <c r="Y344" s="11"/>
    </row>
    <row r="345" spans="1:25" s="12" customFormat="1" hidden="1" outlineLevel="1">
      <c r="A345" s="123">
        <v>45634</v>
      </c>
      <c r="B345" s="25" t="s">
        <v>17</v>
      </c>
      <c r="C345" s="29"/>
      <c r="D345" s="29"/>
      <c r="E345" s="29">
        <f t="shared" si="51"/>
        <v>-45</v>
      </c>
      <c r="G345" s="223"/>
      <c r="H345" s="224"/>
      <c r="I345" s="225"/>
      <c r="J345" s="226"/>
      <c r="K345" s="227"/>
      <c r="L345" s="220">
        <f t="shared" si="49"/>
        <v>0</v>
      </c>
      <c r="M345" s="220">
        <f t="shared" si="50"/>
        <v>0</v>
      </c>
      <c r="N345" s="222"/>
      <c r="O345" s="221"/>
      <c r="Q345" s="304"/>
      <c r="R345" s="259"/>
      <c r="S345" s="260"/>
      <c r="T345" s="261"/>
      <c r="U345" s="262"/>
      <c r="V345" s="263"/>
      <c r="W345" s="263"/>
      <c r="Y345" s="11"/>
    </row>
    <row r="346" spans="1:25" hidden="1" outlineLevel="1">
      <c r="A346" s="124">
        <v>45635</v>
      </c>
      <c r="B346" s="17" t="s">
        <v>18</v>
      </c>
      <c r="C346" s="23">
        <v>1</v>
      </c>
      <c r="D346" s="23"/>
      <c r="E346" s="23">
        <f t="shared" si="51"/>
        <v>-46</v>
      </c>
      <c r="G346" s="223"/>
      <c r="H346" s="224">
        <f>C342+I346</f>
        <v>0</v>
      </c>
      <c r="I346" s="225"/>
      <c r="J346" s="226"/>
      <c r="K346" s="227"/>
      <c r="L346" s="220">
        <f t="shared" si="49"/>
        <v>0</v>
      </c>
      <c r="M346" s="220">
        <f t="shared" si="50"/>
        <v>0</v>
      </c>
      <c r="N346" s="222"/>
      <c r="O346" s="221"/>
      <c r="Q346" s="304"/>
      <c r="R346" s="259"/>
      <c r="S346" s="260"/>
      <c r="T346" s="261"/>
      <c r="U346" s="262"/>
      <c r="V346" s="263"/>
      <c r="W346" s="263"/>
    </row>
    <row r="347" spans="1:25" hidden="1" outlineLevel="1">
      <c r="A347" s="124">
        <v>45636</v>
      </c>
      <c r="B347" s="17" t="s">
        <v>19</v>
      </c>
      <c r="C347" s="23">
        <v>0</v>
      </c>
      <c r="D347" s="23"/>
      <c r="E347" s="23">
        <f t="shared" si="51"/>
        <v>-46</v>
      </c>
      <c r="G347" s="78">
        <v>1</v>
      </c>
      <c r="H347" s="62">
        <f>C343+I347</f>
        <v>1</v>
      </c>
      <c r="I347" s="20"/>
      <c r="J347" s="21"/>
      <c r="K347" s="57">
        <v>5</v>
      </c>
      <c r="L347" s="23">
        <f t="shared" si="49"/>
        <v>4</v>
      </c>
      <c r="M347" s="23">
        <f t="shared" si="50"/>
        <v>0</v>
      </c>
      <c r="O347" s="52"/>
      <c r="Q347" s="273"/>
      <c r="R347" s="259"/>
      <c r="S347" s="260"/>
      <c r="T347" s="261"/>
      <c r="U347" s="262"/>
      <c r="V347" s="263"/>
      <c r="W347" s="263"/>
    </row>
    <row r="348" spans="1:25" hidden="1" outlineLevel="1">
      <c r="A348" s="124">
        <v>45637</v>
      </c>
      <c r="B348" s="17" t="s">
        <v>20</v>
      </c>
      <c r="C348" s="23">
        <v>1</v>
      </c>
      <c r="D348" s="23"/>
      <c r="E348" s="23">
        <f t="shared" si="51"/>
        <v>-47</v>
      </c>
      <c r="G348" s="78">
        <v>1</v>
      </c>
      <c r="H348" s="62">
        <f>C346+I348</f>
        <v>1</v>
      </c>
      <c r="I348" s="20"/>
      <c r="J348" s="21"/>
      <c r="K348" s="57">
        <v>0</v>
      </c>
      <c r="L348" s="23">
        <f t="shared" si="49"/>
        <v>3</v>
      </c>
      <c r="M348" s="23">
        <f t="shared" si="50"/>
        <v>0</v>
      </c>
      <c r="O348" s="52"/>
      <c r="Q348" s="273"/>
      <c r="R348" s="259"/>
      <c r="S348" s="260"/>
      <c r="T348" s="261"/>
      <c r="U348" s="262"/>
      <c r="V348" s="263"/>
      <c r="W348" s="263"/>
    </row>
    <row r="349" spans="1:25" hidden="1" outlineLevel="1">
      <c r="A349" s="124">
        <v>45638</v>
      </c>
      <c r="B349" s="17" t="s">
        <v>14</v>
      </c>
      <c r="C349" s="23">
        <v>2</v>
      </c>
      <c r="D349" s="23"/>
      <c r="E349" s="23">
        <f t="shared" si="51"/>
        <v>-49</v>
      </c>
      <c r="G349" s="78">
        <v>0</v>
      </c>
      <c r="H349" s="62">
        <f>C347+I349</f>
        <v>0</v>
      </c>
      <c r="I349" s="20"/>
      <c r="J349" s="21"/>
      <c r="K349" s="57">
        <v>0</v>
      </c>
      <c r="L349" s="23">
        <f t="shared" si="49"/>
        <v>3</v>
      </c>
      <c r="M349" s="23">
        <f t="shared" si="50"/>
        <v>0</v>
      </c>
      <c r="O349" s="52"/>
      <c r="Q349" s="273"/>
      <c r="R349" s="259"/>
      <c r="S349" s="260"/>
      <c r="T349" s="261"/>
      <c r="U349" s="262"/>
      <c r="V349" s="263"/>
      <c r="W349" s="263"/>
    </row>
    <row r="350" spans="1:25" hidden="1" outlineLevel="1">
      <c r="A350" s="124">
        <v>45639</v>
      </c>
      <c r="B350" s="17" t="s">
        <v>15</v>
      </c>
      <c r="C350" s="23">
        <v>2</v>
      </c>
      <c r="D350" s="23"/>
      <c r="E350" s="23">
        <f t="shared" si="51"/>
        <v>-51</v>
      </c>
      <c r="G350" s="78">
        <v>1</v>
      </c>
      <c r="H350" s="62">
        <f>C348+I350</f>
        <v>1</v>
      </c>
      <c r="I350" s="20"/>
      <c r="J350" s="21"/>
      <c r="K350" s="57">
        <v>0</v>
      </c>
      <c r="L350" s="23">
        <f t="shared" si="49"/>
        <v>2</v>
      </c>
      <c r="M350" s="23">
        <f t="shared" si="50"/>
        <v>0</v>
      </c>
      <c r="O350" s="52"/>
      <c r="Q350" s="273"/>
      <c r="R350" s="259"/>
      <c r="S350" s="260"/>
      <c r="T350" s="261"/>
      <c r="U350" s="262"/>
      <c r="V350" s="263"/>
      <c r="W350" s="263"/>
    </row>
    <row r="351" spans="1:25" s="12" customFormat="1" hidden="1" outlineLevel="1">
      <c r="A351" s="123">
        <v>45640</v>
      </c>
      <c r="B351" s="25" t="s">
        <v>16</v>
      </c>
      <c r="C351" s="29"/>
      <c r="D351" s="29"/>
      <c r="E351" s="29">
        <f t="shared" si="51"/>
        <v>-51</v>
      </c>
      <c r="G351" s="79"/>
      <c r="H351" s="63"/>
      <c r="I351" s="27"/>
      <c r="J351" s="28"/>
      <c r="K351" s="43"/>
      <c r="L351" s="29">
        <f t="shared" si="49"/>
        <v>2</v>
      </c>
      <c r="M351" s="29">
        <f t="shared" si="50"/>
        <v>0</v>
      </c>
      <c r="O351" s="54"/>
      <c r="Q351" s="273"/>
      <c r="R351" s="259"/>
      <c r="S351" s="260"/>
      <c r="T351" s="261"/>
      <c r="U351" s="262"/>
      <c r="V351" s="263"/>
      <c r="W351" s="263"/>
      <c r="Y351" s="11"/>
    </row>
    <row r="352" spans="1:25" s="12" customFormat="1" hidden="1" outlineLevel="1" collapsed="1">
      <c r="A352" s="123">
        <v>45641</v>
      </c>
      <c r="B352" s="25" t="s">
        <v>17</v>
      </c>
      <c r="C352" s="29"/>
      <c r="D352" s="29"/>
      <c r="E352" s="29">
        <f t="shared" si="51"/>
        <v>-51</v>
      </c>
      <c r="G352" s="79"/>
      <c r="H352" s="63"/>
      <c r="I352" s="27"/>
      <c r="J352" s="28"/>
      <c r="K352" s="43"/>
      <c r="L352" s="29">
        <f t="shared" si="49"/>
        <v>2</v>
      </c>
      <c r="M352" s="29">
        <f t="shared" si="50"/>
        <v>0</v>
      </c>
      <c r="O352" s="54"/>
      <c r="Q352" s="273"/>
      <c r="R352" s="259"/>
      <c r="S352" s="260"/>
      <c r="T352" s="261"/>
      <c r="U352" s="262"/>
      <c r="V352" s="263"/>
      <c r="W352" s="263"/>
      <c r="Y352" s="11"/>
    </row>
    <row r="353" spans="1:25" hidden="1" outlineLevel="1">
      <c r="A353" s="124">
        <v>45642</v>
      </c>
      <c r="B353" s="17" t="s">
        <v>18</v>
      </c>
      <c r="C353" s="23">
        <v>3</v>
      </c>
      <c r="D353" s="23"/>
      <c r="E353" s="23">
        <f t="shared" si="51"/>
        <v>-54</v>
      </c>
      <c r="G353" s="78">
        <v>2</v>
      </c>
      <c r="H353" s="62">
        <f>C349+I353</f>
        <v>2</v>
      </c>
      <c r="I353" s="20"/>
      <c r="J353" s="21"/>
      <c r="K353" s="57">
        <v>0</v>
      </c>
      <c r="L353" s="23">
        <f t="shared" si="49"/>
        <v>0</v>
      </c>
      <c r="M353" s="23">
        <f t="shared" si="50"/>
        <v>0</v>
      </c>
      <c r="O353" s="52"/>
      <c r="Q353" s="273"/>
      <c r="R353" s="259"/>
      <c r="S353" s="260"/>
      <c r="T353" s="261"/>
      <c r="U353" s="262"/>
      <c r="V353" s="263"/>
      <c r="W353" s="263"/>
    </row>
    <row r="354" spans="1:25" hidden="1" outlineLevel="1">
      <c r="A354" s="124">
        <v>45643</v>
      </c>
      <c r="B354" s="17" t="s">
        <v>19</v>
      </c>
      <c r="C354" s="23">
        <v>3</v>
      </c>
      <c r="D354" s="23"/>
      <c r="E354" s="23">
        <f t="shared" si="51"/>
        <v>-57</v>
      </c>
      <c r="G354" s="78">
        <v>2</v>
      </c>
      <c r="H354" s="62">
        <f>C350+I354</f>
        <v>2</v>
      </c>
      <c r="I354" s="20"/>
      <c r="J354" s="21"/>
      <c r="K354" s="57">
        <v>2</v>
      </c>
      <c r="L354" s="23">
        <f t="shared" si="49"/>
        <v>0</v>
      </c>
      <c r="M354" s="23">
        <f t="shared" si="50"/>
        <v>0</v>
      </c>
      <c r="O354" s="52"/>
      <c r="Q354" s="273"/>
      <c r="R354" s="259"/>
      <c r="S354" s="260"/>
      <c r="T354" s="261"/>
      <c r="U354" s="262"/>
      <c r="V354" s="263"/>
      <c r="W354" s="263"/>
    </row>
    <row r="355" spans="1:25" hidden="1" outlineLevel="1">
      <c r="A355" s="124">
        <v>45644</v>
      </c>
      <c r="B355" s="17" t="s">
        <v>20</v>
      </c>
      <c r="C355" s="23">
        <v>4</v>
      </c>
      <c r="D355" s="23"/>
      <c r="E355" s="23">
        <f t="shared" si="51"/>
        <v>-61</v>
      </c>
      <c r="G355" s="78">
        <v>3</v>
      </c>
      <c r="H355" s="62">
        <f>C353+I355</f>
        <v>3</v>
      </c>
      <c r="I355" s="20"/>
      <c r="J355" s="21"/>
      <c r="K355" s="57">
        <v>3</v>
      </c>
      <c r="L355" s="23">
        <f t="shared" si="49"/>
        <v>0</v>
      </c>
      <c r="M355" s="23">
        <f t="shared" si="50"/>
        <v>0</v>
      </c>
      <c r="O355" s="52"/>
      <c r="Q355" s="273"/>
      <c r="R355" s="259"/>
      <c r="S355" s="260"/>
      <c r="T355" s="261"/>
      <c r="U355" s="262"/>
      <c r="V355" s="263"/>
      <c r="W355" s="263"/>
    </row>
    <row r="356" spans="1:25" hidden="1" outlineLevel="1">
      <c r="A356" s="124">
        <v>45645</v>
      </c>
      <c r="B356" s="17" t="s">
        <v>14</v>
      </c>
      <c r="C356" s="23">
        <v>4</v>
      </c>
      <c r="D356" s="23"/>
      <c r="E356" s="23">
        <f t="shared" si="51"/>
        <v>-65</v>
      </c>
      <c r="G356" s="78">
        <v>3</v>
      </c>
      <c r="H356" s="62">
        <f>C354+I356</f>
        <v>3</v>
      </c>
      <c r="I356" s="20"/>
      <c r="J356" s="21"/>
      <c r="K356" s="57">
        <v>3</v>
      </c>
      <c r="L356" s="23">
        <f t="shared" si="49"/>
        <v>0</v>
      </c>
      <c r="M356" s="23">
        <f t="shared" si="50"/>
        <v>0</v>
      </c>
      <c r="O356" s="52"/>
      <c r="Q356" s="273"/>
      <c r="R356" s="259"/>
      <c r="S356" s="260"/>
      <c r="T356" s="261"/>
      <c r="U356" s="262"/>
      <c r="V356" s="263"/>
      <c r="W356" s="263"/>
    </row>
    <row r="357" spans="1:25" hidden="1" outlineLevel="1">
      <c r="A357" s="124">
        <v>45646</v>
      </c>
      <c r="B357" s="17" t="s">
        <v>15</v>
      </c>
      <c r="C357" s="23">
        <v>5</v>
      </c>
      <c r="D357" s="23"/>
      <c r="E357" s="23">
        <f t="shared" si="51"/>
        <v>-70</v>
      </c>
      <c r="G357" s="78">
        <v>4</v>
      </c>
      <c r="H357" s="62">
        <f>C355+I357</f>
        <v>4</v>
      </c>
      <c r="I357" s="20"/>
      <c r="J357" s="21"/>
      <c r="K357" s="57">
        <v>4</v>
      </c>
      <c r="L357" s="23">
        <f t="shared" si="49"/>
        <v>0</v>
      </c>
      <c r="M357" s="23">
        <f t="shared" si="50"/>
        <v>0</v>
      </c>
      <c r="O357" s="52"/>
      <c r="Q357" s="273"/>
      <c r="R357" s="259"/>
      <c r="S357" s="260"/>
      <c r="T357" s="261"/>
      <c r="U357" s="262"/>
      <c r="V357" s="263"/>
      <c r="W357" s="263"/>
    </row>
    <row r="358" spans="1:25" s="12" customFormat="1" hidden="1" outlineLevel="1">
      <c r="A358" s="123">
        <v>45647</v>
      </c>
      <c r="B358" s="25" t="s">
        <v>16</v>
      </c>
      <c r="C358" s="29"/>
      <c r="D358" s="29"/>
      <c r="E358" s="29">
        <f t="shared" si="51"/>
        <v>-70</v>
      </c>
      <c r="G358" s="64"/>
      <c r="H358" s="63"/>
      <c r="I358" s="27"/>
      <c r="J358" s="28"/>
      <c r="K358" s="43"/>
      <c r="L358" s="29">
        <f t="shared" si="49"/>
        <v>0</v>
      </c>
      <c r="M358" s="29">
        <f t="shared" si="50"/>
        <v>0</v>
      </c>
      <c r="O358" s="54"/>
      <c r="Q358" s="304"/>
      <c r="R358" s="259"/>
      <c r="S358" s="260"/>
      <c r="T358" s="261"/>
      <c r="U358" s="262"/>
      <c r="V358" s="263"/>
      <c r="W358" s="263"/>
      <c r="Y358" s="11"/>
    </row>
    <row r="359" spans="1:25" s="12" customFormat="1" hidden="1" outlineLevel="1">
      <c r="A359" s="123">
        <v>45648</v>
      </c>
      <c r="B359" s="25" t="s">
        <v>17</v>
      </c>
      <c r="C359" s="29"/>
      <c r="D359" s="29"/>
      <c r="E359" s="29">
        <f t="shared" si="51"/>
        <v>-70</v>
      </c>
      <c r="G359" s="64"/>
      <c r="H359" s="63"/>
      <c r="I359" s="27"/>
      <c r="J359" s="28"/>
      <c r="K359" s="43"/>
      <c r="L359" s="29">
        <f t="shared" si="49"/>
        <v>0</v>
      </c>
      <c r="M359" s="29">
        <f t="shared" si="50"/>
        <v>0</v>
      </c>
      <c r="O359" s="54"/>
      <c r="Q359" s="304"/>
      <c r="R359" s="259"/>
      <c r="S359" s="260"/>
      <c r="T359" s="261"/>
      <c r="U359" s="262"/>
      <c r="V359" s="263"/>
      <c r="W359" s="263"/>
      <c r="Y359" s="11"/>
    </row>
    <row r="360" spans="1:25" hidden="1" outlineLevel="1">
      <c r="A360" s="124">
        <v>45649</v>
      </c>
      <c r="B360" s="17" t="s">
        <v>18</v>
      </c>
      <c r="C360" s="136">
        <v>5</v>
      </c>
      <c r="D360" s="23"/>
      <c r="E360" s="23">
        <f t="shared" si="51"/>
        <v>-75</v>
      </c>
      <c r="G360" s="78">
        <v>4</v>
      </c>
      <c r="H360" s="62">
        <f>C356+I360</f>
        <v>4</v>
      </c>
      <c r="I360" s="20"/>
      <c r="J360" s="21"/>
      <c r="K360" s="57">
        <v>4</v>
      </c>
      <c r="L360" s="23">
        <f t="shared" si="49"/>
        <v>0</v>
      </c>
      <c r="M360" s="23">
        <f t="shared" si="50"/>
        <v>0</v>
      </c>
      <c r="O360" s="52"/>
      <c r="Q360" s="273"/>
      <c r="R360" s="259"/>
      <c r="S360" s="260"/>
      <c r="T360" s="261"/>
      <c r="U360" s="262"/>
      <c r="V360" s="263"/>
      <c r="W360" s="263"/>
    </row>
    <row r="361" spans="1:25" hidden="1" outlineLevel="1">
      <c r="A361" s="124">
        <v>45650</v>
      </c>
      <c r="B361" s="17" t="s">
        <v>19</v>
      </c>
      <c r="C361" s="136">
        <v>10</v>
      </c>
      <c r="D361" s="23"/>
      <c r="E361" s="23">
        <f t="shared" si="51"/>
        <v>-85</v>
      </c>
      <c r="G361" s="78">
        <v>5</v>
      </c>
      <c r="H361" s="62">
        <f>C357+I361</f>
        <v>5</v>
      </c>
      <c r="I361" s="20"/>
      <c r="J361" s="21"/>
      <c r="K361" s="57">
        <v>5</v>
      </c>
      <c r="L361" s="23">
        <f t="shared" si="49"/>
        <v>0</v>
      </c>
      <c r="M361" s="23">
        <f t="shared" si="50"/>
        <v>0</v>
      </c>
      <c r="O361" s="52"/>
      <c r="Q361" s="273"/>
      <c r="R361" s="259"/>
      <c r="S361" s="260"/>
      <c r="T361" s="261"/>
      <c r="U361" s="262"/>
      <c r="V361" s="263"/>
      <c r="W361" s="263"/>
    </row>
    <row r="362" spans="1:25" hidden="1" outlineLevel="1">
      <c r="A362" s="124">
        <v>45651</v>
      </c>
      <c r="B362" s="17" t="s">
        <v>20</v>
      </c>
      <c r="C362" s="136">
        <v>10</v>
      </c>
      <c r="D362" s="23"/>
      <c r="E362" s="23">
        <f t="shared" si="51"/>
        <v>-95</v>
      </c>
      <c r="G362" s="78">
        <v>5</v>
      </c>
      <c r="H362" s="62">
        <f>C360+I362</f>
        <v>5</v>
      </c>
      <c r="I362" s="20"/>
      <c r="J362" s="21"/>
      <c r="K362" s="57">
        <v>5</v>
      </c>
      <c r="L362" s="23">
        <f t="shared" si="49"/>
        <v>0</v>
      </c>
      <c r="M362" s="23">
        <f t="shared" si="50"/>
        <v>0</v>
      </c>
      <c r="O362" s="52"/>
      <c r="Q362" s="273"/>
      <c r="R362" s="259"/>
      <c r="S362" s="260"/>
      <c r="T362" s="261"/>
      <c r="U362" s="262"/>
      <c r="V362" s="263"/>
      <c r="W362" s="263"/>
    </row>
    <row r="363" spans="1:25" hidden="1" outlineLevel="1">
      <c r="A363" s="124">
        <v>45652</v>
      </c>
      <c r="B363" s="17" t="s">
        <v>14</v>
      </c>
      <c r="C363" s="136">
        <v>10</v>
      </c>
      <c r="D363" s="23"/>
      <c r="E363" s="23">
        <f t="shared" si="51"/>
        <v>-105</v>
      </c>
      <c r="G363" s="78">
        <v>10</v>
      </c>
      <c r="H363" s="62">
        <f>C361+I363</f>
        <v>10</v>
      </c>
      <c r="I363" s="20"/>
      <c r="J363" s="21"/>
      <c r="K363" s="57">
        <v>10</v>
      </c>
      <c r="L363" s="23">
        <f t="shared" si="49"/>
        <v>0</v>
      </c>
      <c r="M363" s="23">
        <f t="shared" si="50"/>
        <v>0</v>
      </c>
      <c r="O363" s="52"/>
      <c r="Q363" s="273"/>
      <c r="R363" s="259"/>
      <c r="S363" s="260"/>
      <c r="T363" s="261"/>
      <c r="U363" s="262"/>
      <c r="V363" s="263"/>
      <c r="W363" s="263"/>
    </row>
    <row r="364" spans="1:25" hidden="1" outlineLevel="1">
      <c r="A364" s="124">
        <v>45653</v>
      </c>
      <c r="B364" s="17" t="s">
        <v>15</v>
      </c>
      <c r="C364" s="136">
        <v>15</v>
      </c>
      <c r="D364" s="23"/>
      <c r="E364" s="23">
        <f t="shared" si="51"/>
        <v>-120</v>
      </c>
      <c r="G364" s="78">
        <v>10</v>
      </c>
      <c r="H364" s="62">
        <f>C362+I364</f>
        <v>10</v>
      </c>
      <c r="I364" s="20"/>
      <c r="J364" s="21"/>
      <c r="K364" s="57">
        <v>20</v>
      </c>
      <c r="L364" s="23">
        <f t="shared" si="49"/>
        <v>10</v>
      </c>
      <c r="M364" s="23">
        <f t="shared" si="50"/>
        <v>0</v>
      </c>
      <c r="O364" s="52"/>
      <c r="Q364" s="273"/>
      <c r="R364" s="259"/>
      <c r="S364" s="260"/>
      <c r="T364" s="261"/>
      <c r="U364" s="262"/>
      <c r="V364" s="263"/>
      <c r="W364" s="263"/>
    </row>
    <row r="365" spans="1:25" s="12" customFormat="1" hidden="1" outlineLevel="1" collapsed="1">
      <c r="A365" s="123">
        <v>45654</v>
      </c>
      <c r="B365" s="25" t="s">
        <v>16</v>
      </c>
      <c r="C365" s="29"/>
      <c r="D365" s="29"/>
      <c r="E365" s="29">
        <f t="shared" si="51"/>
        <v>-120</v>
      </c>
      <c r="G365" s="64"/>
      <c r="H365" s="63"/>
      <c r="I365" s="27"/>
      <c r="J365" s="28"/>
      <c r="K365" s="43"/>
      <c r="L365" s="29">
        <f t="shared" si="49"/>
        <v>10</v>
      </c>
      <c r="M365" s="29">
        <f t="shared" si="50"/>
        <v>0</v>
      </c>
      <c r="O365" s="54"/>
      <c r="Q365" s="304"/>
      <c r="R365" s="259"/>
      <c r="S365" s="260"/>
      <c r="T365" s="261"/>
      <c r="U365" s="262"/>
      <c r="V365" s="263"/>
      <c r="W365" s="263"/>
      <c r="Y365" s="11"/>
    </row>
    <row r="366" spans="1:25" s="12" customFormat="1" hidden="1" outlineLevel="1">
      <c r="A366" s="123">
        <v>45655</v>
      </c>
      <c r="B366" s="25" t="s">
        <v>17</v>
      </c>
      <c r="C366" s="29"/>
      <c r="D366" s="29"/>
      <c r="E366" s="29">
        <f t="shared" si="51"/>
        <v>-120</v>
      </c>
      <c r="G366" s="64"/>
      <c r="H366" s="63"/>
      <c r="I366" s="27"/>
      <c r="J366" s="28"/>
      <c r="K366" s="43"/>
      <c r="L366" s="29">
        <f t="shared" si="49"/>
        <v>10</v>
      </c>
      <c r="M366" s="29">
        <f t="shared" si="50"/>
        <v>0</v>
      </c>
      <c r="O366" s="54"/>
      <c r="Q366" s="304"/>
      <c r="R366" s="259"/>
      <c r="S366" s="260"/>
      <c r="T366" s="261"/>
      <c r="U366" s="262"/>
      <c r="V366" s="263"/>
      <c r="W366" s="263"/>
      <c r="Y366" s="11"/>
    </row>
    <row r="367" spans="1:25" s="12" customFormat="1" hidden="1" outlineLevel="1">
      <c r="A367" s="123">
        <v>45656</v>
      </c>
      <c r="B367" s="25" t="s">
        <v>18</v>
      </c>
      <c r="C367" s="29"/>
      <c r="D367" s="29"/>
      <c r="E367" s="29">
        <f t="shared" si="51"/>
        <v>-120</v>
      </c>
      <c r="G367" s="64"/>
      <c r="H367" s="63"/>
      <c r="I367" s="27"/>
      <c r="J367" s="28"/>
      <c r="K367" s="43"/>
      <c r="L367" s="29">
        <f t="shared" si="49"/>
        <v>10</v>
      </c>
      <c r="M367" s="29">
        <f t="shared" si="50"/>
        <v>0</v>
      </c>
      <c r="O367" s="54"/>
      <c r="Q367" s="304"/>
      <c r="R367" s="259"/>
      <c r="S367" s="260"/>
      <c r="T367" s="261"/>
      <c r="U367" s="262"/>
      <c r="V367" s="263"/>
      <c r="W367" s="263"/>
      <c r="Y367" s="11"/>
    </row>
    <row r="368" spans="1:25" s="12" customFormat="1" hidden="1" outlineLevel="1">
      <c r="A368" s="123">
        <v>45657</v>
      </c>
      <c r="B368" s="25" t="s">
        <v>19</v>
      </c>
      <c r="C368" s="29"/>
      <c r="D368" s="29"/>
      <c r="E368" s="29">
        <f t="shared" si="51"/>
        <v>-120</v>
      </c>
      <c r="G368" s="64"/>
      <c r="H368" s="63"/>
      <c r="I368" s="27"/>
      <c r="J368" s="28"/>
      <c r="K368" s="43"/>
      <c r="L368" s="29">
        <f t="shared" si="49"/>
        <v>10</v>
      </c>
      <c r="M368" s="29">
        <f t="shared" si="50"/>
        <v>0</v>
      </c>
      <c r="O368" s="54"/>
      <c r="Q368" s="304"/>
      <c r="R368" s="259"/>
      <c r="S368" s="260"/>
      <c r="T368" s="261"/>
      <c r="U368" s="262"/>
      <c r="V368" s="263"/>
      <c r="W368" s="263"/>
      <c r="Y368" s="11"/>
    </row>
    <row r="369" spans="1:25" s="12" customFormat="1" hidden="1" outlineLevel="1">
      <c r="A369" s="95">
        <v>45658</v>
      </c>
      <c r="B369" s="25" t="s">
        <v>20</v>
      </c>
      <c r="C369" s="29"/>
      <c r="D369" s="29"/>
      <c r="E369" s="29">
        <f t="shared" ref="E369:E428" si="52">E368-C369+D369</f>
        <v>-120</v>
      </c>
      <c r="G369" s="64"/>
      <c r="H369" s="63"/>
      <c r="I369" s="27"/>
      <c r="J369" s="28"/>
      <c r="K369" s="43"/>
      <c r="L369" s="29">
        <f t="shared" ref="L369:L399" si="53">L368-G369+K369</f>
        <v>10</v>
      </c>
      <c r="M369" s="29">
        <f t="shared" ref="M369:M399" si="54">M368-G369+H369</f>
        <v>0</v>
      </c>
      <c r="O369" s="54"/>
      <c r="Q369" s="304"/>
      <c r="R369" s="259"/>
      <c r="S369" s="260"/>
      <c r="T369" s="261"/>
      <c r="U369" s="262"/>
      <c r="V369" s="263"/>
      <c r="W369" s="263"/>
      <c r="Y369" s="11"/>
    </row>
    <row r="370" spans="1:25" s="12" customFormat="1" hidden="1" outlineLevel="1">
      <c r="A370" s="95">
        <v>45659</v>
      </c>
      <c r="B370" s="25" t="s">
        <v>14</v>
      </c>
      <c r="C370" s="29"/>
      <c r="D370" s="29"/>
      <c r="E370" s="29">
        <f t="shared" si="52"/>
        <v>-120</v>
      </c>
      <c r="G370" s="64"/>
      <c r="H370" s="63"/>
      <c r="I370" s="27"/>
      <c r="J370" s="28"/>
      <c r="K370" s="43"/>
      <c r="L370" s="29">
        <f t="shared" si="53"/>
        <v>10</v>
      </c>
      <c r="M370" s="29">
        <f t="shared" si="54"/>
        <v>0</v>
      </c>
      <c r="O370" s="54"/>
      <c r="Q370" s="304"/>
      <c r="R370" s="259"/>
      <c r="S370" s="260"/>
      <c r="T370" s="261"/>
      <c r="U370" s="262"/>
      <c r="V370" s="263"/>
      <c r="W370" s="263"/>
      <c r="Y370" s="11"/>
    </row>
    <row r="371" spans="1:25" s="12" customFormat="1" hidden="1" outlineLevel="1">
      <c r="A371" s="95">
        <v>45660</v>
      </c>
      <c r="B371" s="25" t="s">
        <v>15</v>
      </c>
      <c r="C371" s="29"/>
      <c r="D371" s="29"/>
      <c r="E371" s="29">
        <f t="shared" si="52"/>
        <v>-120</v>
      </c>
      <c r="G371" s="64"/>
      <c r="H371" s="63"/>
      <c r="I371" s="27"/>
      <c r="J371" s="28"/>
      <c r="K371" s="43"/>
      <c r="L371" s="29">
        <f t="shared" si="53"/>
        <v>10</v>
      </c>
      <c r="M371" s="29">
        <f t="shared" si="54"/>
        <v>0</v>
      </c>
      <c r="O371" s="54"/>
      <c r="Q371" s="304"/>
      <c r="R371" s="259"/>
      <c r="S371" s="260"/>
      <c r="T371" s="261"/>
      <c r="U371" s="262"/>
      <c r="V371" s="263"/>
      <c r="W371" s="263"/>
      <c r="Y371" s="11"/>
    </row>
    <row r="372" spans="1:25" s="12" customFormat="1" hidden="1" outlineLevel="1">
      <c r="A372" s="95">
        <v>45661</v>
      </c>
      <c r="B372" s="25" t="s">
        <v>16</v>
      </c>
      <c r="C372" s="29"/>
      <c r="D372" s="29"/>
      <c r="E372" s="29">
        <f t="shared" si="52"/>
        <v>-120</v>
      </c>
      <c r="G372" s="64"/>
      <c r="H372" s="63"/>
      <c r="I372" s="27"/>
      <c r="J372" s="28"/>
      <c r="K372" s="43"/>
      <c r="L372" s="29">
        <f t="shared" si="53"/>
        <v>10</v>
      </c>
      <c r="M372" s="29">
        <f t="shared" si="54"/>
        <v>0</v>
      </c>
      <c r="O372" s="54"/>
      <c r="Q372" s="304"/>
      <c r="R372" s="259"/>
      <c r="S372" s="260"/>
      <c r="T372" s="261"/>
      <c r="U372" s="262"/>
      <c r="V372" s="263"/>
      <c r="W372" s="263"/>
      <c r="Y372" s="11"/>
    </row>
    <row r="373" spans="1:25" s="12" customFormat="1" hidden="1" outlineLevel="1" collapsed="1">
      <c r="A373" s="95">
        <v>45662</v>
      </c>
      <c r="B373" s="25" t="s">
        <v>17</v>
      </c>
      <c r="C373" s="29"/>
      <c r="D373" s="29"/>
      <c r="E373" s="29">
        <f t="shared" si="52"/>
        <v>-120</v>
      </c>
      <c r="G373" s="64"/>
      <c r="H373" s="63"/>
      <c r="I373" s="27"/>
      <c r="J373" s="28"/>
      <c r="K373" s="43"/>
      <c r="L373" s="29">
        <f t="shared" si="53"/>
        <v>10</v>
      </c>
      <c r="M373" s="29">
        <f t="shared" si="54"/>
        <v>0</v>
      </c>
      <c r="O373" s="54"/>
      <c r="Q373" s="304"/>
      <c r="R373" s="259"/>
      <c r="S373" s="260"/>
      <c r="T373" s="261"/>
      <c r="U373" s="262"/>
      <c r="V373" s="263"/>
      <c r="W373" s="263"/>
      <c r="Y373" s="11"/>
    </row>
    <row r="374" spans="1:25" hidden="1" outlineLevel="1">
      <c r="A374" s="96">
        <v>45663</v>
      </c>
      <c r="B374" s="17" t="s">
        <v>18</v>
      </c>
      <c r="C374" s="23">
        <v>15</v>
      </c>
      <c r="D374" s="23"/>
      <c r="E374" s="23">
        <f t="shared" si="52"/>
        <v>-135</v>
      </c>
      <c r="G374" s="78">
        <v>10</v>
      </c>
      <c r="H374" s="62">
        <f>C363+I374</f>
        <v>10</v>
      </c>
      <c r="I374" s="20"/>
      <c r="J374" s="21"/>
      <c r="K374" s="57">
        <v>0</v>
      </c>
      <c r="L374" s="23">
        <f t="shared" si="53"/>
        <v>0</v>
      </c>
      <c r="M374" s="23">
        <f t="shared" si="54"/>
        <v>0</v>
      </c>
      <c r="O374" s="52"/>
      <c r="Q374" s="273"/>
      <c r="R374" s="259"/>
      <c r="S374" s="260"/>
      <c r="T374" s="261"/>
      <c r="U374" s="262"/>
      <c r="V374" s="263"/>
      <c r="W374" s="263"/>
    </row>
    <row r="375" spans="1:25" hidden="1" outlineLevel="1">
      <c r="A375" s="96">
        <v>45664</v>
      </c>
      <c r="B375" s="17" t="s">
        <v>19</v>
      </c>
      <c r="C375" s="23">
        <v>15</v>
      </c>
      <c r="D375" s="23"/>
      <c r="E375" s="23">
        <f t="shared" si="52"/>
        <v>-150</v>
      </c>
      <c r="G375" s="78">
        <v>15</v>
      </c>
      <c r="H375" s="62">
        <f>C364+I375</f>
        <v>15</v>
      </c>
      <c r="I375" s="20"/>
      <c r="J375" s="21"/>
      <c r="K375" s="57">
        <v>15</v>
      </c>
      <c r="L375" s="23">
        <f t="shared" si="53"/>
        <v>0</v>
      </c>
      <c r="M375" s="23">
        <f t="shared" si="54"/>
        <v>0</v>
      </c>
      <c r="O375" s="52"/>
      <c r="Q375" s="273"/>
      <c r="R375" s="259"/>
      <c r="S375" s="260"/>
      <c r="T375" s="261"/>
      <c r="U375" s="262"/>
      <c r="V375" s="263"/>
      <c r="W375" s="263"/>
    </row>
    <row r="376" spans="1:25" hidden="1" outlineLevel="1">
      <c r="A376" s="96">
        <v>45665</v>
      </c>
      <c r="B376" s="17" t="s">
        <v>20</v>
      </c>
      <c r="C376" s="23">
        <v>15</v>
      </c>
      <c r="D376" s="23"/>
      <c r="E376" s="23">
        <f t="shared" si="52"/>
        <v>-165</v>
      </c>
      <c r="G376" s="78">
        <v>16</v>
      </c>
      <c r="H376" s="62">
        <f>C374+I376</f>
        <v>16</v>
      </c>
      <c r="I376" s="20">
        <v>1</v>
      </c>
      <c r="J376" s="21"/>
      <c r="K376" s="57">
        <v>16</v>
      </c>
      <c r="L376" s="23">
        <f t="shared" si="53"/>
        <v>0</v>
      </c>
      <c r="M376" s="23">
        <f t="shared" si="54"/>
        <v>0</v>
      </c>
      <c r="O376" s="52"/>
      <c r="Q376" s="273"/>
      <c r="R376" s="259"/>
      <c r="S376" s="260"/>
      <c r="T376" s="261"/>
      <c r="U376" s="262"/>
      <c r="V376" s="263"/>
      <c r="W376" s="263"/>
    </row>
    <row r="377" spans="1:25" hidden="1" outlineLevel="1">
      <c r="A377" s="96">
        <v>45666</v>
      </c>
      <c r="B377" s="17" t="s">
        <v>14</v>
      </c>
      <c r="C377" s="23">
        <v>19</v>
      </c>
      <c r="D377" s="23"/>
      <c r="E377" s="23">
        <f t="shared" si="52"/>
        <v>-184</v>
      </c>
      <c r="G377" s="78">
        <v>16</v>
      </c>
      <c r="H377" s="62">
        <f>C375+I377</f>
        <v>16</v>
      </c>
      <c r="I377" s="20">
        <v>1</v>
      </c>
      <c r="J377" s="21"/>
      <c r="K377" s="57">
        <v>16</v>
      </c>
      <c r="L377" s="23">
        <f t="shared" si="53"/>
        <v>0</v>
      </c>
      <c r="M377" s="23">
        <f t="shared" si="54"/>
        <v>0</v>
      </c>
      <c r="O377" s="52"/>
      <c r="Q377" s="273"/>
      <c r="R377" s="259"/>
      <c r="S377" s="260"/>
      <c r="T377" s="261"/>
      <c r="U377" s="262"/>
      <c r="V377" s="263"/>
      <c r="W377" s="263"/>
    </row>
    <row r="378" spans="1:25" hidden="1" outlineLevel="1">
      <c r="A378" s="96">
        <v>45667</v>
      </c>
      <c r="B378" s="17" t="s">
        <v>15</v>
      </c>
      <c r="C378" s="23">
        <v>25</v>
      </c>
      <c r="D378" s="23"/>
      <c r="E378" s="23">
        <f t="shared" si="52"/>
        <v>-209</v>
      </c>
      <c r="G378" s="78">
        <v>16</v>
      </c>
      <c r="H378" s="62">
        <f>C376+I378</f>
        <v>16</v>
      </c>
      <c r="I378" s="20">
        <v>1</v>
      </c>
      <c r="J378" s="21"/>
      <c r="K378" s="57">
        <v>16</v>
      </c>
      <c r="L378" s="23">
        <f t="shared" si="53"/>
        <v>0</v>
      </c>
      <c r="M378" s="23">
        <f t="shared" si="54"/>
        <v>0</v>
      </c>
      <c r="O378" s="52"/>
      <c r="Q378" s="273"/>
      <c r="R378" s="259"/>
      <c r="S378" s="260"/>
      <c r="T378" s="261"/>
      <c r="U378" s="262"/>
      <c r="V378" s="263"/>
      <c r="W378" s="263"/>
    </row>
    <row r="379" spans="1:25" s="12" customFormat="1" hidden="1" outlineLevel="1">
      <c r="A379" s="95">
        <v>45668</v>
      </c>
      <c r="B379" s="25" t="s">
        <v>16</v>
      </c>
      <c r="C379" s="29"/>
      <c r="D379" s="29"/>
      <c r="E379" s="29">
        <f t="shared" si="52"/>
        <v>-209</v>
      </c>
      <c r="G379" s="79"/>
      <c r="H379" s="63"/>
      <c r="I379" s="27"/>
      <c r="J379" s="28"/>
      <c r="K379" s="43"/>
      <c r="L379" s="29">
        <f t="shared" si="53"/>
        <v>0</v>
      </c>
      <c r="M379" s="29">
        <f t="shared" si="54"/>
        <v>0</v>
      </c>
      <c r="O379" s="54"/>
      <c r="Q379" s="273"/>
      <c r="R379" s="259"/>
      <c r="S379" s="260"/>
      <c r="T379" s="261"/>
      <c r="U379" s="262"/>
      <c r="V379" s="263"/>
      <c r="W379" s="263"/>
      <c r="Y379" s="11"/>
    </row>
    <row r="380" spans="1:25" s="12" customFormat="1" hidden="1" outlineLevel="1">
      <c r="A380" s="95">
        <v>45669</v>
      </c>
      <c r="B380" s="25" t="s">
        <v>17</v>
      </c>
      <c r="C380" s="29"/>
      <c r="D380" s="29"/>
      <c r="E380" s="29">
        <f t="shared" si="52"/>
        <v>-209</v>
      </c>
      <c r="G380" s="79"/>
      <c r="H380" s="63"/>
      <c r="I380" s="27"/>
      <c r="J380" s="28"/>
      <c r="K380" s="43"/>
      <c r="L380" s="29">
        <f t="shared" si="53"/>
        <v>0</v>
      </c>
      <c r="M380" s="29">
        <f t="shared" si="54"/>
        <v>0</v>
      </c>
      <c r="O380" s="54"/>
      <c r="Q380" s="273"/>
      <c r="R380" s="259"/>
      <c r="S380" s="260"/>
      <c r="T380" s="261"/>
      <c r="U380" s="262"/>
      <c r="V380" s="263"/>
      <c r="W380" s="263"/>
      <c r="Y380" s="11"/>
    </row>
    <row r="381" spans="1:25" s="12" customFormat="1" hidden="1" outlineLevel="1" collapsed="1">
      <c r="A381" s="95">
        <v>45670</v>
      </c>
      <c r="B381" s="25" t="s">
        <v>18</v>
      </c>
      <c r="C381" s="29"/>
      <c r="D381" s="29"/>
      <c r="E381" s="29">
        <f t="shared" si="52"/>
        <v>-209</v>
      </c>
      <c r="G381" s="79"/>
      <c r="H381" s="63"/>
      <c r="I381" s="27"/>
      <c r="J381" s="28"/>
      <c r="K381" s="43"/>
      <c r="L381" s="29">
        <f t="shared" si="53"/>
        <v>0</v>
      </c>
      <c r="M381" s="29">
        <f t="shared" si="54"/>
        <v>0</v>
      </c>
      <c r="O381" s="54"/>
      <c r="Q381" s="273"/>
      <c r="R381" s="259"/>
      <c r="S381" s="260"/>
      <c r="T381" s="261"/>
      <c r="U381" s="262"/>
      <c r="V381" s="263"/>
      <c r="W381" s="263"/>
      <c r="Y381" s="11"/>
    </row>
    <row r="382" spans="1:25" hidden="1" outlineLevel="1">
      <c r="A382" s="96">
        <v>45671</v>
      </c>
      <c r="B382" s="17" t="s">
        <v>19</v>
      </c>
      <c r="C382" s="23">
        <v>23</v>
      </c>
      <c r="D382" s="23"/>
      <c r="E382" s="23">
        <f t="shared" si="52"/>
        <v>-232</v>
      </c>
      <c r="G382" s="78">
        <f>16+1</f>
        <v>17</v>
      </c>
      <c r="H382" s="62">
        <v>17</v>
      </c>
      <c r="I382" s="20">
        <v>-3</v>
      </c>
      <c r="J382" s="21"/>
      <c r="K382" s="57">
        <v>17</v>
      </c>
      <c r="L382" s="23">
        <f t="shared" si="53"/>
        <v>0</v>
      </c>
      <c r="M382" s="23">
        <f t="shared" si="54"/>
        <v>0</v>
      </c>
      <c r="O382" s="52"/>
      <c r="Q382" s="273"/>
      <c r="R382" s="259"/>
      <c r="S382" s="260"/>
      <c r="T382" s="261"/>
      <c r="U382" s="262"/>
      <c r="V382" s="263"/>
      <c r="W382" s="263"/>
    </row>
    <row r="383" spans="1:25" hidden="1" outlineLevel="1">
      <c r="A383" s="96">
        <v>45672</v>
      </c>
      <c r="B383" s="17" t="s">
        <v>20</v>
      </c>
      <c r="C383" s="23">
        <v>16</v>
      </c>
      <c r="D383" s="23"/>
      <c r="E383" s="23">
        <f t="shared" si="52"/>
        <v>-248</v>
      </c>
      <c r="G383" s="78">
        <v>32</v>
      </c>
      <c r="H383" s="62">
        <f>C378+I383</f>
        <v>16</v>
      </c>
      <c r="I383" s="20">
        <v>-9</v>
      </c>
      <c r="J383" s="21"/>
      <c r="K383" s="57">
        <v>16</v>
      </c>
      <c r="L383" s="23">
        <f t="shared" si="53"/>
        <v>-16</v>
      </c>
      <c r="M383" s="23">
        <f t="shared" si="54"/>
        <v>-16</v>
      </c>
      <c r="O383" s="52"/>
      <c r="Q383" s="273"/>
      <c r="R383" s="259"/>
      <c r="S383" s="260"/>
      <c r="T383" s="261"/>
      <c r="U383" s="262"/>
      <c r="V383" s="263"/>
      <c r="W383" s="263"/>
    </row>
    <row r="384" spans="1:25" hidden="1" outlineLevel="1">
      <c r="A384" s="96">
        <v>45673</v>
      </c>
      <c r="B384" s="17" t="s">
        <v>14</v>
      </c>
      <c r="C384" s="23">
        <v>24</v>
      </c>
      <c r="D384" s="23"/>
      <c r="E384" s="23">
        <f t="shared" si="52"/>
        <v>-272</v>
      </c>
      <c r="G384" s="78">
        <v>16</v>
      </c>
      <c r="H384" s="62">
        <f>C382+I384</f>
        <v>32</v>
      </c>
      <c r="I384" s="20">
        <v>9</v>
      </c>
      <c r="J384" s="21"/>
      <c r="K384" s="57">
        <v>32</v>
      </c>
      <c r="L384" s="23">
        <f t="shared" si="53"/>
        <v>0</v>
      </c>
      <c r="M384" s="23">
        <f t="shared" si="54"/>
        <v>0</v>
      </c>
      <c r="O384" s="52"/>
      <c r="Q384" s="273"/>
      <c r="R384" s="259"/>
      <c r="S384" s="260"/>
      <c r="T384" s="261"/>
      <c r="U384" s="262"/>
      <c r="V384" s="263"/>
      <c r="W384" s="263"/>
    </row>
    <row r="385" spans="1:25" hidden="1" outlineLevel="1">
      <c r="A385" s="96">
        <v>45674</v>
      </c>
      <c r="B385" s="17" t="s">
        <v>15</v>
      </c>
      <c r="C385" s="23">
        <v>0</v>
      </c>
      <c r="D385" s="23"/>
      <c r="E385" s="23">
        <f t="shared" si="52"/>
        <v>-272</v>
      </c>
      <c r="G385" s="78">
        <v>40</v>
      </c>
      <c r="H385" s="277">
        <f>C383+I385</f>
        <v>0</v>
      </c>
      <c r="I385" s="20">
        <v>-16</v>
      </c>
      <c r="J385" s="21"/>
      <c r="K385" s="42"/>
      <c r="L385" s="23">
        <f t="shared" si="53"/>
        <v>-40</v>
      </c>
      <c r="M385" s="23">
        <f t="shared" si="54"/>
        <v>-40</v>
      </c>
      <c r="O385" s="52"/>
      <c r="Q385" s="273"/>
      <c r="R385" s="259"/>
      <c r="S385" s="260"/>
      <c r="T385" s="261"/>
      <c r="U385" s="262"/>
      <c r="V385" s="263"/>
      <c r="W385" s="263"/>
    </row>
    <row r="386" spans="1:25" s="12" customFormat="1" hidden="1" outlineLevel="1">
      <c r="A386" s="95">
        <v>45675</v>
      </c>
      <c r="B386" s="25" t="s">
        <v>16</v>
      </c>
      <c r="C386" s="29"/>
      <c r="D386" s="29"/>
      <c r="E386" s="29">
        <f t="shared" si="52"/>
        <v>-272</v>
      </c>
      <c r="G386" s="79"/>
      <c r="H386" s="63"/>
      <c r="I386" s="27"/>
      <c r="J386" s="28"/>
      <c r="K386" s="43"/>
      <c r="L386" s="29">
        <f t="shared" si="53"/>
        <v>-40</v>
      </c>
      <c r="M386" s="29">
        <f t="shared" si="54"/>
        <v>-40</v>
      </c>
      <c r="O386" s="54"/>
      <c r="Q386" s="273"/>
      <c r="R386" s="259"/>
      <c r="S386" s="260"/>
      <c r="T386" s="261"/>
      <c r="U386" s="262"/>
      <c r="V386" s="263"/>
      <c r="W386" s="263"/>
      <c r="Y386" s="11"/>
    </row>
    <row r="387" spans="1:25" s="12" customFormat="1" hidden="1" outlineLevel="1" collapsed="1">
      <c r="A387" s="95">
        <v>45676</v>
      </c>
      <c r="B387" s="25" t="s">
        <v>17</v>
      </c>
      <c r="C387" s="29"/>
      <c r="D387" s="29"/>
      <c r="E387" s="29">
        <f t="shared" si="52"/>
        <v>-272</v>
      </c>
      <c r="G387" s="79"/>
      <c r="H387" s="63"/>
      <c r="I387" s="27"/>
      <c r="J387" s="28"/>
      <c r="K387" s="43"/>
      <c r="L387" s="29">
        <f t="shared" si="53"/>
        <v>-40</v>
      </c>
      <c r="M387" s="29">
        <f t="shared" si="54"/>
        <v>-40</v>
      </c>
      <c r="O387" s="54"/>
      <c r="Q387" s="273"/>
      <c r="R387" s="259"/>
      <c r="S387" s="260"/>
      <c r="T387" s="261"/>
      <c r="U387" s="262"/>
      <c r="V387" s="263"/>
      <c r="W387" s="263"/>
      <c r="Y387" s="11"/>
    </row>
    <row r="388" spans="1:25" hidden="1" outlineLevel="1">
      <c r="A388" s="96">
        <v>45677</v>
      </c>
      <c r="B388" s="17" t="s">
        <v>18</v>
      </c>
      <c r="C388" s="23">
        <v>0</v>
      </c>
      <c r="D388" s="23"/>
      <c r="E388" s="23">
        <f t="shared" si="52"/>
        <v>-272</v>
      </c>
      <c r="G388" s="78">
        <v>0</v>
      </c>
      <c r="H388" s="277">
        <f>C384+I388</f>
        <v>0</v>
      </c>
      <c r="I388" s="20">
        <v>-24</v>
      </c>
      <c r="J388" s="21"/>
      <c r="K388" s="42"/>
      <c r="L388" s="23">
        <f t="shared" si="53"/>
        <v>-40</v>
      </c>
      <c r="M388" s="23">
        <f t="shared" si="54"/>
        <v>-40</v>
      </c>
      <c r="O388" s="52"/>
      <c r="Q388" s="273"/>
      <c r="R388" s="259"/>
      <c r="S388" s="260"/>
      <c r="T388" s="261"/>
      <c r="U388" s="262"/>
      <c r="V388" s="263"/>
      <c r="W388" s="263"/>
    </row>
    <row r="389" spans="1:25" hidden="1" outlineLevel="1">
      <c r="A389" s="96">
        <v>45678</v>
      </c>
      <c r="B389" s="17" t="s">
        <v>19</v>
      </c>
      <c r="C389" s="23">
        <v>0</v>
      </c>
      <c r="D389" s="23"/>
      <c r="E389" s="23">
        <f t="shared" si="52"/>
        <v>-272</v>
      </c>
      <c r="G389" s="78">
        <v>0</v>
      </c>
      <c r="H389" s="62">
        <f>C385+I389</f>
        <v>0</v>
      </c>
      <c r="I389" s="20"/>
      <c r="J389" s="21"/>
      <c r="K389" s="42"/>
      <c r="L389" s="23">
        <f t="shared" si="53"/>
        <v>-40</v>
      </c>
      <c r="M389" s="23">
        <f t="shared" si="54"/>
        <v>-40</v>
      </c>
      <c r="O389" s="52"/>
      <c r="Q389" s="273"/>
      <c r="R389" s="259"/>
      <c r="S389" s="260"/>
      <c r="T389" s="261"/>
      <c r="U389" s="262"/>
      <c r="V389" s="263"/>
      <c r="W389" s="263"/>
    </row>
    <row r="390" spans="1:25" hidden="1" outlineLevel="1">
      <c r="A390" s="96">
        <v>45679</v>
      </c>
      <c r="B390" s="17" t="s">
        <v>20</v>
      </c>
      <c r="C390" s="23">
        <v>0</v>
      </c>
      <c r="D390" s="23"/>
      <c r="E390" s="23">
        <f t="shared" si="52"/>
        <v>-272</v>
      </c>
      <c r="G390" s="78">
        <v>0</v>
      </c>
      <c r="H390" s="62">
        <f>C388+I390</f>
        <v>0</v>
      </c>
      <c r="I390" s="20"/>
      <c r="J390" s="21"/>
      <c r="K390" s="42"/>
      <c r="L390" s="23">
        <f t="shared" si="53"/>
        <v>-40</v>
      </c>
      <c r="M390" s="23">
        <f t="shared" si="54"/>
        <v>-40</v>
      </c>
      <c r="O390" s="52"/>
      <c r="Q390" s="273"/>
      <c r="R390" s="259"/>
      <c r="S390" s="260"/>
      <c r="T390" s="261"/>
      <c r="U390" s="262"/>
      <c r="V390" s="263"/>
      <c r="W390" s="263"/>
    </row>
    <row r="391" spans="1:25" hidden="1" outlineLevel="1">
      <c r="A391" s="96">
        <v>45680</v>
      </c>
      <c r="B391" s="17" t="s">
        <v>14</v>
      </c>
      <c r="C391" s="23">
        <v>0</v>
      </c>
      <c r="D391" s="23"/>
      <c r="E391" s="23">
        <f t="shared" si="52"/>
        <v>-272</v>
      </c>
      <c r="G391" s="78">
        <v>24</v>
      </c>
      <c r="H391" s="62">
        <f>C389+I391</f>
        <v>0</v>
      </c>
      <c r="I391" s="20"/>
      <c r="J391" s="21"/>
      <c r="K391" s="42"/>
      <c r="L391" s="23">
        <f t="shared" si="53"/>
        <v>-64</v>
      </c>
      <c r="M391" s="23">
        <f t="shared" si="54"/>
        <v>-64</v>
      </c>
      <c r="O391" s="52"/>
      <c r="Q391" s="273"/>
      <c r="R391" s="259"/>
      <c r="S391" s="260"/>
      <c r="T391" s="261"/>
      <c r="U391" s="262"/>
      <c r="V391" s="263"/>
      <c r="W391" s="263"/>
    </row>
    <row r="392" spans="1:25" hidden="1" outlineLevel="1">
      <c r="A392" s="96">
        <v>45681</v>
      </c>
      <c r="B392" s="17" t="s">
        <v>15</v>
      </c>
      <c r="C392" s="23">
        <v>0</v>
      </c>
      <c r="D392" s="23"/>
      <c r="E392" s="23">
        <f t="shared" si="52"/>
        <v>-272</v>
      </c>
      <c r="G392" s="78">
        <v>0</v>
      </c>
      <c r="H392" s="62">
        <f>C390+I392</f>
        <v>0</v>
      </c>
      <c r="I392" s="20"/>
      <c r="J392" s="21"/>
      <c r="K392" s="42"/>
      <c r="L392" s="23">
        <f t="shared" si="53"/>
        <v>-64</v>
      </c>
      <c r="M392" s="23">
        <f t="shared" si="54"/>
        <v>-64</v>
      </c>
      <c r="O392" s="52"/>
      <c r="Q392" s="273"/>
      <c r="R392" s="259"/>
      <c r="S392" s="260"/>
      <c r="T392" s="261"/>
      <c r="U392" s="262"/>
      <c r="V392" s="263"/>
      <c r="W392" s="263"/>
    </row>
    <row r="393" spans="1:25" s="12" customFormat="1" hidden="1" outlineLevel="1">
      <c r="A393" s="95">
        <v>45682</v>
      </c>
      <c r="B393" s="25" t="s">
        <v>16</v>
      </c>
      <c r="C393" s="29"/>
      <c r="D393" s="29"/>
      <c r="E393" s="29">
        <f t="shared" si="52"/>
        <v>-272</v>
      </c>
      <c r="G393" s="79"/>
      <c r="H393" s="63"/>
      <c r="I393" s="27"/>
      <c r="J393" s="28"/>
      <c r="K393" s="43"/>
      <c r="L393" s="29">
        <f t="shared" si="53"/>
        <v>-64</v>
      </c>
      <c r="M393" s="29">
        <f t="shared" si="54"/>
        <v>-64</v>
      </c>
      <c r="O393" s="54"/>
      <c r="Q393" s="273"/>
      <c r="R393" s="259"/>
      <c r="S393" s="260"/>
      <c r="T393" s="261"/>
      <c r="U393" s="262"/>
      <c r="V393" s="263"/>
      <c r="W393" s="263"/>
      <c r="Y393" s="11"/>
    </row>
    <row r="394" spans="1:25" s="12" customFormat="1" hidden="1" outlineLevel="1" collapsed="1">
      <c r="A394" s="95">
        <v>45683</v>
      </c>
      <c r="B394" s="25" t="s">
        <v>17</v>
      </c>
      <c r="C394" s="29"/>
      <c r="D394" s="29"/>
      <c r="E394" s="29">
        <f t="shared" si="52"/>
        <v>-272</v>
      </c>
      <c r="G394" s="79"/>
      <c r="H394" s="63"/>
      <c r="I394" s="27"/>
      <c r="J394" s="28"/>
      <c r="K394" s="43"/>
      <c r="L394" s="29">
        <f t="shared" si="53"/>
        <v>-64</v>
      </c>
      <c r="M394" s="29">
        <f t="shared" si="54"/>
        <v>-64</v>
      </c>
      <c r="O394" s="54"/>
      <c r="Q394" s="273"/>
      <c r="R394" s="259"/>
      <c r="S394" s="260"/>
      <c r="T394" s="261"/>
      <c r="U394" s="262"/>
      <c r="V394" s="263"/>
      <c r="W394" s="263"/>
      <c r="Y394" s="11"/>
    </row>
    <row r="395" spans="1:25" hidden="1" outlineLevel="1">
      <c r="A395" s="96">
        <v>45684</v>
      </c>
      <c r="B395" s="17" t="s">
        <v>18</v>
      </c>
      <c r="C395" s="23">
        <v>0</v>
      </c>
      <c r="D395" s="23"/>
      <c r="E395" s="23">
        <f t="shared" si="52"/>
        <v>-272</v>
      </c>
      <c r="G395" s="78">
        <v>0</v>
      </c>
      <c r="H395" s="62">
        <f>C391+I395</f>
        <v>0</v>
      </c>
      <c r="I395" s="20"/>
      <c r="J395" s="21"/>
      <c r="K395" s="42"/>
      <c r="L395" s="23">
        <f t="shared" si="53"/>
        <v>-64</v>
      </c>
      <c r="M395" s="23">
        <f t="shared" si="54"/>
        <v>-64</v>
      </c>
      <c r="O395" s="52"/>
      <c r="Q395" s="273"/>
      <c r="R395" s="259"/>
      <c r="S395" s="260"/>
      <c r="T395" s="261"/>
      <c r="U395" s="262"/>
      <c r="V395" s="263"/>
      <c r="W395" s="263"/>
    </row>
    <row r="396" spans="1:25" hidden="1" outlineLevel="1">
      <c r="A396" s="96">
        <v>45685</v>
      </c>
      <c r="B396" s="17" t="s">
        <v>19</v>
      </c>
      <c r="C396" s="23">
        <v>0</v>
      </c>
      <c r="D396" s="23"/>
      <c r="E396" s="23">
        <f t="shared" si="52"/>
        <v>-272</v>
      </c>
      <c r="G396" s="78">
        <v>0</v>
      </c>
      <c r="H396" s="62">
        <f>C392+I396</f>
        <v>0</v>
      </c>
      <c r="I396" s="20"/>
      <c r="J396" s="21"/>
      <c r="K396" s="42"/>
      <c r="L396" s="23">
        <f t="shared" si="53"/>
        <v>-64</v>
      </c>
      <c r="M396" s="23">
        <f t="shared" si="54"/>
        <v>-64</v>
      </c>
      <c r="O396" s="52"/>
      <c r="Q396" s="273"/>
      <c r="R396" s="259"/>
      <c r="S396" s="260"/>
      <c r="T396" s="261"/>
      <c r="U396" s="262"/>
      <c r="V396" s="263"/>
      <c r="W396" s="263"/>
    </row>
    <row r="397" spans="1:25" hidden="1" outlineLevel="1">
      <c r="A397" s="96">
        <v>45686</v>
      </c>
      <c r="B397" s="17" t="s">
        <v>20</v>
      </c>
      <c r="C397" s="23">
        <v>0</v>
      </c>
      <c r="D397" s="23"/>
      <c r="E397" s="23">
        <f t="shared" si="52"/>
        <v>-272</v>
      </c>
      <c r="G397" s="78">
        <v>0</v>
      </c>
      <c r="H397" s="62">
        <f>C395+I397</f>
        <v>0</v>
      </c>
      <c r="I397" s="20"/>
      <c r="J397" s="21"/>
      <c r="K397" s="42"/>
      <c r="L397" s="23">
        <f t="shared" si="53"/>
        <v>-64</v>
      </c>
      <c r="M397" s="23">
        <f t="shared" si="54"/>
        <v>-64</v>
      </c>
      <c r="O397" s="52"/>
      <c r="Q397" s="273"/>
      <c r="R397" s="259"/>
      <c r="S397" s="260"/>
      <c r="T397" s="261"/>
      <c r="U397" s="262"/>
      <c r="V397" s="263"/>
      <c r="W397" s="263"/>
    </row>
    <row r="398" spans="1:25" hidden="1" outlineLevel="1">
      <c r="A398" s="96">
        <v>45687</v>
      </c>
      <c r="B398" s="17" t="s">
        <v>14</v>
      </c>
      <c r="C398" s="23">
        <v>0</v>
      </c>
      <c r="D398" s="23"/>
      <c r="E398" s="23">
        <f t="shared" si="52"/>
        <v>-272</v>
      </c>
      <c r="G398" s="78">
        <v>0</v>
      </c>
      <c r="H398" s="62">
        <f>C396+I398</f>
        <v>0</v>
      </c>
      <c r="I398" s="20"/>
      <c r="J398" s="21"/>
      <c r="K398" s="42"/>
      <c r="L398" s="23">
        <f t="shared" si="53"/>
        <v>-64</v>
      </c>
      <c r="M398" s="23">
        <f t="shared" si="54"/>
        <v>-64</v>
      </c>
      <c r="O398" s="52"/>
      <c r="Q398" s="273"/>
      <c r="R398" s="259"/>
      <c r="S398" s="260"/>
      <c r="T398" s="261"/>
      <c r="U398" s="262"/>
      <c r="V398" s="263"/>
      <c r="W398" s="263"/>
    </row>
    <row r="399" spans="1:25" hidden="1" outlineLevel="1">
      <c r="A399" s="96">
        <v>45688</v>
      </c>
      <c r="B399" s="17" t="s">
        <v>15</v>
      </c>
      <c r="C399" s="23">
        <v>0</v>
      </c>
      <c r="D399" s="23"/>
      <c r="E399" s="23">
        <f t="shared" si="52"/>
        <v>-272</v>
      </c>
      <c r="G399" s="78">
        <v>0</v>
      </c>
      <c r="H399" s="62">
        <f>C397+I399</f>
        <v>0</v>
      </c>
      <c r="I399" s="20"/>
      <c r="J399" s="21"/>
      <c r="K399" s="42"/>
      <c r="L399" s="23">
        <f t="shared" si="53"/>
        <v>-64</v>
      </c>
      <c r="M399" s="23">
        <f t="shared" si="54"/>
        <v>-64</v>
      </c>
      <c r="O399" s="52"/>
      <c r="Q399" s="273"/>
      <c r="R399" s="259"/>
      <c r="S399" s="260"/>
      <c r="T399" s="261"/>
      <c r="U399" s="262"/>
      <c r="V399" s="263"/>
      <c r="W399" s="263"/>
    </row>
    <row r="400" spans="1:25" s="12" customFormat="1" hidden="1" outlineLevel="1">
      <c r="A400" s="95">
        <v>45689</v>
      </c>
      <c r="B400" s="25" t="s">
        <v>16</v>
      </c>
      <c r="C400" s="29"/>
      <c r="D400" s="29"/>
      <c r="E400" s="29">
        <f t="shared" si="52"/>
        <v>-272</v>
      </c>
      <c r="G400" s="79"/>
      <c r="H400" s="63"/>
      <c r="I400" s="27"/>
      <c r="J400" s="28"/>
      <c r="K400" s="43"/>
      <c r="L400" s="29">
        <f t="shared" ref="L400:L428" si="55">L399-G400+K400</f>
        <v>-64</v>
      </c>
      <c r="M400" s="29">
        <f t="shared" ref="M400:M428" si="56">M399-G400+H400</f>
        <v>-64</v>
      </c>
      <c r="O400" s="54"/>
      <c r="Q400" s="273"/>
      <c r="R400" s="259"/>
      <c r="S400" s="260"/>
      <c r="T400" s="261"/>
      <c r="U400" s="262"/>
      <c r="V400" s="263"/>
      <c r="W400" s="263"/>
      <c r="Y400" s="11"/>
    </row>
    <row r="401" spans="1:25" s="12" customFormat="1" hidden="1" outlineLevel="1" collapsed="1">
      <c r="A401" s="95">
        <v>45690</v>
      </c>
      <c r="B401" s="25" t="s">
        <v>17</v>
      </c>
      <c r="C401" s="29"/>
      <c r="D401" s="29"/>
      <c r="E401" s="29">
        <f t="shared" si="52"/>
        <v>-272</v>
      </c>
      <c r="G401" s="79"/>
      <c r="H401" s="63"/>
      <c r="I401" s="27"/>
      <c r="J401" s="28"/>
      <c r="K401" s="43"/>
      <c r="L401" s="29">
        <f t="shared" si="55"/>
        <v>-64</v>
      </c>
      <c r="M401" s="29">
        <f t="shared" si="56"/>
        <v>-64</v>
      </c>
      <c r="O401" s="54"/>
      <c r="Q401" s="273"/>
      <c r="R401" s="259"/>
      <c r="S401" s="260"/>
      <c r="T401" s="261"/>
      <c r="U401" s="262"/>
      <c r="V401" s="263"/>
      <c r="W401" s="263"/>
      <c r="Y401" s="11"/>
    </row>
    <row r="402" spans="1:25" hidden="1" outlineLevel="1">
      <c r="A402" s="96">
        <v>45691</v>
      </c>
      <c r="B402" s="17" t="s">
        <v>18</v>
      </c>
      <c r="C402" s="23">
        <v>0</v>
      </c>
      <c r="D402" s="23"/>
      <c r="E402" s="23">
        <f t="shared" si="52"/>
        <v>-272</v>
      </c>
      <c r="G402" s="78">
        <v>0</v>
      </c>
      <c r="H402" s="62">
        <f>C398+I402</f>
        <v>0</v>
      </c>
      <c r="I402" s="20"/>
      <c r="J402" s="21"/>
      <c r="K402" s="42"/>
      <c r="L402" s="23">
        <f t="shared" si="55"/>
        <v>-64</v>
      </c>
      <c r="M402" s="23">
        <f t="shared" si="56"/>
        <v>-64</v>
      </c>
      <c r="O402" s="52"/>
      <c r="Q402" s="273"/>
      <c r="R402" s="259"/>
      <c r="S402" s="260"/>
      <c r="T402" s="261"/>
      <c r="U402" s="262"/>
      <c r="V402" s="263"/>
      <c r="W402" s="263"/>
    </row>
    <row r="403" spans="1:25" hidden="1" outlineLevel="1">
      <c r="A403" s="96">
        <v>45692</v>
      </c>
      <c r="B403" s="17" t="s">
        <v>19</v>
      </c>
      <c r="C403" s="23">
        <v>0</v>
      </c>
      <c r="D403" s="23"/>
      <c r="E403" s="23">
        <f t="shared" si="52"/>
        <v>-272</v>
      </c>
      <c r="G403" s="78">
        <v>0</v>
      </c>
      <c r="H403" s="62">
        <f>C399+I403</f>
        <v>0</v>
      </c>
      <c r="I403" s="20"/>
      <c r="J403" s="21"/>
      <c r="K403" s="42"/>
      <c r="L403" s="23">
        <f t="shared" si="55"/>
        <v>-64</v>
      </c>
      <c r="M403" s="23">
        <f t="shared" si="56"/>
        <v>-64</v>
      </c>
      <c r="O403" s="52"/>
      <c r="Q403" s="273"/>
      <c r="R403" s="259"/>
      <c r="S403" s="260"/>
      <c r="T403" s="261"/>
      <c r="U403" s="262"/>
      <c r="V403" s="263"/>
      <c r="W403" s="263"/>
    </row>
    <row r="404" spans="1:25" hidden="1" outlineLevel="1">
      <c r="A404" s="96">
        <v>45693</v>
      </c>
      <c r="B404" s="17" t="s">
        <v>20</v>
      </c>
      <c r="C404" s="23">
        <v>0</v>
      </c>
      <c r="D404" s="23"/>
      <c r="E404" s="23">
        <f t="shared" si="52"/>
        <v>-272</v>
      </c>
      <c r="G404" s="78">
        <v>16</v>
      </c>
      <c r="H404" s="62">
        <f>C402+I404</f>
        <v>0</v>
      </c>
      <c r="I404" s="20"/>
      <c r="J404" s="21"/>
      <c r="K404" s="42"/>
      <c r="L404" s="23">
        <f t="shared" si="55"/>
        <v>-80</v>
      </c>
      <c r="M404" s="23">
        <f t="shared" si="56"/>
        <v>-80</v>
      </c>
      <c r="O404" s="52"/>
      <c r="Q404" s="273"/>
      <c r="R404" s="259"/>
      <c r="S404" s="260"/>
      <c r="T404" s="261"/>
      <c r="U404" s="262"/>
      <c r="V404" s="263"/>
      <c r="W404" s="263"/>
    </row>
    <row r="405" spans="1:25" hidden="1" outlineLevel="1">
      <c r="A405" s="96">
        <v>45694</v>
      </c>
      <c r="B405" s="17" t="s">
        <v>14</v>
      </c>
      <c r="C405" s="23">
        <v>0</v>
      </c>
      <c r="D405" s="23"/>
      <c r="E405" s="23">
        <f t="shared" si="52"/>
        <v>-272</v>
      </c>
      <c r="G405" s="78">
        <v>0</v>
      </c>
      <c r="H405" s="62">
        <f>C403+I405</f>
        <v>0</v>
      </c>
      <c r="I405" s="20"/>
      <c r="J405" s="21"/>
      <c r="K405" s="42"/>
      <c r="L405" s="23">
        <f t="shared" si="55"/>
        <v>-80</v>
      </c>
      <c r="M405" s="23">
        <f t="shared" si="56"/>
        <v>-80</v>
      </c>
      <c r="O405" s="52"/>
      <c r="Q405" s="273"/>
      <c r="R405" s="259"/>
      <c r="S405" s="260"/>
      <c r="T405" s="261"/>
      <c r="U405" s="262"/>
      <c r="V405" s="263"/>
      <c r="W405" s="263"/>
    </row>
    <row r="406" spans="1:25" hidden="1" outlineLevel="1">
      <c r="A406" s="96">
        <v>45695</v>
      </c>
      <c r="B406" s="17" t="s">
        <v>15</v>
      </c>
      <c r="C406" s="23">
        <v>0</v>
      </c>
      <c r="D406" s="23"/>
      <c r="E406" s="23">
        <f t="shared" si="52"/>
        <v>-272</v>
      </c>
      <c r="G406" s="78">
        <v>0</v>
      </c>
      <c r="H406" s="62">
        <f>C404+I406</f>
        <v>0</v>
      </c>
      <c r="I406" s="20"/>
      <c r="J406" s="21"/>
      <c r="K406" s="42"/>
      <c r="L406" s="23">
        <f t="shared" si="55"/>
        <v>-80</v>
      </c>
      <c r="M406" s="23">
        <f t="shared" si="56"/>
        <v>-80</v>
      </c>
      <c r="O406" s="52"/>
      <c r="Q406" s="273"/>
      <c r="R406" s="259"/>
      <c r="S406" s="260"/>
      <c r="T406" s="261"/>
      <c r="U406" s="262"/>
      <c r="V406" s="263"/>
      <c r="W406" s="263"/>
    </row>
    <row r="407" spans="1:25" s="12" customFormat="1" hidden="1" outlineLevel="1">
      <c r="A407" s="95">
        <v>45696</v>
      </c>
      <c r="B407" s="25" t="s">
        <v>16</v>
      </c>
      <c r="C407" s="29"/>
      <c r="D407" s="29"/>
      <c r="E407" s="29">
        <f t="shared" si="52"/>
        <v>-272</v>
      </c>
      <c r="G407" s="79"/>
      <c r="H407" s="63"/>
      <c r="I407" s="27"/>
      <c r="J407" s="28"/>
      <c r="K407" s="43"/>
      <c r="L407" s="29">
        <f t="shared" si="55"/>
        <v>-80</v>
      </c>
      <c r="M407" s="29">
        <f t="shared" si="56"/>
        <v>-80</v>
      </c>
      <c r="O407" s="54"/>
      <c r="Q407" s="273"/>
      <c r="R407" s="259"/>
      <c r="S407" s="260"/>
      <c r="T407" s="261"/>
      <c r="U407" s="262"/>
      <c r="V407" s="263"/>
      <c r="W407" s="263"/>
      <c r="Y407" s="11"/>
    </row>
    <row r="408" spans="1:25" s="12" customFormat="1" hidden="1" outlineLevel="1" collapsed="1">
      <c r="A408" s="95">
        <v>45697</v>
      </c>
      <c r="B408" s="25" t="s">
        <v>17</v>
      </c>
      <c r="C408" s="29"/>
      <c r="D408" s="29"/>
      <c r="E408" s="29">
        <f t="shared" si="52"/>
        <v>-272</v>
      </c>
      <c r="G408" s="79"/>
      <c r="H408" s="63"/>
      <c r="I408" s="27"/>
      <c r="J408" s="28"/>
      <c r="K408" s="43"/>
      <c r="L408" s="29">
        <f t="shared" si="55"/>
        <v>-80</v>
      </c>
      <c r="M408" s="29">
        <f t="shared" si="56"/>
        <v>-80</v>
      </c>
      <c r="O408" s="54"/>
      <c r="Q408" s="273"/>
      <c r="R408" s="259"/>
      <c r="S408" s="260"/>
      <c r="T408" s="261"/>
      <c r="U408" s="262"/>
      <c r="V408" s="263"/>
      <c r="W408" s="263"/>
      <c r="Y408" s="11"/>
    </row>
    <row r="409" spans="1:25" hidden="1" outlineLevel="1">
      <c r="A409" s="96">
        <v>45698</v>
      </c>
      <c r="B409" s="17" t="s">
        <v>18</v>
      </c>
      <c r="C409" s="23">
        <f>G411</f>
        <v>0</v>
      </c>
      <c r="D409" s="23"/>
      <c r="E409" s="23">
        <f t="shared" si="52"/>
        <v>-272</v>
      </c>
      <c r="G409" s="78">
        <v>0</v>
      </c>
      <c r="H409" s="62">
        <f>C405+I409</f>
        <v>0</v>
      </c>
      <c r="I409" s="20"/>
      <c r="J409" s="21"/>
      <c r="K409" s="42"/>
      <c r="L409" s="23">
        <f t="shared" si="55"/>
        <v>-80</v>
      </c>
      <c r="M409" s="23">
        <f t="shared" si="56"/>
        <v>-80</v>
      </c>
      <c r="O409" s="52"/>
      <c r="Q409" s="273"/>
      <c r="R409" s="259"/>
      <c r="S409" s="260"/>
      <c r="T409" s="261"/>
      <c r="U409" s="262"/>
      <c r="V409" s="263"/>
      <c r="W409" s="263"/>
    </row>
    <row r="410" spans="1:25" hidden="1" outlineLevel="1">
      <c r="A410" s="96">
        <v>45699</v>
      </c>
      <c r="B410" s="17" t="s">
        <v>19</v>
      </c>
      <c r="C410" s="23">
        <f t="shared" ref="C410:C411" si="57">G412</f>
        <v>0</v>
      </c>
      <c r="D410" s="23"/>
      <c r="E410" s="23">
        <f t="shared" si="52"/>
        <v>-272</v>
      </c>
      <c r="G410" s="78">
        <v>0</v>
      </c>
      <c r="H410" s="62">
        <f>C406+I410</f>
        <v>0</v>
      </c>
      <c r="I410" s="20"/>
      <c r="J410" s="21"/>
      <c r="K410" s="42"/>
      <c r="L410" s="23">
        <f t="shared" si="55"/>
        <v>-80</v>
      </c>
      <c r="M410" s="23">
        <f t="shared" si="56"/>
        <v>-80</v>
      </c>
      <c r="O410" s="52"/>
      <c r="Q410" s="273"/>
      <c r="R410" s="259"/>
      <c r="S410" s="260"/>
      <c r="T410" s="261"/>
      <c r="U410" s="262"/>
      <c r="V410" s="263"/>
      <c r="W410" s="263"/>
    </row>
    <row r="411" spans="1:25" hidden="1" outlineLevel="1">
      <c r="A411" s="96">
        <v>45700</v>
      </c>
      <c r="B411" s="17" t="s">
        <v>20</v>
      </c>
      <c r="C411" s="23">
        <f t="shared" si="57"/>
        <v>0</v>
      </c>
      <c r="D411" s="23"/>
      <c r="E411" s="23">
        <f t="shared" si="52"/>
        <v>-272</v>
      </c>
      <c r="G411" s="78">
        <v>0</v>
      </c>
      <c r="H411" s="62">
        <f>C409+I411</f>
        <v>0</v>
      </c>
      <c r="I411" s="20"/>
      <c r="J411" s="21"/>
      <c r="K411" s="42"/>
      <c r="L411" s="23">
        <f t="shared" si="55"/>
        <v>-80</v>
      </c>
      <c r="M411" s="23">
        <f t="shared" si="56"/>
        <v>-80</v>
      </c>
      <c r="O411" s="52"/>
      <c r="Q411" s="273"/>
      <c r="R411" s="259"/>
      <c r="S411" s="260"/>
      <c r="T411" s="261"/>
      <c r="U411" s="262"/>
      <c r="V411" s="263"/>
      <c r="W411" s="263"/>
    </row>
    <row r="412" spans="1:25" hidden="1" outlineLevel="1">
      <c r="A412" s="96">
        <v>45701</v>
      </c>
      <c r="B412" s="17" t="s">
        <v>14</v>
      </c>
      <c r="C412" s="23">
        <f>G416</f>
        <v>0</v>
      </c>
      <c r="D412" s="23"/>
      <c r="E412" s="23">
        <f t="shared" si="52"/>
        <v>-272</v>
      </c>
      <c r="G412" s="78">
        <v>0</v>
      </c>
      <c r="H412" s="62">
        <f>C410+I412</f>
        <v>0</v>
      </c>
      <c r="I412" s="20"/>
      <c r="J412" s="21"/>
      <c r="K412" s="42"/>
      <c r="L412" s="23">
        <f t="shared" si="55"/>
        <v>-80</v>
      </c>
      <c r="M412" s="23">
        <f t="shared" si="56"/>
        <v>-80</v>
      </c>
      <c r="O412" s="52"/>
      <c r="Q412" s="273"/>
      <c r="R412" s="259"/>
      <c r="S412" s="260"/>
      <c r="T412" s="261"/>
      <c r="U412" s="262"/>
      <c r="V412" s="263"/>
      <c r="W412" s="263"/>
    </row>
    <row r="413" spans="1:25" hidden="1" outlineLevel="1">
      <c r="A413" s="96">
        <v>45702</v>
      </c>
      <c r="B413" s="17" t="s">
        <v>15</v>
      </c>
      <c r="C413" s="23">
        <f>G417</f>
        <v>0</v>
      </c>
      <c r="D413" s="23"/>
      <c r="E413" s="23">
        <f t="shared" si="52"/>
        <v>-272</v>
      </c>
      <c r="G413" s="78">
        <v>0</v>
      </c>
      <c r="H413" s="62">
        <f>C411+I413</f>
        <v>0</v>
      </c>
      <c r="I413" s="20"/>
      <c r="J413" s="21"/>
      <c r="K413" s="42"/>
      <c r="L413" s="23">
        <f t="shared" si="55"/>
        <v>-80</v>
      </c>
      <c r="M413" s="23">
        <f t="shared" si="56"/>
        <v>-80</v>
      </c>
      <c r="O413" s="52"/>
      <c r="Q413" s="273"/>
      <c r="R413" s="259"/>
      <c r="S413" s="260"/>
      <c r="T413" s="261"/>
      <c r="U413" s="262"/>
      <c r="V413" s="263"/>
      <c r="W413" s="263"/>
    </row>
    <row r="414" spans="1:25" s="12" customFormat="1" hidden="1" outlineLevel="1">
      <c r="A414" s="95">
        <v>45703</v>
      </c>
      <c r="B414" s="25" t="s">
        <v>16</v>
      </c>
      <c r="C414" s="29"/>
      <c r="D414" s="29"/>
      <c r="E414" s="29">
        <f t="shared" si="52"/>
        <v>-272</v>
      </c>
      <c r="G414" s="79"/>
      <c r="H414" s="63"/>
      <c r="I414" s="27"/>
      <c r="J414" s="28"/>
      <c r="K414" s="43"/>
      <c r="L414" s="29">
        <f t="shared" si="55"/>
        <v>-80</v>
      </c>
      <c r="M414" s="29">
        <f t="shared" si="56"/>
        <v>-80</v>
      </c>
      <c r="O414" s="54"/>
      <c r="Q414" s="273"/>
      <c r="R414" s="259"/>
      <c r="S414" s="260"/>
      <c r="T414" s="261"/>
      <c r="U414" s="262"/>
      <c r="V414" s="263"/>
      <c r="W414" s="263"/>
      <c r="Y414" s="11"/>
    </row>
    <row r="415" spans="1:25" s="12" customFormat="1" hidden="1" outlineLevel="1" collapsed="1">
      <c r="A415" s="95">
        <v>45704</v>
      </c>
      <c r="B415" s="25" t="s">
        <v>17</v>
      </c>
      <c r="C415" s="29"/>
      <c r="D415" s="29"/>
      <c r="E415" s="29">
        <f t="shared" si="52"/>
        <v>-272</v>
      </c>
      <c r="G415" s="79"/>
      <c r="H415" s="63"/>
      <c r="I415" s="27"/>
      <c r="J415" s="28"/>
      <c r="K415" s="43"/>
      <c r="L415" s="29">
        <f t="shared" si="55"/>
        <v>-80</v>
      </c>
      <c r="M415" s="29">
        <f t="shared" si="56"/>
        <v>-80</v>
      </c>
      <c r="O415" s="54"/>
      <c r="Q415" s="273"/>
      <c r="R415" s="259"/>
      <c r="S415" s="260"/>
      <c r="T415" s="261"/>
      <c r="U415" s="262"/>
      <c r="V415" s="263"/>
      <c r="W415" s="263"/>
      <c r="Y415" s="11"/>
    </row>
    <row r="416" spans="1:25" hidden="1" outlineLevel="1">
      <c r="A416" s="96">
        <v>45705</v>
      </c>
      <c r="B416" s="17" t="s">
        <v>18</v>
      </c>
      <c r="C416" s="23">
        <f>G418</f>
        <v>0</v>
      </c>
      <c r="D416" s="23"/>
      <c r="E416" s="23">
        <f t="shared" si="52"/>
        <v>-272</v>
      </c>
      <c r="G416" s="78">
        <v>0</v>
      </c>
      <c r="H416" s="62">
        <f>C412+I416</f>
        <v>0</v>
      </c>
      <c r="I416" s="20"/>
      <c r="J416" s="21"/>
      <c r="K416" s="42"/>
      <c r="L416" s="23">
        <f t="shared" si="55"/>
        <v>-80</v>
      </c>
      <c r="M416" s="23">
        <f t="shared" si="56"/>
        <v>-80</v>
      </c>
      <c r="O416" s="52"/>
      <c r="Q416" s="273"/>
      <c r="R416" s="259"/>
      <c r="S416" s="260"/>
      <c r="T416" s="261"/>
      <c r="U416" s="262"/>
      <c r="V416" s="263"/>
      <c r="W416" s="263"/>
    </row>
    <row r="417" spans="1:25" hidden="1" outlineLevel="1">
      <c r="A417" s="96">
        <v>45706</v>
      </c>
      <c r="B417" s="17" t="s">
        <v>19</v>
      </c>
      <c r="C417" s="23">
        <f t="shared" ref="C417" si="58">G419</f>
        <v>0</v>
      </c>
      <c r="D417" s="23"/>
      <c r="E417" s="23">
        <f t="shared" si="52"/>
        <v>-272</v>
      </c>
      <c r="G417" s="78">
        <v>0</v>
      </c>
      <c r="H417" s="62">
        <f>C413+I417</f>
        <v>0</v>
      </c>
      <c r="I417" s="20"/>
      <c r="J417" s="21"/>
      <c r="K417" s="42"/>
      <c r="L417" s="23">
        <f t="shared" si="55"/>
        <v>-80</v>
      </c>
      <c r="M417" s="23">
        <f t="shared" si="56"/>
        <v>-80</v>
      </c>
      <c r="O417" s="52"/>
      <c r="Q417" s="273"/>
      <c r="R417" s="259"/>
      <c r="S417" s="260"/>
      <c r="T417" s="261"/>
      <c r="U417" s="262"/>
      <c r="V417" s="263"/>
      <c r="W417" s="263"/>
    </row>
    <row r="418" spans="1:25" hidden="1" outlineLevel="1">
      <c r="A418" s="96">
        <v>45707</v>
      </c>
      <c r="B418" s="17" t="s">
        <v>20</v>
      </c>
      <c r="C418" s="23">
        <v>0</v>
      </c>
      <c r="D418" s="23"/>
      <c r="E418" s="23">
        <f t="shared" si="52"/>
        <v>-272</v>
      </c>
      <c r="G418" s="78">
        <v>0</v>
      </c>
      <c r="H418" s="62">
        <f>C416+I418</f>
        <v>0</v>
      </c>
      <c r="I418" s="20"/>
      <c r="J418" s="21"/>
      <c r="K418" s="42"/>
      <c r="L418" s="23">
        <f t="shared" si="55"/>
        <v>-80</v>
      </c>
      <c r="M418" s="23">
        <f t="shared" si="56"/>
        <v>-80</v>
      </c>
      <c r="O418" s="52"/>
      <c r="Q418" s="273"/>
      <c r="R418" s="259"/>
      <c r="S418" s="260"/>
      <c r="T418" s="261"/>
      <c r="U418" s="262"/>
      <c r="V418" s="263"/>
      <c r="W418" s="263"/>
    </row>
    <row r="419" spans="1:25" hidden="1" outlineLevel="1">
      <c r="A419" s="96">
        <v>45708</v>
      </c>
      <c r="B419" s="17" t="s">
        <v>14</v>
      </c>
      <c r="C419" s="23">
        <v>0</v>
      </c>
      <c r="D419" s="23"/>
      <c r="E419" s="23">
        <f t="shared" si="52"/>
        <v>-272</v>
      </c>
      <c r="G419" s="78">
        <v>0</v>
      </c>
      <c r="H419" s="62">
        <f>C417+I419</f>
        <v>0</v>
      </c>
      <c r="I419" s="20"/>
      <c r="J419" s="21"/>
      <c r="K419" s="42"/>
      <c r="L419" s="23">
        <f t="shared" si="55"/>
        <v>-80</v>
      </c>
      <c r="M419" s="23">
        <f t="shared" si="56"/>
        <v>-80</v>
      </c>
      <c r="O419" s="52"/>
      <c r="Q419" s="273"/>
      <c r="R419" s="259"/>
      <c r="S419" s="260"/>
      <c r="T419" s="261"/>
      <c r="U419" s="262"/>
      <c r="V419" s="263"/>
      <c r="W419" s="263"/>
    </row>
    <row r="420" spans="1:25" hidden="1" outlineLevel="1">
      <c r="A420" s="96">
        <v>45709</v>
      </c>
      <c r="B420" s="17" t="s">
        <v>15</v>
      </c>
      <c r="C420" s="23">
        <v>0</v>
      </c>
      <c r="D420" s="23"/>
      <c r="E420" s="23">
        <f t="shared" si="52"/>
        <v>-272</v>
      </c>
      <c r="G420" s="78">
        <v>16</v>
      </c>
      <c r="H420" s="62">
        <f>C418+I420</f>
        <v>48</v>
      </c>
      <c r="I420" s="20">
        <v>48</v>
      </c>
      <c r="J420" s="21"/>
      <c r="K420" s="57">
        <v>48</v>
      </c>
      <c r="L420" s="23">
        <f t="shared" si="55"/>
        <v>-48</v>
      </c>
      <c r="M420" s="23">
        <f t="shared" si="56"/>
        <v>-48</v>
      </c>
      <c r="O420" s="52"/>
      <c r="Q420" s="273"/>
      <c r="R420" s="259"/>
      <c r="S420" s="260"/>
      <c r="T420" s="261"/>
      <c r="U420" s="262"/>
      <c r="V420" s="263"/>
      <c r="W420" s="263"/>
    </row>
    <row r="421" spans="1:25" s="12" customFormat="1" hidden="1" outlineLevel="1">
      <c r="A421" s="95">
        <v>45710</v>
      </c>
      <c r="B421" s="25" t="s">
        <v>16</v>
      </c>
      <c r="C421" s="29"/>
      <c r="D421" s="29"/>
      <c r="E421" s="29">
        <f t="shared" si="52"/>
        <v>-272</v>
      </c>
      <c r="G421" s="79"/>
      <c r="H421" s="63"/>
      <c r="I421" s="27"/>
      <c r="J421" s="28"/>
      <c r="K421" s="43"/>
      <c r="L421" s="29">
        <f t="shared" si="55"/>
        <v>-48</v>
      </c>
      <c r="M421" s="29">
        <f t="shared" si="56"/>
        <v>-48</v>
      </c>
      <c r="O421" s="54"/>
      <c r="Q421" s="273"/>
      <c r="R421" s="259"/>
      <c r="S421" s="260"/>
      <c r="T421" s="261"/>
      <c r="U421" s="262"/>
      <c r="V421" s="263"/>
      <c r="W421" s="263"/>
      <c r="Y421" s="11"/>
    </row>
    <row r="422" spans="1:25" s="12" customFormat="1" hidden="1" outlineLevel="1" collapsed="1">
      <c r="A422" s="95">
        <v>45711</v>
      </c>
      <c r="B422" s="25" t="s">
        <v>17</v>
      </c>
      <c r="C422" s="29"/>
      <c r="D422" s="29"/>
      <c r="E422" s="29">
        <f t="shared" si="52"/>
        <v>-272</v>
      </c>
      <c r="G422" s="79"/>
      <c r="H422" s="63"/>
      <c r="I422" s="27"/>
      <c r="J422" s="28"/>
      <c r="K422" s="43"/>
      <c r="L422" s="29">
        <f t="shared" si="55"/>
        <v>-48</v>
      </c>
      <c r="M422" s="29">
        <f t="shared" si="56"/>
        <v>-48</v>
      </c>
      <c r="O422" s="54"/>
      <c r="Q422" s="273"/>
      <c r="R422" s="259"/>
      <c r="S422" s="260"/>
      <c r="T422" s="261"/>
      <c r="U422" s="262"/>
      <c r="V422" s="263"/>
      <c r="W422" s="263"/>
      <c r="Y422" s="11"/>
    </row>
    <row r="423" spans="1:25" hidden="1" outlineLevel="1">
      <c r="A423" s="96">
        <v>45712</v>
      </c>
      <c r="B423" s="17" t="s">
        <v>18</v>
      </c>
      <c r="C423" s="23">
        <v>32</v>
      </c>
      <c r="D423" s="23"/>
      <c r="E423" s="23">
        <f t="shared" si="52"/>
        <v>-304</v>
      </c>
      <c r="G423" s="78">
        <v>40</v>
      </c>
      <c r="H423" s="62">
        <f>C419+I423</f>
        <v>40</v>
      </c>
      <c r="I423" s="20">
        <v>40</v>
      </c>
      <c r="J423" s="21"/>
      <c r="K423" s="57">
        <v>40</v>
      </c>
      <c r="L423" s="23">
        <f t="shared" si="55"/>
        <v>-48</v>
      </c>
      <c r="M423" s="23">
        <f t="shared" si="56"/>
        <v>-48</v>
      </c>
      <c r="O423" s="52"/>
      <c r="Q423" s="273"/>
      <c r="R423" s="259"/>
      <c r="S423" s="260"/>
      <c r="T423" s="261"/>
      <c r="U423" s="262"/>
      <c r="V423" s="263"/>
      <c r="W423" s="263"/>
    </row>
    <row r="424" spans="1:25" hidden="1" outlineLevel="1">
      <c r="A424" s="96">
        <v>45713</v>
      </c>
      <c r="B424" s="17" t="s">
        <v>19</v>
      </c>
      <c r="C424" s="23">
        <v>48</v>
      </c>
      <c r="D424" s="23"/>
      <c r="E424" s="23">
        <f t="shared" si="52"/>
        <v>-352</v>
      </c>
      <c r="G424" s="78">
        <v>48</v>
      </c>
      <c r="H424" s="62">
        <f>C420+I424</f>
        <v>32</v>
      </c>
      <c r="I424" s="20">
        <v>32</v>
      </c>
      <c r="J424" s="21"/>
      <c r="K424" s="57">
        <v>32</v>
      </c>
      <c r="L424" s="23">
        <f t="shared" si="55"/>
        <v>-64</v>
      </c>
      <c r="M424" s="23">
        <f t="shared" si="56"/>
        <v>-64</v>
      </c>
      <c r="O424" s="52"/>
      <c r="Q424" s="273"/>
      <c r="R424" s="259"/>
      <c r="S424" s="260"/>
      <c r="T424" s="261"/>
      <c r="U424" s="262"/>
      <c r="V424" s="263"/>
      <c r="W424" s="263"/>
    </row>
    <row r="425" spans="1:25" hidden="1" outlineLevel="1">
      <c r="A425" s="96">
        <v>45714</v>
      </c>
      <c r="B425" s="17" t="s">
        <v>20</v>
      </c>
      <c r="C425" s="23">
        <v>48</v>
      </c>
      <c r="D425" s="23"/>
      <c r="E425" s="23">
        <f t="shared" si="52"/>
        <v>-400</v>
      </c>
      <c r="G425" s="78">
        <v>32</v>
      </c>
      <c r="H425" s="62">
        <f>C423+I425</f>
        <v>32</v>
      </c>
      <c r="I425" s="20"/>
      <c r="J425" s="21"/>
      <c r="K425" s="57">
        <v>32</v>
      </c>
      <c r="L425" s="23">
        <f t="shared" si="55"/>
        <v>-64</v>
      </c>
      <c r="M425" s="23">
        <f t="shared" si="56"/>
        <v>-64</v>
      </c>
      <c r="O425" s="52"/>
      <c r="Q425" s="273"/>
      <c r="R425" s="259"/>
      <c r="S425" s="260"/>
      <c r="T425" s="261"/>
      <c r="U425" s="262"/>
      <c r="V425" s="263"/>
      <c r="W425" s="263"/>
    </row>
    <row r="426" spans="1:25" hidden="1" outlineLevel="1">
      <c r="A426" s="96">
        <v>45715</v>
      </c>
      <c r="B426" s="17" t="s">
        <v>14</v>
      </c>
      <c r="C426" s="23">
        <f>G430</f>
        <v>40</v>
      </c>
      <c r="D426" s="23"/>
      <c r="E426" s="23">
        <f t="shared" si="52"/>
        <v>-440</v>
      </c>
      <c r="G426" s="78">
        <v>48</v>
      </c>
      <c r="H426" s="62">
        <f>C424+I426</f>
        <v>48</v>
      </c>
      <c r="I426" s="20"/>
      <c r="J426" s="21"/>
      <c r="K426" s="57">
        <v>64</v>
      </c>
      <c r="L426" s="23">
        <f t="shared" si="55"/>
        <v>-48</v>
      </c>
      <c r="M426" s="23">
        <f t="shared" si="56"/>
        <v>-64</v>
      </c>
      <c r="O426" s="52"/>
      <c r="Q426" s="273"/>
      <c r="R426" s="259"/>
      <c r="S426" s="260"/>
      <c r="T426" s="261"/>
      <c r="U426" s="262"/>
      <c r="V426" s="263"/>
      <c r="W426" s="263"/>
    </row>
    <row r="427" spans="1:25" hidden="1" outlineLevel="1">
      <c r="A427" s="96">
        <v>45716</v>
      </c>
      <c r="B427" s="17" t="s">
        <v>15</v>
      </c>
      <c r="C427" s="23">
        <f>G431</f>
        <v>48</v>
      </c>
      <c r="D427" s="23"/>
      <c r="E427" s="23">
        <f t="shared" si="52"/>
        <v>-488</v>
      </c>
      <c r="G427" s="78">
        <v>40</v>
      </c>
      <c r="H427" s="62">
        <f>C425+I427</f>
        <v>48</v>
      </c>
      <c r="I427" s="20"/>
      <c r="J427" s="21"/>
      <c r="K427" s="57">
        <v>32</v>
      </c>
      <c r="L427" s="23">
        <f t="shared" si="55"/>
        <v>-56</v>
      </c>
      <c r="M427" s="23">
        <f t="shared" si="56"/>
        <v>-56</v>
      </c>
      <c r="O427" s="52"/>
      <c r="Q427" s="273"/>
      <c r="R427" s="259"/>
      <c r="S427" s="260"/>
      <c r="T427" s="261"/>
      <c r="U427" s="262"/>
      <c r="V427" s="263"/>
      <c r="W427" s="263"/>
      <c r="Y427" s="1">
        <f>AVERAGE(G423:G427)</f>
        <v>41.6</v>
      </c>
    </row>
    <row r="428" spans="1:25" s="12" customFormat="1" hidden="1" outlineLevel="1">
      <c r="A428" s="95">
        <v>45717</v>
      </c>
      <c r="B428" s="25" t="s">
        <v>16</v>
      </c>
      <c r="C428" s="29"/>
      <c r="D428" s="29"/>
      <c r="E428" s="29">
        <f t="shared" si="52"/>
        <v>-488</v>
      </c>
      <c r="G428" s="79"/>
      <c r="H428" s="63"/>
      <c r="I428" s="27"/>
      <c r="J428" s="28"/>
      <c r="K428" s="43"/>
      <c r="L428" s="29">
        <f t="shared" si="55"/>
        <v>-56</v>
      </c>
      <c r="M428" s="29">
        <f t="shared" si="56"/>
        <v>-56</v>
      </c>
      <c r="O428" s="54"/>
      <c r="Q428" s="273"/>
      <c r="R428" s="259"/>
      <c r="S428" s="260"/>
      <c r="T428" s="261"/>
      <c r="U428" s="262"/>
      <c r="V428" s="263"/>
      <c r="W428" s="263"/>
      <c r="Y428" s="11"/>
    </row>
    <row r="429" spans="1:25" s="12" customFormat="1" hidden="1" outlineLevel="1" collapsed="1">
      <c r="A429" s="95">
        <v>45718</v>
      </c>
      <c r="B429" s="25" t="s">
        <v>17</v>
      </c>
      <c r="C429" s="29"/>
      <c r="D429" s="29"/>
      <c r="E429" s="29">
        <f t="shared" ref="E429:E458" si="59">E428-C429+D429</f>
        <v>-488</v>
      </c>
      <c r="G429" s="79"/>
      <c r="H429" s="63"/>
      <c r="I429" s="27"/>
      <c r="J429" s="28"/>
      <c r="K429" s="43"/>
      <c r="L429" s="29">
        <f t="shared" ref="L429:L458" si="60">L428-G429+K429</f>
        <v>-56</v>
      </c>
      <c r="M429" s="29">
        <f t="shared" ref="M429:M458" si="61">M428-G429+H429</f>
        <v>-56</v>
      </c>
      <c r="O429" s="54"/>
      <c r="Q429" s="273"/>
      <c r="R429" s="259"/>
      <c r="S429" s="260"/>
      <c r="T429" s="261"/>
      <c r="U429" s="262"/>
      <c r="V429" s="263"/>
      <c r="W429" s="263"/>
      <c r="Y429" s="11"/>
    </row>
    <row r="430" spans="1:25" hidden="1" outlineLevel="1">
      <c r="A430" s="96">
        <v>45719</v>
      </c>
      <c r="B430" s="17" t="s">
        <v>18</v>
      </c>
      <c r="C430" s="23">
        <v>56</v>
      </c>
      <c r="D430" s="23"/>
      <c r="E430" s="23">
        <f t="shared" si="59"/>
        <v>-544</v>
      </c>
      <c r="G430" s="78">
        <v>40</v>
      </c>
      <c r="H430" s="62">
        <f>C426+I430</f>
        <v>40</v>
      </c>
      <c r="I430" s="20"/>
      <c r="J430" s="21"/>
      <c r="K430" s="57">
        <v>40</v>
      </c>
      <c r="L430" s="23">
        <f>L429-G430+K430</f>
        <v>-56</v>
      </c>
      <c r="M430" s="23">
        <f t="shared" si="61"/>
        <v>-56</v>
      </c>
      <c r="O430" s="52"/>
      <c r="Q430" s="273"/>
      <c r="R430" s="259"/>
      <c r="S430" s="260"/>
      <c r="T430" s="261"/>
      <c r="U430" s="262"/>
      <c r="V430" s="263"/>
      <c r="W430" s="263"/>
    </row>
    <row r="431" spans="1:25" hidden="1" outlineLevel="1">
      <c r="A431" s="96">
        <v>45720</v>
      </c>
      <c r="B431" s="17" t="s">
        <v>19</v>
      </c>
      <c r="C431" s="23">
        <f t="shared" ref="C431" si="62">G433</f>
        <v>48</v>
      </c>
      <c r="D431" s="23"/>
      <c r="E431" s="23">
        <f t="shared" si="59"/>
        <v>-592</v>
      </c>
      <c r="G431" s="78">
        <v>48</v>
      </c>
      <c r="H431" s="62">
        <f>C427+I431</f>
        <v>48</v>
      </c>
      <c r="I431" s="20"/>
      <c r="J431" s="21"/>
      <c r="K431" s="57">
        <v>48</v>
      </c>
      <c r="L431" s="23">
        <f>L430-G431+K431</f>
        <v>-56</v>
      </c>
      <c r="M431" s="23">
        <f t="shared" si="61"/>
        <v>-56</v>
      </c>
      <c r="O431" s="52"/>
      <c r="Q431" s="273"/>
      <c r="R431" s="259"/>
      <c r="S431" s="260"/>
      <c r="T431" s="261"/>
      <c r="U431" s="262"/>
      <c r="V431" s="263"/>
      <c r="W431" s="263"/>
    </row>
    <row r="432" spans="1:25" hidden="1" outlineLevel="1">
      <c r="A432" s="96">
        <v>45721</v>
      </c>
      <c r="B432" s="17" t="s">
        <v>20</v>
      </c>
      <c r="C432" s="23">
        <v>56</v>
      </c>
      <c r="D432" s="23"/>
      <c r="E432" s="23">
        <f t="shared" si="59"/>
        <v>-648</v>
      </c>
      <c r="G432" s="78">
        <v>40</v>
      </c>
      <c r="H432" s="62">
        <f>C430+I432</f>
        <v>56</v>
      </c>
      <c r="I432" s="20"/>
      <c r="J432" s="21"/>
      <c r="K432" s="57">
        <v>56</v>
      </c>
      <c r="L432" s="23">
        <f t="shared" si="60"/>
        <v>-40</v>
      </c>
      <c r="M432" s="23">
        <f t="shared" si="61"/>
        <v>-40</v>
      </c>
      <c r="O432" s="52"/>
      <c r="Q432" s="273"/>
      <c r="R432" s="259"/>
      <c r="S432" s="260"/>
      <c r="T432" s="261"/>
      <c r="U432" s="262"/>
      <c r="V432" s="263"/>
      <c r="W432" s="263"/>
    </row>
    <row r="433" spans="1:25" hidden="1" outlineLevel="1">
      <c r="A433" s="96">
        <v>45722</v>
      </c>
      <c r="B433" s="17" t="s">
        <v>14</v>
      </c>
      <c r="C433" s="23">
        <f>G437</f>
        <v>48</v>
      </c>
      <c r="D433" s="23"/>
      <c r="E433" s="23">
        <f t="shared" si="59"/>
        <v>-696</v>
      </c>
      <c r="G433" s="78">
        <v>48</v>
      </c>
      <c r="H433" s="62">
        <f>C431+I433</f>
        <v>48</v>
      </c>
      <c r="I433" s="20"/>
      <c r="J433" s="21"/>
      <c r="K433" s="57">
        <v>48</v>
      </c>
      <c r="L433" s="23">
        <f t="shared" si="60"/>
        <v>-40</v>
      </c>
      <c r="M433" s="23">
        <f t="shared" si="61"/>
        <v>-40</v>
      </c>
      <c r="O433" s="52"/>
      <c r="Q433" s="273"/>
      <c r="R433" s="259"/>
      <c r="S433" s="260"/>
      <c r="T433" s="261"/>
      <c r="U433" s="262"/>
      <c r="V433" s="263"/>
      <c r="W433" s="263"/>
    </row>
    <row r="434" spans="1:25" hidden="1" outlineLevel="1">
      <c r="A434" s="96">
        <v>45723</v>
      </c>
      <c r="B434" s="17" t="s">
        <v>15</v>
      </c>
      <c r="C434" s="23">
        <v>40</v>
      </c>
      <c r="D434" s="23"/>
      <c r="E434" s="23">
        <f t="shared" si="59"/>
        <v>-736</v>
      </c>
      <c r="G434" s="78">
        <v>40</v>
      </c>
      <c r="H434" s="62">
        <f>C432+I434</f>
        <v>40</v>
      </c>
      <c r="I434" s="20">
        <v>-16</v>
      </c>
      <c r="J434" s="21"/>
      <c r="K434" s="57">
        <v>40</v>
      </c>
      <c r="L434" s="23">
        <f t="shared" si="60"/>
        <v>-40</v>
      </c>
      <c r="M434" s="23">
        <f t="shared" si="61"/>
        <v>-40</v>
      </c>
      <c r="O434" s="52"/>
      <c r="Q434" s="273"/>
      <c r="R434" s="259"/>
      <c r="S434" s="260"/>
      <c r="T434" s="261"/>
      <c r="U434" s="262"/>
      <c r="V434" s="263"/>
      <c r="W434" s="263"/>
      <c r="Y434" s="1">
        <f>AVERAGE(G430:G434)</f>
        <v>43.2</v>
      </c>
    </row>
    <row r="435" spans="1:25" s="12" customFormat="1" hidden="1" outlineLevel="1">
      <c r="A435" s="95">
        <v>45724</v>
      </c>
      <c r="B435" s="25" t="s">
        <v>16</v>
      </c>
      <c r="C435" s="29"/>
      <c r="D435" s="29"/>
      <c r="E435" s="29">
        <f t="shared" si="59"/>
        <v>-736</v>
      </c>
      <c r="G435" s="79"/>
      <c r="H435" s="63"/>
      <c r="I435" s="27"/>
      <c r="J435" s="28"/>
      <c r="K435" s="43"/>
      <c r="L435" s="29">
        <f t="shared" si="60"/>
        <v>-40</v>
      </c>
      <c r="M435" s="29">
        <f t="shared" si="61"/>
        <v>-40</v>
      </c>
      <c r="O435" s="54"/>
      <c r="Q435" s="273"/>
      <c r="R435" s="259"/>
      <c r="S435" s="260"/>
      <c r="T435" s="261"/>
      <c r="U435" s="262"/>
      <c r="V435" s="263"/>
      <c r="W435" s="263"/>
      <c r="Y435" s="11"/>
    </row>
    <row r="436" spans="1:25" s="12" customFormat="1" hidden="1" outlineLevel="1" collapsed="1">
      <c r="A436" s="95">
        <v>45725</v>
      </c>
      <c r="B436" s="25" t="s">
        <v>17</v>
      </c>
      <c r="C436" s="29"/>
      <c r="D436" s="29"/>
      <c r="E436" s="29">
        <f t="shared" si="59"/>
        <v>-736</v>
      </c>
      <c r="G436" s="79"/>
      <c r="H436" s="63"/>
      <c r="I436" s="27"/>
      <c r="J436" s="28"/>
      <c r="K436" s="43"/>
      <c r="L436" s="29">
        <f t="shared" si="60"/>
        <v>-40</v>
      </c>
      <c r="M436" s="29">
        <f t="shared" si="61"/>
        <v>-40</v>
      </c>
      <c r="O436" s="54"/>
      <c r="Q436" s="273"/>
      <c r="R436" s="259"/>
      <c r="S436" s="260"/>
      <c r="T436" s="261"/>
      <c r="U436" s="262"/>
      <c r="V436" s="263"/>
      <c r="W436" s="263"/>
      <c r="Y436" s="11"/>
    </row>
    <row r="437" spans="1:25" hidden="1" outlineLevel="1">
      <c r="A437" s="96">
        <v>45726</v>
      </c>
      <c r="B437" s="17" t="s">
        <v>18</v>
      </c>
      <c r="C437" s="23">
        <v>40</v>
      </c>
      <c r="D437" s="23"/>
      <c r="E437" s="23">
        <f t="shared" si="59"/>
        <v>-776</v>
      </c>
      <c r="G437" s="78">
        <v>48</v>
      </c>
      <c r="H437" s="62">
        <f>C433+I437</f>
        <v>88</v>
      </c>
      <c r="I437" s="20">
        <v>40</v>
      </c>
      <c r="J437" s="21"/>
      <c r="K437" s="57">
        <v>88</v>
      </c>
      <c r="L437" s="23">
        <f t="shared" si="60"/>
        <v>0</v>
      </c>
      <c r="M437" s="23">
        <f t="shared" si="61"/>
        <v>0</v>
      </c>
      <c r="O437" s="52"/>
      <c r="Q437" s="273"/>
      <c r="R437" s="259"/>
      <c r="S437" s="260"/>
      <c r="T437" s="261"/>
      <c r="U437" s="262"/>
      <c r="V437" s="263"/>
      <c r="W437" s="263"/>
    </row>
    <row r="438" spans="1:25" hidden="1" outlineLevel="1">
      <c r="A438" s="96">
        <v>45727</v>
      </c>
      <c r="B438" s="17" t="s">
        <v>19</v>
      </c>
      <c r="C438" s="23">
        <v>48</v>
      </c>
      <c r="D438" s="23"/>
      <c r="E438" s="23">
        <f t="shared" si="59"/>
        <v>-824</v>
      </c>
      <c r="G438" s="78">
        <v>48</v>
      </c>
      <c r="H438" s="62">
        <f>C434+I438</f>
        <v>40</v>
      </c>
      <c r="I438" s="20"/>
      <c r="J438" s="21"/>
      <c r="K438" s="57">
        <v>40</v>
      </c>
      <c r="L438" s="23">
        <f t="shared" si="60"/>
        <v>-8</v>
      </c>
      <c r="M438" s="23">
        <f t="shared" si="61"/>
        <v>-8</v>
      </c>
      <c r="O438" s="52"/>
      <c r="Q438" s="273"/>
      <c r="R438" s="259"/>
      <c r="S438" s="260"/>
      <c r="T438" s="261"/>
      <c r="U438" s="262"/>
      <c r="V438" s="263"/>
      <c r="W438" s="263"/>
    </row>
    <row r="439" spans="1:25" hidden="1" outlineLevel="1">
      <c r="A439" s="96">
        <v>45728</v>
      </c>
      <c r="B439" s="17" t="s">
        <v>20</v>
      </c>
      <c r="C439" s="23">
        <v>40</v>
      </c>
      <c r="D439" s="23"/>
      <c r="E439" s="23">
        <f t="shared" si="59"/>
        <v>-864</v>
      </c>
      <c r="G439" s="78">
        <v>40</v>
      </c>
      <c r="H439" s="62">
        <f>C437+I439</f>
        <v>0</v>
      </c>
      <c r="I439" s="20">
        <v>-40</v>
      </c>
      <c r="J439" s="21"/>
      <c r="K439" s="57">
        <v>0</v>
      </c>
      <c r="L439" s="23">
        <f t="shared" si="60"/>
        <v>-48</v>
      </c>
      <c r="M439" s="23">
        <f t="shared" si="61"/>
        <v>-48</v>
      </c>
      <c r="O439" s="52"/>
      <c r="Q439" s="273"/>
      <c r="R439" s="259"/>
      <c r="S439" s="260"/>
      <c r="T439" s="261"/>
      <c r="U439" s="262"/>
      <c r="V439" s="263"/>
      <c r="W439" s="263"/>
    </row>
    <row r="440" spans="1:25" hidden="1" outlineLevel="1">
      <c r="A440" s="96">
        <v>45729</v>
      </c>
      <c r="B440" s="17" t="s">
        <v>14</v>
      </c>
      <c r="C440" s="23">
        <f>G444</f>
        <v>48</v>
      </c>
      <c r="D440" s="23"/>
      <c r="E440" s="23">
        <f t="shared" si="59"/>
        <v>-912</v>
      </c>
      <c r="G440" s="78">
        <v>48</v>
      </c>
      <c r="H440" s="62">
        <f>C438+I440</f>
        <v>48</v>
      </c>
      <c r="I440" s="20"/>
      <c r="J440" s="21"/>
      <c r="K440" s="57">
        <v>48</v>
      </c>
      <c r="L440" s="23">
        <f t="shared" si="60"/>
        <v>-48</v>
      </c>
      <c r="M440" s="23">
        <f t="shared" si="61"/>
        <v>-48</v>
      </c>
      <c r="O440" s="52"/>
      <c r="Q440" s="273"/>
      <c r="R440" s="259"/>
      <c r="S440" s="260"/>
      <c r="T440" s="261"/>
      <c r="U440" s="262"/>
      <c r="V440" s="263"/>
      <c r="W440" s="263"/>
    </row>
    <row r="441" spans="1:25" hidden="1" outlineLevel="1">
      <c r="A441" s="96">
        <v>45730</v>
      </c>
      <c r="B441" s="17" t="s">
        <v>15</v>
      </c>
      <c r="C441" s="23">
        <f>G445</f>
        <v>48</v>
      </c>
      <c r="D441" s="23"/>
      <c r="E441" s="23">
        <f t="shared" si="59"/>
        <v>-960</v>
      </c>
      <c r="G441" s="78">
        <v>40</v>
      </c>
      <c r="H441" s="62">
        <f>C439+I441</f>
        <v>40</v>
      </c>
      <c r="I441" s="20"/>
      <c r="J441" s="21"/>
      <c r="K441" s="57">
        <v>40</v>
      </c>
      <c r="L441" s="23">
        <f t="shared" si="60"/>
        <v>-48</v>
      </c>
      <c r="M441" s="23">
        <f t="shared" si="61"/>
        <v>-48</v>
      </c>
      <c r="O441" s="52"/>
      <c r="Q441" s="273"/>
      <c r="R441" s="259"/>
      <c r="S441" s="260"/>
      <c r="T441" s="261"/>
      <c r="U441" s="262"/>
      <c r="V441" s="263"/>
      <c r="W441" s="263"/>
      <c r="Y441" s="1">
        <f>AVERAGE(G437:G441)</f>
        <v>44.8</v>
      </c>
    </row>
    <row r="442" spans="1:25" s="12" customFormat="1" hidden="1" outlineLevel="1">
      <c r="A442" s="95">
        <v>45731</v>
      </c>
      <c r="B442" s="25" t="s">
        <v>16</v>
      </c>
      <c r="C442" s="29"/>
      <c r="D442" s="29"/>
      <c r="E442" s="29">
        <f t="shared" si="59"/>
        <v>-960</v>
      </c>
      <c r="G442" s="79"/>
      <c r="H442" s="63"/>
      <c r="I442" s="27"/>
      <c r="J442" s="28"/>
      <c r="K442" s="43"/>
      <c r="L442" s="29">
        <f t="shared" si="60"/>
        <v>-48</v>
      </c>
      <c r="M442" s="29">
        <f t="shared" si="61"/>
        <v>-48</v>
      </c>
      <c r="O442" s="54"/>
      <c r="Q442" s="273"/>
      <c r="R442" s="259"/>
      <c r="S442" s="260"/>
      <c r="T442" s="261"/>
      <c r="U442" s="262"/>
      <c r="V442" s="263"/>
      <c r="W442" s="263"/>
      <c r="Y442" s="11"/>
    </row>
    <row r="443" spans="1:25" s="12" customFormat="1" hidden="1" outlineLevel="1" collapsed="1">
      <c r="A443" s="95">
        <v>45732</v>
      </c>
      <c r="B443" s="25" t="s">
        <v>17</v>
      </c>
      <c r="C443" s="29"/>
      <c r="D443" s="29"/>
      <c r="E443" s="29">
        <f t="shared" si="59"/>
        <v>-960</v>
      </c>
      <c r="G443" s="79"/>
      <c r="H443" s="63"/>
      <c r="I443" s="27"/>
      <c r="J443" s="28"/>
      <c r="K443" s="43"/>
      <c r="L443" s="29">
        <f t="shared" si="60"/>
        <v>-48</v>
      </c>
      <c r="M443" s="29">
        <f t="shared" si="61"/>
        <v>-48</v>
      </c>
      <c r="O443" s="54"/>
      <c r="Q443" s="273"/>
      <c r="R443" s="259"/>
      <c r="S443" s="260"/>
      <c r="T443" s="261"/>
      <c r="U443" s="262"/>
      <c r="V443" s="263"/>
      <c r="W443" s="263"/>
      <c r="Y443" s="11"/>
    </row>
    <row r="444" spans="1:25" hidden="1" outlineLevel="1">
      <c r="A444" s="96">
        <v>45733</v>
      </c>
      <c r="B444" s="17" t="s">
        <v>18</v>
      </c>
      <c r="C444" s="23">
        <f>G446</f>
        <v>40</v>
      </c>
      <c r="D444" s="23"/>
      <c r="E444" s="23">
        <f t="shared" si="59"/>
        <v>-1000</v>
      </c>
      <c r="G444" s="78">
        <v>48</v>
      </c>
      <c r="H444" s="62">
        <f>C440+I444</f>
        <v>48</v>
      </c>
      <c r="I444" s="20"/>
      <c r="J444" s="21"/>
      <c r="K444" s="57">
        <v>48</v>
      </c>
      <c r="L444" s="23">
        <f t="shared" si="60"/>
        <v>-48</v>
      </c>
      <c r="M444" s="23">
        <f t="shared" si="61"/>
        <v>-48</v>
      </c>
      <c r="O444" s="52"/>
      <c r="Q444" s="273"/>
      <c r="R444" s="259"/>
      <c r="S444" s="260"/>
      <c r="T444" s="261"/>
      <c r="U444" s="262"/>
      <c r="V444" s="263"/>
      <c r="W444" s="263"/>
    </row>
    <row r="445" spans="1:25" hidden="1" outlineLevel="1">
      <c r="A445" s="96">
        <v>45734</v>
      </c>
      <c r="B445" s="17" t="s">
        <v>19</v>
      </c>
      <c r="C445" s="23">
        <f t="shared" ref="C445:C446" si="63">G447</f>
        <v>24</v>
      </c>
      <c r="D445" s="23"/>
      <c r="E445" s="23">
        <f t="shared" si="59"/>
        <v>-1024</v>
      </c>
      <c r="G445" s="78">
        <v>48</v>
      </c>
      <c r="H445" s="62">
        <f>C441+I445</f>
        <v>48</v>
      </c>
      <c r="I445" s="20"/>
      <c r="J445" s="21"/>
      <c r="K445" s="57">
        <v>48</v>
      </c>
      <c r="L445" s="23">
        <f t="shared" si="60"/>
        <v>-48</v>
      </c>
      <c r="M445" s="23">
        <f t="shared" si="61"/>
        <v>-48</v>
      </c>
      <c r="O445" s="52"/>
      <c r="Q445" s="273"/>
      <c r="R445" s="259"/>
      <c r="S445" s="260"/>
      <c r="T445" s="261"/>
      <c r="U445" s="262"/>
      <c r="V445" s="263"/>
      <c r="W445" s="263"/>
    </row>
    <row r="446" spans="1:25" hidden="1" outlineLevel="1">
      <c r="A446" s="96">
        <v>45735</v>
      </c>
      <c r="B446" s="17" t="s">
        <v>20</v>
      </c>
      <c r="C446" s="23">
        <f t="shared" si="63"/>
        <v>32</v>
      </c>
      <c r="D446" s="23"/>
      <c r="E446" s="23">
        <f t="shared" si="59"/>
        <v>-1056</v>
      </c>
      <c r="G446" s="78">
        <v>40</v>
      </c>
      <c r="H446" s="62">
        <f>C444+I446</f>
        <v>40</v>
      </c>
      <c r="I446" s="20"/>
      <c r="J446" s="21"/>
      <c r="K446" s="57">
        <v>40</v>
      </c>
      <c r="L446" s="23">
        <f t="shared" si="60"/>
        <v>-48</v>
      </c>
      <c r="M446" s="23">
        <f t="shared" si="61"/>
        <v>-48</v>
      </c>
      <c r="O446" s="52"/>
      <c r="Q446" s="273"/>
      <c r="R446" s="259"/>
      <c r="S446" s="260"/>
      <c r="T446" s="261"/>
      <c r="U446" s="262"/>
      <c r="V446" s="263"/>
      <c r="W446" s="263"/>
    </row>
    <row r="447" spans="1:25" hidden="1" outlineLevel="1">
      <c r="A447" s="96">
        <v>45736</v>
      </c>
      <c r="B447" s="17" t="s">
        <v>14</v>
      </c>
      <c r="C447" s="23">
        <f>G451</f>
        <v>56</v>
      </c>
      <c r="D447" s="23"/>
      <c r="E447" s="23">
        <f t="shared" si="59"/>
        <v>-1112</v>
      </c>
      <c r="G447" s="78">
        <v>24</v>
      </c>
      <c r="H447" s="62">
        <f>C445+I447</f>
        <v>24</v>
      </c>
      <c r="I447" s="20"/>
      <c r="J447" s="21"/>
      <c r="K447" s="57">
        <v>24</v>
      </c>
      <c r="L447" s="23">
        <f t="shared" si="60"/>
        <v>-48</v>
      </c>
      <c r="M447" s="23">
        <f t="shared" si="61"/>
        <v>-48</v>
      </c>
      <c r="O447" s="52"/>
      <c r="Q447" s="273"/>
      <c r="R447" s="259"/>
      <c r="S447" s="260"/>
      <c r="T447" s="261"/>
      <c r="U447" s="262"/>
      <c r="V447" s="263"/>
      <c r="W447" s="263"/>
    </row>
    <row r="448" spans="1:25" hidden="1" outlineLevel="1">
      <c r="A448" s="96">
        <v>45737</v>
      </c>
      <c r="B448" s="17" t="s">
        <v>15</v>
      </c>
      <c r="C448" s="23">
        <f>G452</f>
        <v>48</v>
      </c>
      <c r="D448" s="23"/>
      <c r="E448" s="23">
        <f t="shared" si="59"/>
        <v>-1160</v>
      </c>
      <c r="G448" s="78">
        <v>32</v>
      </c>
      <c r="H448" s="62">
        <f>C446+I448</f>
        <v>32</v>
      </c>
      <c r="I448" s="20"/>
      <c r="J448" s="21"/>
      <c r="K448" s="57">
        <v>16</v>
      </c>
      <c r="L448" s="23">
        <f t="shared" si="60"/>
        <v>-64</v>
      </c>
      <c r="M448" s="23">
        <f t="shared" si="61"/>
        <v>-48</v>
      </c>
      <c r="O448" s="52"/>
      <c r="Q448" s="273"/>
      <c r="R448" s="259"/>
      <c r="S448" s="260"/>
      <c r="T448" s="261"/>
      <c r="U448" s="262"/>
      <c r="V448" s="263"/>
      <c r="W448" s="263"/>
      <c r="Y448" s="1">
        <f>AVERAGE(G444:G448)</f>
        <v>38.4</v>
      </c>
    </row>
    <row r="449" spans="1:25" s="12" customFormat="1" hidden="1" outlineLevel="1">
      <c r="A449" s="95">
        <v>45738</v>
      </c>
      <c r="B449" s="25" t="s">
        <v>16</v>
      </c>
      <c r="C449" s="29"/>
      <c r="D449" s="29"/>
      <c r="E449" s="29">
        <f t="shared" si="59"/>
        <v>-1160</v>
      </c>
      <c r="G449" s="79"/>
      <c r="H449" s="63"/>
      <c r="I449" s="27"/>
      <c r="J449" s="28"/>
      <c r="K449" s="43"/>
      <c r="L449" s="29">
        <f t="shared" si="60"/>
        <v>-64</v>
      </c>
      <c r="M449" s="29">
        <f t="shared" si="61"/>
        <v>-48</v>
      </c>
      <c r="O449" s="54"/>
      <c r="Q449" s="273"/>
      <c r="R449" s="259"/>
      <c r="S449" s="260"/>
      <c r="T449" s="261"/>
      <c r="U449" s="262"/>
      <c r="V449" s="263"/>
      <c r="W449" s="263"/>
      <c r="Y449" s="11"/>
    </row>
    <row r="450" spans="1:25" s="12" customFormat="1" hidden="1" outlineLevel="1" collapsed="1">
      <c r="A450" s="95">
        <v>45739</v>
      </c>
      <c r="B450" s="25" t="s">
        <v>17</v>
      </c>
      <c r="C450" s="29"/>
      <c r="D450" s="29"/>
      <c r="E450" s="29">
        <f t="shared" si="59"/>
        <v>-1160</v>
      </c>
      <c r="G450" s="79"/>
      <c r="H450" s="63"/>
      <c r="I450" s="27"/>
      <c r="J450" s="28"/>
      <c r="K450" s="43"/>
      <c r="L450" s="29">
        <f t="shared" si="60"/>
        <v>-64</v>
      </c>
      <c r="M450" s="29">
        <f t="shared" si="61"/>
        <v>-48</v>
      </c>
      <c r="O450" s="54"/>
      <c r="Q450" s="273"/>
      <c r="R450" s="259"/>
      <c r="S450" s="260"/>
      <c r="T450" s="261"/>
      <c r="U450" s="262"/>
      <c r="V450" s="263"/>
      <c r="W450" s="263"/>
      <c r="Y450" s="11"/>
    </row>
    <row r="451" spans="1:25" hidden="1" outlineLevel="1">
      <c r="A451" s="96">
        <v>45740</v>
      </c>
      <c r="B451" s="17" t="s">
        <v>18</v>
      </c>
      <c r="C451" s="23">
        <f>G453</f>
        <v>40</v>
      </c>
      <c r="D451" s="23"/>
      <c r="E451" s="23">
        <f t="shared" si="59"/>
        <v>-1200</v>
      </c>
      <c r="G451" s="78">
        <v>56</v>
      </c>
      <c r="H451" s="62">
        <f t="shared" ref="H451:H453" si="64">IF(C449&lt;&gt;"",C449+I451,IF(C447&lt;&gt;"",C447+I451,IF(C446&lt;&gt;"",C446+I451,IF(C445&lt;&gt;"",C445+I451,IF(C444&lt;&gt;"",C444+I451,IF(C443&lt;&gt;"",C443+I451))))))</f>
        <v>56</v>
      </c>
      <c r="I451" s="20"/>
      <c r="J451" s="21"/>
      <c r="K451" s="57">
        <v>72</v>
      </c>
      <c r="L451" s="23">
        <f t="shared" si="60"/>
        <v>-48</v>
      </c>
      <c r="M451" s="23">
        <f t="shared" si="61"/>
        <v>-48</v>
      </c>
      <c r="O451" s="52"/>
      <c r="Q451" s="273"/>
      <c r="R451" s="259"/>
      <c r="S451" s="260"/>
      <c r="T451" s="261"/>
      <c r="U451" s="262"/>
      <c r="V451" s="263"/>
      <c r="W451" s="263"/>
    </row>
    <row r="452" spans="1:25" hidden="1" outlineLevel="1">
      <c r="A452" s="96">
        <v>45741</v>
      </c>
      <c r="B452" s="17" t="s">
        <v>19</v>
      </c>
      <c r="C452" s="23">
        <f t="shared" ref="C452:C453" si="65">G454</f>
        <v>48</v>
      </c>
      <c r="D452" s="23"/>
      <c r="E452" s="23">
        <f t="shared" si="59"/>
        <v>-1248</v>
      </c>
      <c r="G452" s="78">
        <v>48</v>
      </c>
      <c r="H452" s="62">
        <f t="shared" si="64"/>
        <v>48</v>
      </c>
      <c r="I452" s="20"/>
      <c r="J452" s="21"/>
      <c r="K452" s="57">
        <v>48</v>
      </c>
      <c r="L452" s="23">
        <f t="shared" si="60"/>
        <v>-48</v>
      </c>
      <c r="M452" s="23">
        <f t="shared" si="61"/>
        <v>-48</v>
      </c>
      <c r="O452" s="52"/>
      <c r="Q452" s="273"/>
      <c r="R452" s="259"/>
      <c r="S452" s="260"/>
      <c r="T452" s="261"/>
      <c r="U452" s="262"/>
      <c r="V452" s="263"/>
      <c r="W452" s="263"/>
    </row>
    <row r="453" spans="1:25" hidden="1" outlineLevel="1">
      <c r="A453" s="96">
        <v>45742</v>
      </c>
      <c r="B453" s="17" t="s">
        <v>20</v>
      </c>
      <c r="C453" s="23">
        <f t="shared" si="65"/>
        <v>56</v>
      </c>
      <c r="D453" s="23"/>
      <c r="E453" s="23">
        <f t="shared" si="59"/>
        <v>-1304</v>
      </c>
      <c r="G453" s="78">
        <v>40</v>
      </c>
      <c r="H453" s="62">
        <f t="shared" si="64"/>
        <v>40</v>
      </c>
      <c r="I453" s="20"/>
      <c r="J453" s="21"/>
      <c r="K453" s="57">
        <v>40</v>
      </c>
      <c r="L453" s="23">
        <f t="shared" si="60"/>
        <v>-48</v>
      </c>
      <c r="M453" s="23">
        <f t="shared" si="61"/>
        <v>-48</v>
      </c>
      <c r="O453" s="52"/>
      <c r="Q453" s="273"/>
      <c r="R453" s="259"/>
      <c r="S453" s="260"/>
      <c r="T453" s="261"/>
      <c r="U453" s="262"/>
      <c r="V453" s="263"/>
      <c r="W453" s="263"/>
    </row>
    <row r="454" spans="1:25" hidden="1" outlineLevel="1">
      <c r="A454" s="96">
        <v>45743</v>
      </c>
      <c r="B454" s="17" t="s">
        <v>14</v>
      </c>
      <c r="C454" s="23">
        <f>G458</f>
        <v>48</v>
      </c>
      <c r="D454" s="23"/>
      <c r="E454" s="23">
        <f t="shared" si="59"/>
        <v>-1352</v>
      </c>
      <c r="G454" s="78">
        <v>48</v>
      </c>
      <c r="H454" s="62">
        <f>IF(C452&lt;&gt;"",C452+I454,IF(C450&lt;&gt;"",C450+I454,IF(C449&lt;&gt;"",C449+I454,IF(C448&lt;&gt;"",C448+I454,IF(C447&lt;&gt;"",C447+I454,IF(C446&lt;&gt;"",C446+I454))))))</f>
        <v>48</v>
      </c>
      <c r="I454" s="20"/>
      <c r="J454" s="21"/>
      <c r="K454" s="57">
        <v>48</v>
      </c>
      <c r="L454" s="23">
        <f t="shared" si="60"/>
        <v>-48</v>
      </c>
      <c r="M454" s="23">
        <f t="shared" si="61"/>
        <v>-48</v>
      </c>
      <c r="O454" s="52"/>
      <c r="Q454" s="273"/>
      <c r="R454" s="259"/>
      <c r="S454" s="260"/>
      <c r="T454" s="261"/>
      <c r="U454" s="262"/>
      <c r="V454" s="263"/>
      <c r="W454" s="263"/>
    </row>
    <row r="455" spans="1:25" hidden="1" outlineLevel="1">
      <c r="A455" s="96">
        <v>45744</v>
      </c>
      <c r="B455" s="17" t="s">
        <v>15</v>
      </c>
      <c r="C455" s="23">
        <f>G459</f>
        <v>40</v>
      </c>
      <c r="D455" s="23"/>
      <c r="E455" s="23">
        <f t="shared" si="59"/>
        <v>-1392</v>
      </c>
      <c r="G455" s="78">
        <v>56</v>
      </c>
      <c r="H455" s="62">
        <f>IF(C453&lt;&gt;"",C453+I455,IF(C451&lt;&gt;"",C451+I455,IF(C450&lt;&gt;"",C450+I455,IF(C449&lt;&gt;"",C449+I455,IF(C448&lt;&gt;"",C448+I455,IF(C447&lt;&gt;"",C447+I455))))))</f>
        <v>0</v>
      </c>
      <c r="I455" s="20">
        <v>-56</v>
      </c>
      <c r="J455" s="21"/>
      <c r="K455" s="57">
        <v>0</v>
      </c>
      <c r="L455" s="23">
        <f t="shared" si="60"/>
        <v>-104</v>
      </c>
      <c r="M455" s="23">
        <f t="shared" si="61"/>
        <v>-104</v>
      </c>
      <c r="O455" s="52"/>
      <c r="Q455" s="273"/>
      <c r="R455" s="259"/>
      <c r="S455" s="260"/>
      <c r="T455" s="261"/>
      <c r="U455" s="262"/>
      <c r="V455" s="263"/>
      <c r="W455" s="263"/>
      <c r="Y455" s="1">
        <f>AVERAGE(G451:G455)</f>
        <v>49.6</v>
      </c>
    </row>
    <row r="456" spans="1:25" s="12" customFormat="1" hidden="1" outlineLevel="1">
      <c r="A456" s="95">
        <v>45745</v>
      </c>
      <c r="B456" s="25" t="s">
        <v>16</v>
      </c>
      <c r="C456" s="29"/>
      <c r="D456" s="29"/>
      <c r="E456" s="29">
        <f t="shared" si="59"/>
        <v>-1392</v>
      </c>
      <c r="G456" s="79"/>
      <c r="H456" s="63"/>
      <c r="I456" s="27"/>
      <c r="J456" s="28"/>
      <c r="K456" s="43"/>
      <c r="L456" s="29">
        <f t="shared" si="60"/>
        <v>-104</v>
      </c>
      <c r="M456" s="29">
        <f t="shared" si="61"/>
        <v>-104</v>
      </c>
      <c r="O456" s="54"/>
      <c r="Q456" s="273"/>
      <c r="R456" s="259"/>
      <c r="S456" s="260"/>
      <c r="T456" s="261"/>
      <c r="U456" s="262"/>
      <c r="V456" s="263"/>
      <c r="W456" s="263"/>
      <c r="Y456" s="11"/>
    </row>
    <row r="457" spans="1:25" s="12" customFormat="1" hidden="1" outlineLevel="1" collapsed="1">
      <c r="A457" s="95">
        <v>45746</v>
      </c>
      <c r="B457" s="25" t="s">
        <v>17</v>
      </c>
      <c r="C457" s="29"/>
      <c r="D457" s="29"/>
      <c r="E457" s="29">
        <f t="shared" si="59"/>
        <v>-1392</v>
      </c>
      <c r="G457" s="79"/>
      <c r="H457" s="63"/>
      <c r="I457" s="27"/>
      <c r="J457" s="28"/>
      <c r="K457" s="43"/>
      <c r="L457" s="29">
        <f t="shared" si="60"/>
        <v>-104</v>
      </c>
      <c r="M457" s="29">
        <f t="shared" si="61"/>
        <v>-104</v>
      </c>
      <c r="O457" s="54"/>
      <c r="Q457" s="273"/>
      <c r="R457" s="259"/>
      <c r="S457" s="260"/>
      <c r="T457" s="261"/>
      <c r="U457" s="262"/>
      <c r="V457" s="263"/>
      <c r="W457" s="263"/>
      <c r="Y457" s="11"/>
    </row>
    <row r="458" spans="1:25" hidden="1" outlineLevel="1">
      <c r="A458" s="96">
        <v>45747</v>
      </c>
      <c r="B458" s="17" t="s">
        <v>18</v>
      </c>
      <c r="C458" s="23">
        <f>G460</f>
        <v>56</v>
      </c>
      <c r="D458" s="23"/>
      <c r="E458" s="23">
        <f t="shared" si="59"/>
        <v>-1448</v>
      </c>
      <c r="G458" s="78">
        <v>48</v>
      </c>
      <c r="H458" s="62">
        <f t="shared" ref="H458" si="66">IF(C456&lt;&gt;"",C456+I458,IF(C454&lt;&gt;"",C454+I458,IF(C453&lt;&gt;"",C453+I458,IF(C452&lt;&gt;"",C452+I458,IF(C451&lt;&gt;"",C451+I458,IF(C450&lt;&gt;"",C450+I458))))))</f>
        <v>56</v>
      </c>
      <c r="I458" s="20">
        <v>8</v>
      </c>
      <c r="J458" s="21"/>
      <c r="K458" s="57">
        <v>56</v>
      </c>
      <c r="L458" s="23">
        <f t="shared" si="60"/>
        <v>-96</v>
      </c>
      <c r="M458" s="23">
        <f t="shared" si="61"/>
        <v>-96</v>
      </c>
      <c r="O458" s="52"/>
      <c r="Q458" s="273"/>
      <c r="R458" s="259"/>
      <c r="S458" s="260"/>
      <c r="T458" s="261"/>
      <c r="U458" s="262"/>
      <c r="V458" s="263"/>
      <c r="W458" s="263"/>
    </row>
    <row r="459" spans="1:25" hidden="1" outlineLevel="1">
      <c r="A459" s="96">
        <v>45748</v>
      </c>
      <c r="B459" s="17" t="s">
        <v>19</v>
      </c>
      <c r="C459" s="23">
        <v>0</v>
      </c>
      <c r="D459" s="23"/>
      <c r="E459" s="23">
        <f t="shared" ref="E459:E490" si="67">E458-C459+D459</f>
        <v>-1448</v>
      </c>
      <c r="G459" s="78">
        <v>40</v>
      </c>
      <c r="H459" s="62">
        <f t="shared" ref="H459:H488" si="68">IF(C457&lt;&gt;"",C457+I459,IF(C455&lt;&gt;"",C455+I459,IF(C454&lt;&gt;"",C454+I459,IF(C453&lt;&gt;"",C453+I459,IF(C452&lt;&gt;"",C452+I459,IF(C451&lt;&gt;"",C451+I459))))))</f>
        <v>80</v>
      </c>
      <c r="I459" s="20">
        <v>40</v>
      </c>
      <c r="J459" s="21"/>
      <c r="K459" s="57">
        <v>80</v>
      </c>
      <c r="L459" s="23">
        <f t="shared" ref="L459:L490" si="69">L458-G459+K459</f>
        <v>-56</v>
      </c>
      <c r="M459" s="23">
        <f t="shared" ref="M459:M490" si="70">M458-G459+H459</f>
        <v>-56</v>
      </c>
      <c r="O459" s="52"/>
      <c r="Q459" s="273"/>
      <c r="R459" s="259"/>
      <c r="S459" s="260"/>
      <c r="T459" s="261"/>
      <c r="U459" s="262"/>
      <c r="V459" s="263"/>
      <c r="W459" s="263"/>
    </row>
    <row r="460" spans="1:25" hidden="1" outlineLevel="1">
      <c r="A460" s="96">
        <v>45749</v>
      </c>
      <c r="B460" s="17" t="s">
        <v>20</v>
      </c>
      <c r="C460" s="23">
        <v>48</v>
      </c>
      <c r="D460" s="23"/>
      <c r="E460" s="23">
        <f t="shared" si="67"/>
        <v>-1496</v>
      </c>
      <c r="G460" s="78">
        <v>56</v>
      </c>
      <c r="H460" s="62">
        <f t="shared" si="68"/>
        <v>56</v>
      </c>
      <c r="I460" s="20"/>
      <c r="J460" s="21"/>
      <c r="K460" s="57">
        <v>56</v>
      </c>
      <c r="L460" s="23">
        <f t="shared" si="69"/>
        <v>-56</v>
      </c>
      <c r="M460" s="23">
        <f t="shared" si="70"/>
        <v>-56</v>
      </c>
      <c r="O460" s="52"/>
      <c r="Q460" s="273"/>
      <c r="R460" s="259"/>
      <c r="S460" s="260"/>
      <c r="T460" s="261"/>
      <c r="U460" s="262"/>
      <c r="V460" s="263"/>
      <c r="W460" s="263"/>
    </row>
    <row r="461" spans="1:25" s="12" customFormat="1" hidden="1" outlineLevel="1">
      <c r="A461" s="95">
        <v>45750</v>
      </c>
      <c r="B461" s="25" t="s">
        <v>14</v>
      </c>
      <c r="C461" s="23">
        <f>G465</f>
        <v>48</v>
      </c>
      <c r="D461" s="29"/>
      <c r="E461" s="29">
        <f t="shared" si="67"/>
        <v>-1544</v>
      </c>
      <c r="G461" s="79"/>
      <c r="H461" s="63"/>
      <c r="I461" s="27"/>
      <c r="J461" s="28"/>
      <c r="K461" s="43"/>
      <c r="L461" s="29">
        <f t="shared" si="69"/>
        <v>-56</v>
      </c>
      <c r="M461" s="29">
        <f t="shared" si="70"/>
        <v>-56</v>
      </c>
      <c r="O461" s="54"/>
      <c r="Q461" s="273"/>
      <c r="R461" s="259"/>
      <c r="S461" s="260"/>
      <c r="T461" s="261"/>
      <c r="U461" s="262"/>
      <c r="V461" s="263"/>
      <c r="W461" s="263"/>
      <c r="Y461" s="11"/>
    </row>
    <row r="462" spans="1:25" hidden="1" outlineLevel="1">
      <c r="A462" s="96">
        <v>45751</v>
      </c>
      <c r="B462" s="17" t="s">
        <v>15</v>
      </c>
      <c r="C462" s="23">
        <f>G466</f>
        <v>48</v>
      </c>
      <c r="D462" s="23"/>
      <c r="E462" s="23">
        <f t="shared" si="67"/>
        <v>-1592</v>
      </c>
      <c r="G462" s="78">
        <v>24</v>
      </c>
      <c r="H462" s="62">
        <f t="shared" si="68"/>
        <v>56</v>
      </c>
      <c r="I462" s="20">
        <v>8</v>
      </c>
      <c r="J462" s="21"/>
      <c r="K462" s="57">
        <v>56</v>
      </c>
      <c r="L462" s="23">
        <f t="shared" si="69"/>
        <v>-24</v>
      </c>
      <c r="M462" s="23">
        <f t="shared" si="70"/>
        <v>-24</v>
      </c>
      <c r="O462" s="52"/>
      <c r="Q462" s="273"/>
      <c r="R462" s="259"/>
      <c r="S462" s="260"/>
      <c r="T462" s="261"/>
      <c r="U462" s="262"/>
      <c r="V462" s="263"/>
      <c r="W462" s="263"/>
      <c r="Y462" s="1">
        <f>AVERAGE(G458:G462)</f>
        <v>42</v>
      </c>
    </row>
    <row r="463" spans="1:25" s="12" customFormat="1" hidden="1" outlineLevel="1">
      <c r="A463" s="95">
        <v>45752</v>
      </c>
      <c r="B463" s="25" t="s">
        <v>16</v>
      </c>
      <c r="C463" s="29"/>
      <c r="D463" s="29"/>
      <c r="E463" s="29">
        <f t="shared" si="67"/>
        <v>-1592</v>
      </c>
      <c r="G463" s="79"/>
      <c r="H463" s="63"/>
      <c r="I463" s="27"/>
      <c r="J463" s="28"/>
      <c r="K463" s="43"/>
      <c r="L463" s="29">
        <f t="shared" si="69"/>
        <v>-24</v>
      </c>
      <c r="M463" s="29">
        <f t="shared" si="70"/>
        <v>-24</v>
      </c>
      <c r="O463" s="54"/>
      <c r="Q463" s="273"/>
      <c r="R463" s="259"/>
      <c r="S463" s="260"/>
      <c r="T463" s="261"/>
      <c r="U463" s="262"/>
      <c r="V463" s="263"/>
      <c r="W463" s="263"/>
      <c r="Y463" s="11"/>
    </row>
    <row r="464" spans="1:25" s="12" customFormat="1" hidden="1" outlineLevel="1" collapsed="1">
      <c r="A464" s="95">
        <v>45753</v>
      </c>
      <c r="B464" s="25" t="s">
        <v>17</v>
      </c>
      <c r="C464" s="29"/>
      <c r="D464" s="29"/>
      <c r="E464" s="29">
        <f t="shared" si="67"/>
        <v>-1592</v>
      </c>
      <c r="G464" s="79"/>
      <c r="H464" s="63"/>
      <c r="I464" s="27"/>
      <c r="J464" s="28"/>
      <c r="K464" s="43"/>
      <c r="L464" s="29">
        <f t="shared" si="69"/>
        <v>-24</v>
      </c>
      <c r="M464" s="29">
        <f t="shared" si="70"/>
        <v>-24</v>
      </c>
      <c r="O464" s="54"/>
      <c r="Q464" s="273"/>
      <c r="R464" s="259"/>
      <c r="S464" s="260"/>
      <c r="T464" s="261"/>
      <c r="U464" s="262"/>
      <c r="V464" s="263"/>
      <c r="W464" s="263"/>
      <c r="Y464" s="11"/>
    </row>
    <row r="465" spans="1:25" hidden="1" outlineLevel="1">
      <c r="A465" s="96">
        <v>45754</v>
      </c>
      <c r="B465" s="17" t="s">
        <v>18</v>
      </c>
      <c r="C465" s="23">
        <v>56</v>
      </c>
      <c r="D465" s="23"/>
      <c r="E465" s="23">
        <f t="shared" si="67"/>
        <v>-1648</v>
      </c>
      <c r="G465" s="78">
        <v>48</v>
      </c>
      <c r="H465" s="62">
        <f t="shared" si="68"/>
        <v>48</v>
      </c>
      <c r="I465" s="20"/>
      <c r="J465" s="21"/>
      <c r="K465" s="57">
        <v>48</v>
      </c>
      <c r="L465" s="23">
        <f t="shared" si="69"/>
        <v>-24</v>
      </c>
      <c r="M465" s="23">
        <f t="shared" si="70"/>
        <v>-24</v>
      </c>
      <c r="O465" s="52"/>
      <c r="Q465" s="273"/>
      <c r="R465" s="259"/>
      <c r="S465" s="260"/>
      <c r="T465" s="261"/>
      <c r="U465" s="262"/>
      <c r="V465" s="263"/>
      <c r="W465" s="263"/>
    </row>
    <row r="466" spans="1:25" hidden="1" outlineLevel="1">
      <c r="A466" s="96">
        <v>45755</v>
      </c>
      <c r="B466" s="17" t="s">
        <v>19</v>
      </c>
      <c r="C466" s="23">
        <v>56</v>
      </c>
      <c r="D466" s="23"/>
      <c r="E466" s="23">
        <f t="shared" si="67"/>
        <v>-1704</v>
      </c>
      <c r="G466" s="78">
        <v>48</v>
      </c>
      <c r="H466" s="62">
        <f t="shared" si="68"/>
        <v>48</v>
      </c>
      <c r="I466" s="20"/>
      <c r="J466" s="21"/>
      <c r="K466" s="57">
        <v>0</v>
      </c>
      <c r="L466" s="23">
        <f t="shared" si="69"/>
        <v>-72</v>
      </c>
      <c r="M466" s="23">
        <f t="shared" si="70"/>
        <v>-24</v>
      </c>
      <c r="O466" s="52"/>
      <c r="Q466" s="273"/>
      <c r="R466" s="259"/>
      <c r="S466" s="260"/>
      <c r="T466" s="261"/>
      <c r="U466" s="262"/>
      <c r="V466" s="263"/>
      <c r="W466" s="263"/>
    </row>
    <row r="467" spans="1:25" hidden="1" outlineLevel="1">
      <c r="A467" s="96">
        <v>45756</v>
      </c>
      <c r="B467" s="17" t="s">
        <v>20</v>
      </c>
      <c r="C467" s="23">
        <v>56</v>
      </c>
      <c r="D467" s="23"/>
      <c r="E467" s="23">
        <f t="shared" si="67"/>
        <v>-1760</v>
      </c>
      <c r="G467" s="78">
        <v>48</v>
      </c>
      <c r="H467" s="62">
        <f t="shared" si="68"/>
        <v>56</v>
      </c>
      <c r="I467" s="20"/>
      <c r="J467" s="21"/>
      <c r="K467" s="57">
        <v>96</v>
      </c>
      <c r="L467" s="23">
        <f t="shared" si="69"/>
        <v>-24</v>
      </c>
      <c r="M467" s="23">
        <f t="shared" si="70"/>
        <v>-16</v>
      </c>
      <c r="O467" s="52"/>
      <c r="Q467" s="273"/>
      <c r="R467" s="259"/>
      <c r="S467" s="260"/>
      <c r="T467" s="261"/>
      <c r="U467" s="262"/>
      <c r="V467" s="263"/>
      <c r="W467" s="263"/>
    </row>
    <row r="468" spans="1:25" hidden="1" outlineLevel="1">
      <c r="A468" s="96">
        <v>45757</v>
      </c>
      <c r="B468" s="17" t="s">
        <v>14</v>
      </c>
      <c r="C468" s="23">
        <f>G472</f>
        <v>48</v>
      </c>
      <c r="D468" s="23"/>
      <c r="E468" s="23">
        <f t="shared" si="67"/>
        <v>-1808</v>
      </c>
      <c r="G468" s="78">
        <v>48</v>
      </c>
      <c r="H468" s="62">
        <f t="shared" si="68"/>
        <v>56</v>
      </c>
      <c r="I468" s="20"/>
      <c r="J468" s="21"/>
      <c r="K468" s="57">
        <v>56</v>
      </c>
      <c r="L468" s="23">
        <f t="shared" si="69"/>
        <v>-16</v>
      </c>
      <c r="M468" s="23">
        <f t="shared" si="70"/>
        <v>-8</v>
      </c>
      <c r="O468" s="52"/>
      <c r="Q468" s="273"/>
      <c r="R468" s="259"/>
      <c r="S468" s="260"/>
      <c r="T468" s="261"/>
      <c r="U468" s="262"/>
      <c r="V468" s="263"/>
      <c r="W468" s="263"/>
    </row>
    <row r="469" spans="1:25" hidden="1" outlineLevel="1">
      <c r="A469" s="96">
        <v>45758</v>
      </c>
      <c r="B469" s="17" t="s">
        <v>15</v>
      </c>
      <c r="C469" s="23">
        <f>G473</f>
        <v>56</v>
      </c>
      <c r="D469" s="23"/>
      <c r="E469" s="23">
        <f t="shared" si="67"/>
        <v>-1864</v>
      </c>
      <c r="G469" s="78">
        <v>48</v>
      </c>
      <c r="H469" s="62">
        <f t="shared" si="68"/>
        <v>56</v>
      </c>
      <c r="I469" s="20"/>
      <c r="J469" s="21"/>
      <c r="K469" s="57">
        <v>56</v>
      </c>
      <c r="L469" s="23">
        <f t="shared" si="69"/>
        <v>-8</v>
      </c>
      <c r="M469" s="23">
        <f t="shared" si="70"/>
        <v>0</v>
      </c>
      <c r="O469" s="52"/>
      <c r="Q469" s="273"/>
      <c r="R469" s="259"/>
      <c r="S469" s="260"/>
      <c r="T469" s="261"/>
      <c r="U469" s="262"/>
      <c r="V469" s="263"/>
      <c r="W469" s="263"/>
      <c r="Y469" s="1">
        <f>AVERAGE(G465:G469)</f>
        <v>48</v>
      </c>
    </row>
    <row r="470" spans="1:25" s="12" customFormat="1" hidden="1" outlineLevel="1">
      <c r="A470" s="95">
        <v>45759</v>
      </c>
      <c r="B470" s="25" t="s">
        <v>16</v>
      </c>
      <c r="C470" s="29"/>
      <c r="D470" s="29"/>
      <c r="E470" s="29">
        <f t="shared" si="67"/>
        <v>-1864</v>
      </c>
      <c r="G470" s="79"/>
      <c r="H470" s="63"/>
      <c r="I470" s="27"/>
      <c r="J470" s="28"/>
      <c r="K470" s="43"/>
      <c r="L470" s="29">
        <f t="shared" si="69"/>
        <v>-8</v>
      </c>
      <c r="M470" s="29">
        <f t="shared" si="70"/>
        <v>0</v>
      </c>
      <c r="O470" s="54"/>
      <c r="Q470" s="273"/>
      <c r="R470" s="259"/>
      <c r="S470" s="260"/>
      <c r="T470" s="261"/>
      <c r="U470" s="262"/>
      <c r="V470" s="263"/>
      <c r="W470" s="263"/>
      <c r="Y470" s="11"/>
    </row>
    <row r="471" spans="1:25" s="12" customFormat="1" hidden="1" outlineLevel="1" collapsed="1">
      <c r="A471" s="95">
        <v>45760</v>
      </c>
      <c r="B471" s="25" t="s">
        <v>17</v>
      </c>
      <c r="C471" s="29"/>
      <c r="D471" s="29"/>
      <c r="E471" s="29">
        <f t="shared" si="67"/>
        <v>-1864</v>
      </c>
      <c r="G471" s="79"/>
      <c r="H471" s="63"/>
      <c r="I471" s="27"/>
      <c r="J471" s="28"/>
      <c r="K471" s="43"/>
      <c r="L471" s="29">
        <f t="shared" si="69"/>
        <v>-8</v>
      </c>
      <c r="M471" s="29">
        <f t="shared" si="70"/>
        <v>0</v>
      </c>
      <c r="O471" s="54"/>
      <c r="Q471" s="273"/>
      <c r="R471" s="259"/>
      <c r="S471" s="260"/>
      <c r="T471" s="261"/>
      <c r="U471" s="262"/>
      <c r="V471" s="263"/>
      <c r="W471" s="263"/>
      <c r="Y471" s="11"/>
    </row>
    <row r="472" spans="1:25" hidden="1" outlineLevel="1">
      <c r="A472" s="96">
        <v>45761</v>
      </c>
      <c r="B472" s="17" t="s">
        <v>18</v>
      </c>
      <c r="C472" s="23">
        <f>G474</f>
        <v>40</v>
      </c>
      <c r="D472" s="23"/>
      <c r="E472" s="23">
        <f t="shared" si="67"/>
        <v>-1904</v>
      </c>
      <c r="G472" s="78">
        <v>48</v>
      </c>
      <c r="H472" s="62">
        <f t="shared" si="68"/>
        <v>48</v>
      </c>
      <c r="I472" s="20"/>
      <c r="J472" s="21"/>
      <c r="K472" s="57">
        <v>56</v>
      </c>
      <c r="L472" s="23">
        <f t="shared" si="69"/>
        <v>0</v>
      </c>
      <c r="M472" s="23">
        <f t="shared" si="70"/>
        <v>0</v>
      </c>
      <c r="O472" s="52"/>
      <c r="Q472" s="273"/>
      <c r="R472" s="259"/>
      <c r="S472" s="260"/>
      <c r="T472" s="261"/>
      <c r="U472" s="262"/>
      <c r="V472" s="263"/>
      <c r="W472" s="263"/>
    </row>
    <row r="473" spans="1:25" hidden="1" outlineLevel="1">
      <c r="A473" s="96">
        <v>45762</v>
      </c>
      <c r="B473" s="17" t="s">
        <v>19</v>
      </c>
      <c r="C473" s="23">
        <f t="shared" ref="C473:C474" si="71">G475</f>
        <v>48</v>
      </c>
      <c r="D473" s="23"/>
      <c r="E473" s="23">
        <f t="shared" si="67"/>
        <v>-1952</v>
      </c>
      <c r="G473" s="78">
        <v>56</v>
      </c>
      <c r="H473" s="62">
        <f t="shared" si="68"/>
        <v>56</v>
      </c>
      <c r="I473" s="20"/>
      <c r="J473" s="21"/>
      <c r="K473" s="57">
        <v>56</v>
      </c>
      <c r="L473" s="23">
        <f t="shared" si="69"/>
        <v>0</v>
      </c>
      <c r="M473" s="23">
        <f t="shared" si="70"/>
        <v>0</v>
      </c>
      <c r="O473" s="52"/>
      <c r="Q473" s="273"/>
      <c r="R473" s="259"/>
      <c r="S473" s="260"/>
      <c r="T473" s="261"/>
      <c r="U473" s="262"/>
      <c r="V473" s="263"/>
      <c r="W473" s="263"/>
    </row>
    <row r="474" spans="1:25" hidden="1" outlineLevel="1">
      <c r="A474" s="96">
        <v>45763</v>
      </c>
      <c r="B474" s="17" t="s">
        <v>20</v>
      </c>
      <c r="C474" s="23">
        <f t="shared" si="71"/>
        <v>40</v>
      </c>
      <c r="D474" s="23"/>
      <c r="E474" s="23">
        <f t="shared" si="67"/>
        <v>-1992</v>
      </c>
      <c r="G474" s="78">
        <v>40</v>
      </c>
      <c r="H474" s="62">
        <f t="shared" si="68"/>
        <v>40</v>
      </c>
      <c r="I474" s="20"/>
      <c r="J474" s="21"/>
      <c r="K474" s="57">
        <v>40</v>
      </c>
      <c r="L474" s="23">
        <f t="shared" si="69"/>
        <v>0</v>
      </c>
      <c r="M474" s="23">
        <f t="shared" si="70"/>
        <v>0</v>
      </c>
      <c r="O474" s="52"/>
      <c r="Q474" s="273"/>
      <c r="R474" s="259"/>
      <c r="S474" s="260"/>
      <c r="T474" s="261"/>
      <c r="U474" s="262"/>
      <c r="V474" s="263"/>
      <c r="W474" s="263"/>
    </row>
    <row r="475" spans="1:25" hidden="1" outlineLevel="1">
      <c r="A475" s="96">
        <v>45764</v>
      </c>
      <c r="B475" s="17" t="s">
        <v>14</v>
      </c>
      <c r="C475" s="23">
        <f>G479</f>
        <v>48</v>
      </c>
      <c r="D475" s="23"/>
      <c r="E475" s="23">
        <f t="shared" si="67"/>
        <v>-2040</v>
      </c>
      <c r="G475" s="78">
        <v>48</v>
      </c>
      <c r="H475" s="175">
        <f t="shared" si="68"/>
        <v>0</v>
      </c>
      <c r="I475" s="20">
        <v>-48</v>
      </c>
      <c r="J475" s="21"/>
      <c r="K475" s="57">
        <v>0</v>
      </c>
      <c r="L475" s="23">
        <f t="shared" si="69"/>
        <v>-48</v>
      </c>
      <c r="M475" s="23">
        <f t="shared" si="70"/>
        <v>-48</v>
      </c>
      <c r="O475" s="52"/>
      <c r="Q475" s="273"/>
      <c r="R475" s="309"/>
      <c r="S475" s="260"/>
      <c r="T475" s="261"/>
      <c r="U475" s="262"/>
      <c r="V475" s="263"/>
      <c r="W475" s="263"/>
    </row>
    <row r="476" spans="1:25" hidden="1" outlineLevel="1">
      <c r="A476" s="96">
        <v>45765</v>
      </c>
      <c r="B476" s="17" t="s">
        <v>15</v>
      </c>
      <c r="C476" s="23">
        <f>G480</f>
        <v>56</v>
      </c>
      <c r="D476" s="23"/>
      <c r="E476" s="23">
        <f t="shared" si="67"/>
        <v>-2096</v>
      </c>
      <c r="G476" s="78">
        <v>40</v>
      </c>
      <c r="H476" s="175">
        <f t="shared" si="68"/>
        <v>0</v>
      </c>
      <c r="I476" s="20">
        <v>-40</v>
      </c>
      <c r="J476" s="21"/>
      <c r="K476" s="57">
        <v>0</v>
      </c>
      <c r="L476" s="23">
        <f t="shared" si="69"/>
        <v>-88</v>
      </c>
      <c r="M476" s="23">
        <f t="shared" si="70"/>
        <v>-88</v>
      </c>
      <c r="O476" s="52"/>
      <c r="Q476" s="273"/>
      <c r="R476" s="309"/>
      <c r="S476" s="260"/>
      <c r="T476" s="261"/>
      <c r="U476" s="262"/>
      <c r="V476" s="263"/>
      <c r="W476" s="263"/>
      <c r="Y476" s="1">
        <f>AVERAGE(G472:G476)</f>
        <v>46.4</v>
      </c>
    </row>
    <row r="477" spans="1:25" s="12" customFormat="1" hidden="1" outlineLevel="1">
      <c r="A477" s="95">
        <v>45766</v>
      </c>
      <c r="B477" s="25" t="s">
        <v>16</v>
      </c>
      <c r="C477" s="29"/>
      <c r="D477" s="29"/>
      <c r="E477" s="29">
        <f t="shared" si="67"/>
        <v>-2096</v>
      </c>
      <c r="G477" s="79"/>
      <c r="H477" s="63"/>
      <c r="I477" s="27"/>
      <c r="J477" s="28"/>
      <c r="K477" s="43"/>
      <c r="L477" s="29">
        <f t="shared" si="69"/>
        <v>-88</v>
      </c>
      <c r="M477" s="29">
        <f t="shared" si="70"/>
        <v>-88</v>
      </c>
      <c r="O477" s="54"/>
      <c r="Q477" s="273"/>
      <c r="R477" s="259"/>
      <c r="S477" s="260"/>
      <c r="T477" s="261"/>
      <c r="U477" s="262"/>
      <c r="V477" s="263"/>
      <c r="W477" s="263"/>
      <c r="Y477" s="11"/>
    </row>
    <row r="478" spans="1:25" s="12" customFormat="1" hidden="1" outlineLevel="1" collapsed="1">
      <c r="A478" s="95">
        <v>45767</v>
      </c>
      <c r="B478" s="25" t="s">
        <v>17</v>
      </c>
      <c r="C478" s="29"/>
      <c r="D478" s="29"/>
      <c r="E478" s="29">
        <f t="shared" si="67"/>
        <v>-2096</v>
      </c>
      <c r="G478" s="79"/>
      <c r="H478" s="63"/>
      <c r="I478" s="27"/>
      <c r="J478" s="28"/>
      <c r="K478" s="43"/>
      <c r="L478" s="29">
        <f t="shared" si="69"/>
        <v>-88</v>
      </c>
      <c r="M478" s="29">
        <f t="shared" si="70"/>
        <v>-88</v>
      </c>
      <c r="O478" s="54"/>
      <c r="Q478" s="273"/>
      <c r="R478" s="259"/>
      <c r="S478" s="260"/>
      <c r="T478" s="261"/>
      <c r="U478" s="262"/>
      <c r="V478" s="263"/>
      <c r="W478" s="263"/>
      <c r="Y478" s="11"/>
    </row>
    <row r="479" spans="1:25" hidden="1" outlineLevel="1">
      <c r="A479" s="96">
        <v>45768</v>
      </c>
      <c r="B479" s="17" t="s">
        <v>18</v>
      </c>
      <c r="C479" s="23">
        <v>48</v>
      </c>
      <c r="D479" s="23"/>
      <c r="E479" s="23">
        <f t="shared" si="67"/>
        <v>-2144</v>
      </c>
      <c r="G479" s="78">
        <v>48</v>
      </c>
      <c r="H479" s="62">
        <f t="shared" si="68"/>
        <v>48</v>
      </c>
      <c r="I479" s="20"/>
      <c r="J479" s="21"/>
      <c r="K479" s="57">
        <v>48</v>
      </c>
      <c r="L479" s="23">
        <f t="shared" si="69"/>
        <v>-88</v>
      </c>
      <c r="M479" s="23">
        <f t="shared" si="70"/>
        <v>-88</v>
      </c>
      <c r="O479" s="52"/>
      <c r="Q479" s="273"/>
      <c r="R479" s="259"/>
      <c r="S479" s="260"/>
      <c r="T479" s="261"/>
      <c r="U479" s="262"/>
      <c r="V479" s="263"/>
      <c r="W479" s="263"/>
    </row>
    <row r="480" spans="1:25" hidden="1" outlineLevel="1">
      <c r="A480" s="96">
        <v>45769</v>
      </c>
      <c r="B480" s="17" t="s">
        <v>19</v>
      </c>
      <c r="C480" s="23">
        <v>56</v>
      </c>
      <c r="D480" s="23"/>
      <c r="E480" s="23">
        <f t="shared" si="67"/>
        <v>-2200</v>
      </c>
      <c r="G480" s="78">
        <v>56</v>
      </c>
      <c r="H480" s="62">
        <f t="shared" si="68"/>
        <v>56</v>
      </c>
      <c r="I480" s="20"/>
      <c r="J480" s="21"/>
      <c r="K480" s="57">
        <v>48</v>
      </c>
      <c r="L480" s="23">
        <f t="shared" si="69"/>
        <v>-96</v>
      </c>
      <c r="M480" s="23">
        <f t="shared" si="70"/>
        <v>-88</v>
      </c>
      <c r="O480" s="52"/>
      <c r="Q480" s="273"/>
      <c r="R480" s="259"/>
      <c r="S480" s="260"/>
      <c r="T480" s="261"/>
      <c r="U480" s="262"/>
      <c r="V480" s="263"/>
      <c r="W480" s="263"/>
    </row>
    <row r="481" spans="1:27" hidden="1" outlineLevel="1">
      <c r="A481" s="96">
        <v>45770</v>
      </c>
      <c r="B481" s="17" t="s">
        <v>20</v>
      </c>
      <c r="C481" s="23">
        <v>64</v>
      </c>
      <c r="D481" s="23"/>
      <c r="E481" s="23">
        <f t="shared" si="67"/>
        <v>-2264</v>
      </c>
      <c r="G481" s="78">
        <v>0</v>
      </c>
      <c r="H481" s="62">
        <f t="shared" si="68"/>
        <v>48</v>
      </c>
      <c r="I481" s="20"/>
      <c r="J481" s="21"/>
      <c r="K481" s="57">
        <v>56</v>
      </c>
      <c r="L481" s="23">
        <f t="shared" si="69"/>
        <v>-40</v>
      </c>
      <c r="M481" s="23">
        <f t="shared" si="70"/>
        <v>-40</v>
      </c>
      <c r="O481" s="52"/>
      <c r="Q481" s="273"/>
      <c r="R481" s="259"/>
      <c r="S481" s="260"/>
      <c r="T481" s="261"/>
      <c r="U481" s="262"/>
      <c r="V481" s="263"/>
      <c r="W481" s="263"/>
    </row>
    <row r="482" spans="1:27" hidden="1" outlineLevel="1">
      <c r="A482" s="96">
        <v>45771</v>
      </c>
      <c r="B482" s="17" t="s">
        <v>14</v>
      </c>
      <c r="C482" s="23">
        <v>56</v>
      </c>
      <c r="D482" s="23"/>
      <c r="E482" s="23">
        <f t="shared" si="67"/>
        <v>-2320</v>
      </c>
      <c r="G482" s="78">
        <v>8</v>
      </c>
      <c r="H482" s="62">
        <f t="shared" si="68"/>
        <v>56</v>
      </c>
      <c r="I482" s="20"/>
      <c r="J482" s="21"/>
      <c r="K482" s="57">
        <v>56</v>
      </c>
      <c r="L482" s="23">
        <f t="shared" si="69"/>
        <v>8</v>
      </c>
      <c r="M482" s="23">
        <f t="shared" si="70"/>
        <v>8</v>
      </c>
      <c r="O482" s="52"/>
      <c r="Q482" s="273"/>
      <c r="R482" s="259"/>
      <c r="S482" s="260"/>
      <c r="T482" s="261"/>
      <c r="U482" s="262"/>
      <c r="V482" s="263"/>
      <c r="W482" s="263"/>
    </row>
    <row r="483" spans="1:27" hidden="1" outlineLevel="1">
      <c r="A483" s="96">
        <v>45772</v>
      </c>
      <c r="B483" s="17" t="s">
        <v>15</v>
      </c>
      <c r="C483" s="23">
        <v>56</v>
      </c>
      <c r="D483" s="23"/>
      <c r="E483" s="23">
        <f t="shared" si="67"/>
        <v>-2376</v>
      </c>
      <c r="G483" s="78">
        <v>56</v>
      </c>
      <c r="H483" s="62">
        <f t="shared" si="68"/>
        <v>64</v>
      </c>
      <c r="I483" s="20"/>
      <c r="J483" s="21"/>
      <c r="K483" s="57">
        <v>64</v>
      </c>
      <c r="L483" s="23">
        <f t="shared" si="69"/>
        <v>16</v>
      </c>
      <c r="M483" s="23">
        <f t="shared" si="70"/>
        <v>16</v>
      </c>
      <c r="O483" s="52"/>
      <c r="Q483" s="273"/>
      <c r="R483" s="259"/>
      <c r="S483" s="260"/>
      <c r="T483" s="261"/>
      <c r="U483" s="262"/>
      <c r="V483" s="263"/>
      <c r="W483" s="263"/>
      <c r="Y483" s="1">
        <f>AVERAGE(G479:G483)</f>
        <v>33.6</v>
      </c>
    </row>
    <row r="484" spans="1:27" s="12" customFormat="1" hidden="1" outlineLevel="1">
      <c r="A484" s="95">
        <v>45773</v>
      </c>
      <c r="B484" s="25" t="s">
        <v>16</v>
      </c>
      <c r="C484" s="29"/>
      <c r="D484" s="29"/>
      <c r="E484" s="29">
        <f t="shared" si="67"/>
        <v>-2376</v>
      </c>
      <c r="G484" s="79"/>
      <c r="H484" s="63"/>
      <c r="I484" s="27"/>
      <c r="J484" s="28"/>
      <c r="K484" s="43"/>
      <c r="L484" s="29">
        <f t="shared" si="69"/>
        <v>16</v>
      </c>
      <c r="M484" s="29">
        <f t="shared" si="70"/>
        <v>16</v>
      </c>
      <c r="O484" s="54"/>
      <c r="Q484" s="273"/>
      <c r="R484" s="259"/>
      <c r="S484" s="260"/>
      <c r="T484" s="261"/>
      <c r="U484" s="262"/>
      <c r="V484" s="263"/>
      <c r="W484" s="263"/>
      <c r="Y484" s="11"/>
    </row>
    <row r="485" spans="1:27" s="12" customFormat="1" hidden="1" outlineLevel="1">
      <c r="A485" s="95">
        <v>45774</v>
      </c>
      <c r="B485" s="25" t="s">
        <v>17</v>
      </c>
      <c r="C485" s="29"/>
      <c r="D485" s="29"/>
      <c r="E485" s="29">
        <f t="shared" si="67"/>
        <v>-2376</v>
      </c>
      <c r="G485" s="79"/>
      <c r="H485" s="63"/>
      <c r="I485" s="27"/>
      <c r="J485" s="28"/>
      <c r="K485" s="43"/>
      <c r="L485" s="29">
        <f t="shared" si="69"/>
        <v>16</v>
      </c>
      <c r="M485" s="29">
        <f t="shared" si="70"/>
        <v>16</v>
      </c>
      <c r="O485" s="54"/>
      <c r="Q485" s="273"/>
      <c r="R485" s="259"/>
      <c r="S485" s="260"/>
      <c r="T485" s="261"/>
      <c r="U485" s="262"/>
      <c r="V485" s="263"/>
      <c r="W485" s="263"/>
      <c r="Y485" s="11"/>
    </row>
    <row r="486" spans="1:27" hidden="1" outlineLevel="1">
      <c r="A486" s="96">
        <v>45775</v>
      </c>
      <c r="B486" s="17" t="s">
        <v>18</v>
      </c>
      <c r="C486" s="23">
        <v>56</v>
      </c>
      <c r="D486" s="23"/>
      <c r="E486" s="23">
        <f t="shared" si="67"/>
        <v>-2432</v>
      </c>
      <c r="G486" s="78">
        <v>56</v>
      </c>
      <c r="H486" s="62">
        <f t="shared" si="68"/>
        <v>56</v>
      </c>
      <c r="I486" s="20"/>
      <c r="J486" s="21"/>
      <c r="K486" s="57">
        <v>56</v>
      </c>
      <c r="L486" s="23">
        <f t="shared" si="69"/>
        <v>16</v>
      </c>
      <c r="M486" s="23">
        <f t="shared" si="70"/>
        <v>16</v>
      </c>
      <c r="O486" s="52"/>
      <c r="Q486" s="273"/>
      <c r="R486" s="259"/>
      <c r="S486" s="260"/>
      <c r="T486" s="261"/>
      <c r="U486" s="262"/>
      <c r="V486" s="263"/>
      <c r="W486" s="263"/>
    </row>
    <row r="487" spans="1:27" hidden="1" outlineLevel="1">
      <c r="A487" s="96">
        <v>45776</v>
      </c>
      <c r="B487" s="17" t="s">
        <v>19</v>
      </c>
      <c r="C487" s="283">
        <f>40-40</f>
        <v>0</v>
      </c>
      <c r="D487" s="23"/>
      <c r="E487" s="23">
        <f t="shared" si="67"/>
        <v>-2432</v>
      </c>
      <c r="G487" s="78">
        <v>0</v>
      </c>
      <c r="H487" s="62">
        <f t="shared" si="68"/>
        <v>112</v>
      </c>
      <c r="I487" s="20">
        <v>56</v>
      </c>
      <c r="J487" s="21"/>
      <c r="K487" s="57">
        <v>112</v>
      </c>
      <c r="L487" s="23">
        <f t="shared" si="69"/>
        <v>128</v>
      </c>
      <c r="M487" s="23">
        <f t="shared" si="70"/>
        <v>128</v>
      </c>
      <c r="O487" s="52"/>
      <c r="Q487" s="273"/>
      <c r="R487" s="259"/>
      <c r="S487" s="260"/>
      <c r="T487" s="261"/>
      <c r="U487" s="262"/>
      <c r="V487" s="263"/>
      <c r="W487" s="263"/>
    </row>
    <row r="488" spans="1:27" hidden="1" outlineLevel="1">
      <c r="A488" s="96">
        <v>45777</v>
      </c>
      <c r="B488" s="17" t="s">
        <v>20</v>
      </c>
      <c r="C488" s="283"/>
      <c r="D488" s="23"/>
      <c r="E488" s="23">
        <f t="shared" si="67"/>
        <v>-2432</v>
      </c>
      <c r="G488" s="78">
        <v>56</v>
      </c>
      <c r="H488" s="62">
        <f t="shared" si="68"/>
        <v>0</v>
      </c>
      <c r="I488" s="20">
        <v>-56</v>
      </c>
      <c r="J488" s="21"/>
      <c r="K488" s="57">
        <v>0</v>
      </c>
      <c r="L488" s="23">
        <f t="shared" si="69"/>
        <v>72</v>
      </c>
      <c r="M488" s="23">
        <f t="shared" si="70"/>
        <v>72</v>
      </c>
      <c r="O488" s="52"/>
      <c r="Q488" s="273"/>
      <c r="R488" s="259"/>
      <c r="S488" s="260"/>
      <c r="T488" s="261"/>
      <c r="U488" s="262"/>
      <c r="V488" s="263"/>
      <c r="W488" s="263"/>
      <c r="Y488" s="1">
        <f>AVERAGE(G486:G488)</f>
        <v>37.333333333333336</v>
      </c>
    </row>
    <row r="489" spans="1:27" s="12" customFormat="1" hidden="1" outlineLevel="1">
      <c r="A489" s="95">
        <v>45778</v>
      </c>
      <c r="B489" s="25" t="s">
        <v>14</v>
      </c>
      <c r="C489" s="29"/>
      <c r="D489" s="29"/>
      <c r="E489" s="29">
        <f t="shared" si="67"/>
        <v>-2432</v>
      </c>
      <c r="G489" s="79"/>
      <c r="H489" s="63"/>
      <c r="I489" s="27"/>
      <c r="J489" s="28"/>
      <c r="K489" s="43"/>
      <c r="L489" s="29">
        <f t="shared" si="69"/>
        <v>72</v>
      </c>
      <c r="M489" s="29">
        <f t="shared" si="70"/>
        <v>72</v>
      </c>
      <c r="O489" s="54"/>
      <c r="Q489" s="273"/>
      <c r="R489" s="259"/>
      <c r="S489" s="260"/>
      <c r="T489" s="261"/>
      <c r="U489" s="262"/>
      <c r="V489" s="263"/>
      <c r="W489" s="263"/>
      <c r="Y489" s="11"/>
    </row>
    <row r="490" spans="1:27" s="12" customFormat="1" hidden="1" outlineLevel="1">
      <c r="A490" s="95">
        <v>45779</v>
      </c>
      <c r="B490" s="25" t="s">
        <v>15</v>
      </c>
      <c r="C490" s="29"/>
      <c r="D490" s="29"/>
      <c r="E490" s="29">
        <f t="shared" si="67"/>
        <v>-2432</v>
      </c>
      <c r="G490" s="79"/>
      <c r="H490" s="63"/>
      <c r="I490" s="27"/>
      <c r="J490" s="28"/>
      <c r="K490" s="43"/>
      <c r="L490" s="29">
        <f t="shared" si="69"/>
        <v>72</v>
      </c>
      <c r="M490" s="29">
        <f t="shared" si="70"/>
        <v>72</v>
      </c>
      <c r="O490" s="54"/>
      <c r="Q490" s="273"/>
      <c r="R490" s="259"/>
      <c r="S490" s="260"/>
      <c r="T490" s="261"/>
      <c r="U490" s="262"/>
      <c r="V490" s="263"/>
      <c r="W490" s="263"/>
      <c r="Y490" s="11"/>
    </row>
    <row r="491" spans="1:27" s="12" customFormat="1" hidden="1" outlineLevel="1">
      <c r="A491" s="95">
        <v>45780</v>
      </c>
      <c r="B491" s="25" t="s">
        <v>16</v>
      </c>
      <c r="C491" s="29"/>
      <c r="D491" s="29"/>
      <c r="E491" s="29">
        <f t="shared" ref="E491:E522" si="72">E490-C491+D491</f>
        <v>-2432</v>
      </c>
      <c r="G491" s="79"/>
      <c r="H491" s="63"/>
      <c r="I491" s="27"/>
      <c r="J491" s="28"/>
      <c r="K491" s="43"/>
      <c r="L491" s="29">
        <f t="shared" ref="L491:L522" si="73">L490-G491+K491</f>
        <v>72</v>
      </c>
      <c r="M491" s="29">
        <f t="shared" ref="M491:M522" si="74">M490-G491+H491</f>
        <v>72</v>
      </c>
      <c r="O491" s="54"/>
      <c r="Q491" s="273"/>
      <c r="R491" s="259"/>
      <c r="S491" s="260"/>
      <c r="T491" s="261"/>
      <c r="U491" s="262"/>
      <c r="V491" s="263"/>
      <c r="W491" s="263"/>
      <c r="Y491" s="11"/>
    </row>
    <row r="492" spans="1:27" s="12" customFormat="1" hidden="1" outlineLevel="1">
      <c r="A492" s="95">
        <v>45781</v>
      </c>
      <c r="B492" s="25" t="s">
        <v>17</v>
      </c>
      <c r="C492" s="29"/>
      <c r="D492" s="29"/>
      <c r="E492" s="29">
        <f t="shared" si="72"/>
        <v>-2432</v>
      </c>
      <c r="G492" s="79"/>
      <c r="H492" s="63"/>
      <c r="I492" s="27"/>
      <c r="J492" s="28"/>
      <c r="K492" s="43"/>
      <c r="L492" s="29">
        <f t="shared" si="73"/>
        <v>72</v>
      </c>
      <c r="M492" s="29">
        <f t="shared" si="74"/>
        <v>72</v>
      </c>
      <c r="O492" s="54"/>
      <c r="Q492" s="273"/>
      <c r="R492" s="259"/>
      <c r="S492" s="260"/>
      <c r="T492" s="261"/>
      <c r="U492" s="262"/>
      <c r="V492" s="263"/>
      <c r="W492" s="263"/>
      <c r="Y492" s="11"/>
    </row>
    <row r="493" spans="1:27" s="12" customFormat="1" hidden="1" outlineLevel="1" collapsed="1">
      <c r="A493" s="95">
        <v>45782</v>
      </c>
      <c r="B493" s="25" t="s">
        <v>18</v>
      </c>
      <c r="C493" s="29"/>
      <c r="D493" s="29"/>
      <c r="E493" s="29">
        <f t="shared" si="72"/>
        <v>-2432</v>
      </c>
      <c r="G493" s="79"/>
      <c r="H493" s="63"/>
      <c r="I493" s="27"/>
      <c r="J493" s="28"/>
      <c r="K493" s="43"/>
      <c r="L493" s="29">
        <f t="shared" si="73"/>
        <v>72</v>
      </c>
      <c r="M493" s="29">
        <f t="shared" si="74"/>
        <v>72</v>
      </c>
      <c r="O493" s="54"/>
      <c r="Q493" s="273"/>
      <c r="R493" s="259"/>
      <c r="S493" s="260"/>
      <c r="T493" s="261"/>
      <c r="U493" s="262"/>
      <c r="V493" s="263"/>
      <c r="W493" s="263"/>
      <c r="Y493" s="11"/>
    </row>
    <row r="494" spans="1:27" s="12" customFormat="1" hidden="1" outlineLevel="1">
      <c r="A494" s="95">
        <v>45783</v>
      </c>
      <c r="B494" s="25" t="s">
        <v>19</v>
      </c>
      <c r="C494" s="23">
        <v>40</v>
      </c>
      <c r="D494" s="29"/>
      <c r="E494" s="29">
        <f t="shared" si="72"/>
        <v>-2472</v>
      </c>
      <c r="G494" s="79"/>
      <c r="H494" s="63"/>
      <c r="I494" s="27"/>
      <c r="J494" s="28"/>
      <c r="K494" s="43"/>
      <c r="L494" s="29">
        <f t="shared" si="73"/>
        <v>72</v>
      </c>
      <c r="M494" s="29">
        <f t="shared" si="74"/>
        <v>72</v>
      </c>
      <c r="O494" s="54"/>
      <c r="Q494" s="273"/>
      <c r="R494" s="259"/>
      <c r="S494" s="260"/>
      <c r="T494" s="261"/>
      <c r="U494" s="262"/>
      <c r="V494" s="263"/>
      <c r="W494" s="263"/>
      <c r="Y494" s="11"/>
    </row>
    <row r="495" spans="1:27" hidden="1" outlineLevel="1">
      <c r="A495" s="96">
        <v>45784</v>
      </c>
      <c r="B495" s="17" t="s">
        <v>20</v>
      </c>
      <c r="C495" s="23">
        <f>G497-16</f>
        <v>48</v>
      </c>
      <c r="D495" s="23"/>
      <c r="E495" s="23">
        <f t="shared" si="72"/>
        <v>-2520</v>
      </c>
      <c r="G495" s="78">
        <v>56</v>
      </c>
      <c r="H495" s="62">
        <f t="shared" ref="H495:H522" si="75">IF(C493&lt;&gt;"",C493+I495,IF(C491&lt;&gt;"",C491+I495,IF(C490&lt;&gt;"",C490+I495,IF(C489&lt;&gt;"",C489+I495,IF(C488&lt;&gt;"",C488+I495,IF(C487&lt;&gt;"",C487+I495))))))</f>
        <v>0</v>
      </c>
      <c r="I495" s="20"/>
      <c r="J495" s="21"/>
      <c r="K495" s="57">
        <v>0</v>
      </c>
      <c r="L495" s="285">
        <f t="shared" si="73"/>
        <v>16</v>
      </c>
      <c r="M495" s="285">
        <f t="shared" si="74"/>
        <v>16</v>
      </c>
      <c r="O495" s="52"/>
      <c r="Q495" s="273"/>
      <c r="R495" s="259"/>
      <c r="S495" s="260"/>
      <c r="T495" s="261"/>
      <c r="U495" s="262"/>
      <c r="V495" s="263"/>
      <c r="W495" s="263"/>
    </row>
    <row r="496" spans="1:27" hidden="1" outlineLevel="1">
      <c r="A496" s="96">
        <v>45785</v>
      </c>
      <c r="B496" s="17" t="s">
        <v>14</v>
      </c>
      <c r="C496" s="23">
        <f>G500</f>
        <v>40</v>
      </c>
      <c r="D496" s="23"/>
      <c r="E496" s="23">
        <f t="shared" si="72"/>
        <v>-2560</v>
      </c>
      <c r="G496" s="78">
        <v>40</v>
      </c>
      <c r="H496" s="62">
        <f t="shared" si="75"/>
        <v>40</v>
      </c>
      <c r="I496" s="20"/>
      <c r="J496" s="21"/>
      <c r="K496" s="57">
        <v>40</v>
      </c>
      <c r="L496" s="23">
        <f t="shared" si="73"/>
        <v>16</v>
      </c>
      <c r="M496" s="23">
        <f t="shared" si="74"/>
        <v>16</v>
      </c>
      <c r="O496" s="52"/>
      <c r="Q496" s="273"/>
      <c r="R496" s="259"/>
      <c r="S496" s="260"/>
      <c r="T496" s="261"/>
      <c r="U496" s="262"/>
      <c r="V496" s="263"/>
      <c r="W496" s="263"/>
      <c r="AA496" s="1">
        <v>16</v>
      </c>
    </row>
    <row r="497" spans="1:25" hidden="1" outlineLevel="1">
      <c r="A497" s="96">
        <v>45786</v>
      </c>
      <c r="B497" s="17" t="s">
        <v>15</v>
      </c>
      <c r="C497" s="23">
        <f>G501</f>
        <v>56</v>
      </c>
      <c r="D497" s="23"/>
      <c r="E497" s="23">
        <f t="shared" si="72"/>
        <v>-2616</v>
      </c>
      <c r="G497" s="78">
        <v>64</v>
      </c>
      <c r="H497" s="62">
        <f t="shared" si="75"/>
        <v>48</v>
      </c>
      <c r="I497" s="20"/>
      <c r="J497" s="21"/>
      <c r="K497" s="57">
        <v>48</v>
      </c>
      <c r="L497" s="23">
        <f t="shared" si="73"/>
        <v>0</v>
      </c>
      <c r="M497" s="23">
        <f t="shared" si="74"/>
        <v>0</v>
      </c>
      <c r="O497" s="52"/>
      <c r="Q497" s="273"/>
      <c r="R497" s="259"/>
      <c r="S497" s="260"/>
      <c r="T497" s="261"/>
      <c r="U497" s="262"/>
      <c r="V497" s="263"/>
      <c r="W497" s="263"/>
      <c r="Y497" s="1">
        <f>AVERAGE(G495:G497)</f>
        <v>53.333333333333336</v>
      </c>
    </row>
    <row r="498" spans="1:25" s="12" customFormat="1" hidden="1" outlineLevel="1">
      <c r="A498" s="95">
        <v>45787</v>
      </c>
      <c r="B498" s="25" t="s">
        <v>16</v>
      </c>
      <c r="C498" s="29"/>
      <c r="D498" s="29"/>
      <c r="E498" s="29">
        <f t="shared" si="72"/>
        <v>-2616</v>
      </c>
      <c r="G498" s="79"/>
      <c r="H498" s="63"/>
      <c r="I498" s="27"/>
      <c r="J498" s="28"/>
      <c r="K498" s="43"/>
      <c r="L498" s="29">
        <f t="shared" si="73"/>
        <v>0</v>
      </c>
      <c r="M498" s="29">
        <f t="shared" si="74"/>
        <v>0</v>
      </c>
      <c r="O498" s="54"/>
      <c r="Q498" s="273"/>
      <c r="R498" s="259"/>
      <c r="S498" s="260"/>
      <c r="T498" s="261"/>
      <c r="U498" s="262"/>
      <c r="V498" s="263"/>
      <c r="W498" s="263"/>
      <c r="Y498" s="11"/>
    </row>
    <row r="499" spans="1:25" s="12" customFormat="1" hidden="1" outlineLevel="1" collapsed="1">
      <c r="A499" s="95">
        <v>45788</v>
      </c>
      <c r="B499" s="25" t="s">
        <v>17</v>
      </c>
      <c r="C499" s="29"/>
      <c r="D499" s="29"/>
      <c r="E499" s="29">
        <f t="shared" si="72"/>
        <v>-2616</v>
      </c>
      <c r="G499" s="79"/>
      <c r="H499" s="63"/>
      <c r="I499" s="27"/>
      <c r="J499" s="28"/>
      <c r="K499" s="43"/>
      <c r="L499" s="29">
        <f t="shared" si="73"/>
        <v>0</v>
      </c>
      <c r="M499" s="29">
        <f t="shared" si="74"/>
        <v>0</v>
      </c>
      <c r="O499" s="54"/>
      <c r="Q499" s="273"/>
      <c r="R499" s="259"/>
      <c r="S499" s="260"/>
      <c r="T499" s="261"/>
      <c r="U499" s="262"/>
      <c r="V499" s="263"/>
      <c r="W499" s="263"/>
      <c r="Y499" s="11"/>
    </row>
    <row r="500" spans="1:25" hidden="1" outlineLevel="1">
      <c r="A500" s="96">
        <v>45789</v>
      </c>
      <c r="B500" s="17" t="s">
        <v>18</v>
      </c>
      <c r="C500" s="23">
        <f t="shared" ref="C500:C502" si="76">G502</f>
        <v>48</v>
      </c>
      <c r="D500" s="23"/>
      <c r="E500" s="23">
        <f t="shared" si="72"/>
        <v>-2664</v>
      </c>
      <c r="G500" s="78">
        <v>40</v>
      </c>
      <c r="H500" s="62">
        <f t="shared" si="75"/>
        <v>40</v>
      </c>
      <c r="I500" s="20"/>
      <c r="J500" s="21"/>
      <c r="K500" s="57">
        <v>40</v>
      </c>
      <c r="L500" s="23">
        <f t="shared" si="73"/>
        <v>0</v>
      </c>
      <c r="M500" s="23">
        <f t="shared" si="74"/>
        <v>0</v>
      </c>
      <c r="O500" s="52"/>
      <c r="Q500" s="273"/>
      <c r="R500" s="259"/>
      <c r="S500" s="260"/>
      <c r="T500" s="261"/>
      <c r="U500" s="262"/>
      <c r="V500" s="263"/>
      <c r="W500" s="263"/>
    </row>
    <row r="501" spans="1:25" hidden="1" outlineLevel="1">
      <c r="A501" s="96">
        <v>45790</v>
      </c>
      <c r="B501" s="17" t="s">
        <v>19</v>
      </c>
      <c r="C501" s="23">
        <f t="shared" si="76"/>
        <v>48</v>
      </c>
      <c r="D501" s="23"/>
      <c r="E501" s="23">
        <f t="shared" si="72"/>
        <v>-2712</v>
      </c>
      <c r="G501" s="78">
        <v>56</v>
      </c>
      <c r="H501" s="62">
        <f t="shared" si="75"/>
        <v>56</v>
      </c>
      <c r="I501" s="20"/>
      <c r="J501" s="21"/>
      <c r="K501" s="57">
        <v>56</v>
      </c>
      <c r="L501" s="23">
        <f t="shared" si="73"/>
        <v>0</v>
      </c>
      <c r="M501" s="23">
        <f t="shared" si="74"/>
        <v>0</v>
      </c>
      <c r="O501" s="52"/>
      <c r="Q501" s="273"/>
      <c r="R501" s="259"/>
      <c r="S501" s="260"/>
      <c r="T501" s="261"/>
      <c r="U501" s="262"/>
      <c r="V501" s="263"/>
      <c r="W501" s="263"/>
    </row>
    <row r="502" spans="1:25" hidden="1" outlineLevel="1">
      <c r="A502" s="96">
        <v>45791</v>
      </c>
      <c r="B502" s="17" t="s">
        <v>20</v>
      </c>
      <c r="C502" s="23">
        <f t="shared" si="76"/>
        <v>64</v>
      </c>
      <c r="D502" s="23"/>
      <c r="E502" s="23">
        <f t="shared" si="72"/>
        <v>-2776</v>
      </c>
      <c r="G502" s="78">
        <v>48</v>
      </c>
      <c r="H502" s="62">
        <f t="shared" si="75"/>
        <v>48</v>
      </c>
      <c r="I502" s="20"/>
      <c r="J502" s="21"/>
      <c r="K502" s="57">
        <v>48</v>
      </c>
      <c r="L502" s="23">
        <f t="shared" si="73"/>
        <v>0</v>
      </c>
      <c r="M502" s="23">
        <f t="shared" si="74"/>
        <v>0</v>
      </c>
      <c r="O502" s="52"/>
      <c r="Q502" s="273"/>
      <c r="R502" s="259"/>
      <c r="S502" s="260"/>
      <c r="T502" s="261"/>
      <c r="U502" s="262"/>
      <c r="V502" s="263"/>
      <c r="W502" s="263"/>
    </row>
    <row r="503" spans="1:25" hidden="1" outlineLevel="1">
      <c r="A503" s="96">
        <v>45792</v>
      </c>
      <c r="B503" s="17" t="s">
        <v>14</v>
      </c>
      <c r="C503" s="23">
        <f>G507</f>
        <v>48</v>
      </c>
      <c r="D503" s="23"/>
      <c r="E503" s="23">
        <f t="shared" si="72"/>
        <v>-2824</v>
      </c>
      <c r="G503" s="78">
        <v>48</v>
      </c>
      <c r="H503" s="62">
        <f t="shared" si="75"/>
        <v>48</v>
      </c>
      <c r="I503" s="20"/>
      <c r="J503" s="21"/>
      <c r="K503" s="57">
        <v>48</v>
      </c>
      <c r="L503" s="23">
        <f t="shared" si="73"/>
        <v>0</v>
      </c>
      <c r="M503" s="23">
        <f t="shared" si="74"/>
        <v>0</v>
      </c>
      <c r="O503" s="52"/>
      <c r="Q503" s="273"/>
      <c r="R503" s="259"/>
      <c r="S503" s="260"/>
      <c r="T503" s="261"/>
      <c r="U503" s="262"/>
      <c r="V503" s="263"/>
      <c r="W503" s="263"/>
    </row>
    <row r="504" spans="1:25" hidden="1" outlineLevel="1">
      <c r="A504" s="96">
        <v>45793</v>
      </c>
      <c r="B504" s="17" t="s">
        <v>15</v>
      </c>
      <c r="C504" s="23">
        <f>G508</f>
        <v>56</v>
      </c>
      <c r="D504" s="23"/>
      <c r="E504" s="23">
        <f t="shared" si="72"/>
        <v>-2880</v>
      </c>
      <c r="G504" s="78">
        <v>64</v>
      </c>
      <c r="H504" s="62">
        <f t="shared" si="75"/>
        <v>64</v>
      </c>
      <c r="I504" s="20"/>
      <c r="J504" s="21"/>
      <c r="K504" s="57">
        <v>64</v>
      </c>
      <c r="L504" s="23">
        <f t="shared" si="73"/>
        <v>0</v>
      </c>
      <c r="M504" s="23">
        <f t="shared" si="74"/>
        <v>0</v>
      </c>
      <c r="O504" s="52"/>
      <c r="Q504" s="273"/>
      <c r="R504" s="259"/>
      <c r="S504" s="260"/>
      <c r="T504" s="261"/>
      <c r="U504" s="262"/>
      <c r="V504" s="263"/>
      <c r="W504" s="263"/>
      <c r="Y504" s="1">
        <f>AVERAGE(G500:G504)</f>
        <v>51.2</v>
      </c>
    </row>
    <row r="505" spans="1:25" s="12" customFormat="1" hidden="1" outlineLevel="1">
      <c r="A505" s="95">
        <v>45794</v>
      </c>
      <c r="B505" s="25" t="s">
        <v>16</v>
      </c>
      <c r="C505" s="29"/>
      <c r="D505" s="29"/>
      <c r="E505" s="29">
        <f t="shared" si="72"/>
        <v>-2880</v>
      </c>
      <c r="G505" s="79"/>
      <c r="H505" s="63"/>
      <c r="I505" s="27"/>
      <c r="J505" s="28"/>
      <c r="K505" s="43"/>
      <c r="L505" s="29">
        <f t="shared" si="73"/>
        <v>0</v>
      </c>
      <c r="M505" s="29">
        <f t="shared" si="74"/>
        <v>0</v>
      </c>
      <c r="O505" s="54"/>
      <c r="Q505" s="273"/>
      <c r="R505" s="259"/>
      <c r="S505" s="260"/>
      <c r="T505" s="261"/>
      <c r="U505" s="262"/>
      <c r="V505" s="263"/>
      <c r="W505" s="263"/>
      <c r="Y505" s="11"/>
    </row>
    <row r="506" spans="1:25" s="12" customFormat="1" hidden="1" outlineLevel="1" collapsed="1">
      <c r="A506" s="95">
        <v>45795</v>
      </c>
      <c r="B506" s="25" t="s">
        <v>17</v>
      </c>
      <c r="C506" s="29"/>
      <c r="D506" s="29"/>
      <c r="E506" s="29">
        <f t="shared" si="72"/>
        <v>-2880</v>
      </c>
      <c r="G506" s="79"/>
      <c r="H506" s="63"/>
      <c r="I506" s="27"/>
      <c r="J506" s="28"/>
      <c r="K506" s="43"/>
      <c r="L506" s="29">
        <f t="shared" si="73"/>
        <v>0</v>
      </c>
      <c r="M506" s="29">
        <f t="shared" si="74"/>
        <v>0</v>
      </c>
      <c r="O506" s="54"/>
      <c r="Q506" s="273"/>
      <c r="R506" s="259"/>
      <c r="S506" s="260"/>
      <c r="T506" s="261"/>
      <c r="U506" s="262"/>
      <c r="V506" s="263"/>
      <c r="W506" s="263"/>
      <c r="Y506" s="11"/>
    </row>
    <row r="507" spans="1:25" hidden="1" outlineLevel="1">
      <c r="A507" s="96">
        <v>45796</v>
      </c>
      <c r="B507" s="17" t="s">
        <v>18</v>
      </c>
      <c r="C507" s="23">
        <f t="shared" ref="C507:C509" si="77">G509</f>
        <v>48</v>
      </c>
      <c r="D507" s="23"/>
      <c r="E507" s="23">
        <f t="shared" si="72"/>
        <v>-2928</v>
      </c>
      <c r="G507" s="78">
        <v>48</v>
      </c>
      <c r="H507" s="62">
        <f t="shared" si="75"/>
        <v>48</v>
      </c>
      <c r="I507" s="20"/>
      <c r="J507" s="21"/>
      <c r="K507" s="57">
        <v>48</v>
      </c>
      <c r="L507" s="23">
        <f t="shared" si="73"/>
        <v>0</v>
      </c>
      <c r="M507" s="23">
        <f t="shared" si="74"/>
        <v>0</v>
      </c>
      <c r="O507" s="52"/>
      <c r="Q507" s="273"/>
      <c r="R507" s="259"/>
      <c r="S507" s="260"/>
      <c r="T507" s="261"/>
      <c r="U507" s="262"/>
      <c r="V507" s="263"/>
      <c r="W507" s="263"/>
    </row>
    <row r="508" spans="1:25" hidden="1" outlineLevel="1">
      <c r="A508" s="96">
        <v>45797</v>
      </c>
      <c r="B508" s="17" t="s">
        <v>19</v>
      </c>
      <c r="C508" s="23">
        <f t="shared" si="77"/>
        <v>64</v>
      </c>
      <c r="D508" s="23"/>
      <c r="E508" s="23">
        <f t="shared" si="72"/>
        <v>-2992</v>
      </c>
      <c r="G508" s="78">
        <v>56</v>
      </c>
      <c r="H508" s="62">
        <f t="shared" si="75"/>
        <v>56</v>
      </c>
      <c r="I508" s="20"/>
      <c r="J508" s="21"/>
      <c r="K508" s="57">
        <v>56</v>
      </c>
      <c r="L508" s="23">
        <f t="shared" si="73"/>
        <v>0</v>
      </c>
      <c r="M508" s="23">
        <f t="shared" si="74"/>
        <v>0</v>
      </c>
      <c r="O508" s="52"/>
      <c r="Q508" s="273"/>
      <c r="R508" s="259"/>
      <c r="S508" s="260"/>
      <c r="T508" s="261"/>
      <c r="U508" s="262"/>
      <c r="V508" s="263"/>
      <c r="W508" s="263"/>
    </row>
    <row r="509" spans="1:25" hidden="1" outlineLevel="1">
      <c r="A509" s="96">
        <v>45798</v>
      </c>
      <c r="B509" s="17" t="s">
        <v>20</v>
      </c>
      <c r="C509" s="23">
        <f t="shared" si="77"/>
        <v>24</v>
      </c>
      <c r="D509" s="23"/>
      <c r="E509" s="23">
        <f t="shared" si="72"/>
        <v>-3016</v>
      </c>
      <c r="G509" s="78">
        <v>48</v>
      </c>
      <c r="H509" s="62">
        <f t="shared" si="75"/>
        <v>48</v>
      </c>
      <c r="I509" s="20"/>
      <c r="J509" s="21"/>
      <c r="K509" s="57">
        <v>48</v>
      </c>
      <c r="L509" s="23">
        <f t="shared" si="73"/>
        <v>0</v>
      </c>
      <c r="M509" s="23">
        <f t="shared" si="74"/>
        <v>0</v>
      </c>
      <c r="O509" s="52"/>
      <c r="Q509" s="273"/>
      <c r="R509" s="259"/>
      <c r="S509" s="260"/>
      <c r="T509" s="261"/>
      <c r="U509" s="262"/>
      <c r="V509" s="263"/>
      <c r="W509" s="263"/>
    </row>
    <row r="510" spans="1:25" hidden="1" outlineLevel="1">
      <c r="A510" s="96">
        <v>45799</v>
      </c>
      <c r="B510" s="17" t="s">
        <v>14</v>
      </c>
      <c r="C510" s="23">
        <f>G514</f>
        <v>0</v>
      </c>
      <c r="D510" s="23"/>
      <c r="E510" s="23">
        <f t="shared" si="72"/>
        <v>-3016</v>
      </c>
      <c r="G510" s="78">
        <v>64</v>
      </c>
      <c r="H510" s="62">
        <f t="shared" si="75"/>
        <v>64</v>
      </c>
      <c r="I510" s="20"/>
      <c r="J510" s="21"/>
      <c r="K510" s="57">
        <v>64</v>
      </c>
      <c r="L510" s="23">
        <f t="shared" si="73"/>
        <v>0</v>
      </c>
      <c r="M510" s="23">
        <f t="shared" si="74"/>
        <v>0</v>
      </c>
      <c r="O510" s="52"/>
      <c r="Q510" s="273"/>
      <c r="R510" s="259"/>
      <c r="S510" s="260"/>
      <c r="T510" s="261"/>
      <c r="U510" s="262"/>
      <c r="V510" s="263"/>
      <c r="W510" s="263"/>
    </row>
    <row r="511" spans="1:25" hidden="1" outlineLevel="1">
      <c r="A511" s="96">
        <v>45800</v>
      </c>
      <c r="B511" s="17" t="s">
        <v>15</v>
      </c>
      <c r="C511" s="23">
        <f>G515</f>
        <v>48</v>
      </c>
      <c r="D511" s="23"/>
      <c r="E511" s="23">
        <f t="shared" si="72"/>
        <v>-3064</v>
      </c>
      <c r="G511" s="78">
        <v>24</v>
      </c>
      <c r="H511" s="62">
        <f t="shared" si="75"/>
        <v>24</v>
      </c>
      <c r="I511" s="20"/>
      <c r="J511" s="21"/>
      <c r="K511" s="57">
        <v>0</v>
      </c>
      <c r="L511" s="23">
        <f t="shared" si="73"/>
        <v>-24</v>
      </c>
      <c r="M511" s="23">
        <f t="shared" si="74"/>
        <v>0</v>
      </c>
      <c r="O511" s="52"/>
      <c r="Q511" s="273"/>
      <c r="R511" s="259"/>
      <c r="S511" s="260"/>
      <c r="T511" s="261"/>
      <c r="U511" s="262"/>
      <c r="V511" s="263"/>
      <c r="W511" s="263"/>
      <c r="Y511" s="1">
        <f>AVERAGE(G507:G511)</f>
        <v>48</v>
      </c>
    </row>
    <row r="512" spans="1:25" s="12" customFormat="1" hidden="1" outlineLevel="1">
      <c r="A512" s="95">
        <v>45801</v>
      </c>
      <c r="B512" s="25" t="s">
        <v>16</v>
      </c>
      <c r="C512" s="29"/>
      <c r="D512" s="29"/>
      <c r="E512" s="29">
        <f t="shared" si="72"/>
        <v>-3064</v>
      </c>
      <c r="G512" s="64"/>
      <c r="H512" s="63"/>
      <c r="I512" s="27"/>
      <c r="J512" s="28"/>
      <c r="K512" s="43"/>
      <c r="L512" s="29">
        <f t="shared" si="73"/>
        <v>-24</v>
      </c>
      <c r="M512" s="29">
        <f t="shared" si="74"/>
        <v>0</v>
      </c>
      <c r="O512" s="54"/>
      <c r="Q512" s="304"/>
      <c r="R512" s="259"/>
      <c r="S512" s="260"/>
      <c r="T512" s="261"/>
      <c r="U512" s="262"/>
      <c r="V512" s="263"/>
      <c r="W512" s="263"/>
      <c r="Y512" s="11"/>
    </row>
    <row r="513" spans="1:25" s="12" customFormat="1" hidden="1" outlineLevel="1" collapsed="1">
      <c r="A513" s="95">
        <v>45802</v>
      </c>
      <c r="B513" s="25" t="s">
        <v>17</v>
      </c>
      <c r="C513" s="29"/>
      <c r="D513" s="29"/>
      <c r="E513" s="29">
        <f t="shared" si="72"/>
        <v>-3064</v>
      </c>
      <c r="G513" s="64"/>
      <c r="H513" s="63"/>
      <c r="I513" s="27"/>
      <c r="J513" s="28"/>
      <c r="K513" s="43"/>
      <c r="L513" s="29">
        <f t="shared" si="73"/>
        <v>-24</v>
      </c>
      <c r="M513" s="29">
        <f t="shared" si="74"/>
        <v>0</v>
      </c>
      <c r="O513" s="54"/>
      <c r="Q513" s="304"/>
      <c r="R513" s="259"/>
      <c r="S513" s="260"/>
      <c r="T513" s="261"/>
      <c r="U513" s="262"/>
      <c r="V513" s="263"/>
      <c r="W513" s="263"/>
      <c r="Y513" s="11"/>
    </row>
    <row r="514" spans="1:25" hidden="1" outlineLevel="1">
      <c r="A514" s="96">
        <v>45803</v>
      </c>
      <c r="B514" s="17" t="s">
        <v>18</v>
      </c>
      <c r="C514" s="136">
        <f t="shared" ref="C514:C516" si="78">G516</f>
        <v>32</v>
      </c>
      <c r="D514" s="23"/>
      <c r="E514" s="23">
        <f t="shared" si="72"/>
        <v>-3096</v>
      </c>
      <c r="G514" s="78">
        <v>0</v>
      </c>
      <c r="H514" s="62">
        <f t="shared" si="75"/>
        <v>0</v>
      </c>
      <c r="I514" s="20"/>
      <c r="J514" s="21"/>
      <c r="K514" s="57">
        <v>24</v>
      </c>
      <c r="L514" s="23">
        <f t="shared" si="73"/>
        <v>0</v>
      </c>
      <c r="M514" s="23">
        <f t="shared" si="74"/>
        <v>0</v>
      </c>
      <c r="O514" s="52"/>
      <c r="Q514" s="273"/>
      <c r="R514" s="259"/>
      <c r="S514" s="260"/>
      <c r="T514" s="261"/>
      <c r="U514" s="262"/>
      <c r="V514" s="263"/>
      <c r="W514" s="263"/>
    </row>
    <row r="515" spans="1:25" hidden="1" outlineLevel="1">
      <c r="A515" s="96">
        <v>45804</v>
      </c>
      <c r="B515" s="17" t="s">
        <v>19</v>
      </c>
      <c r="C515" s="136">
        <f t="shared" si="78"/>
        <v>48</v>
      </c>
      <c r="D515" s="23"/>
      <c r="E515" s="23">
        <f t="shared" si="72"/>
        <v>-3144</v>
      </c>
      <c r="G515" s="78">
        <v>48</v>
      </c>
      <c r="H515" s="62">
        <f t="shared" si="75"/>
        <v>48</v>
      </c>
      <c r="I515" s="20"/>
      <c r="J515" s="21"/>
      <c r="K515" s="57">
        <v>48</v>
      </c>
      <c r="L515" s="23">
        <f t="shared" si="73"/>
        <v>0</v>
      </c>
      <c r="M515" s="23">
        <f t="shared" si="74"/>
        <v>0</v>
      </c>
      <c r="O515" s="52"/>
      <c r="Q515" s="273"/>
      <c r="R515" s="259"/>
      <c r="S515" s="260"/>
      <c r="T515" s="261"/>
      <c r="U515" s="262"/>
      <c r="V515" s="263"/>
      <c r="W515" s="263"/>
    </row>
    <row r="516" spans="1:25" hidden="1" outlineLevel="1">
      <c r="A516" s="96">
        <v>45805</v>
      </c>
      <c r="B516" s="17" t="s">
        <v>20</v>
      </c>
      <c r="C516" s="136">
        <f t="shared" si="78"/>
        <v>0</v>
      </c>
      <c r="D516" s="23"/>
      <c r="E516" s="23">
        <f t="shared" si="72"/>
        <v>-3144</v>
      </c>
      <c r="G516" s="78">
        <v>32</v>
      </c>
      <c r="H516" s="62">
        <f t="shared" si="75"/>
        <v>32</v>
      </c>
      <c r="I516" s="20"/>
      <c r="J516" s="21"/>
      <c r="K516" s="57">
        <v>32</v>
      </c>
      <c r="L516" s="23">
        <f t="shared" si="73"/>
        <v>0</v>
      </c>
      <c r="M516" s="23">
        <f t="shared" si="74"/>
        <v>0</v>
      </c>
      <c r="O516" s="52"/>
      <c r="Q516" s="273"/>
      <c r="R516" s="259"/>
      <c r="S516" s="260"/>
      <c r="T516" s="261"/>
      <c r="U516" s="262"/>
      <c r="V516" s="263"/>
      <c r="W516" s="263"/>
    </row>
    <row r="517" spans="1:25" hidden="1" outlineLevel="1">
      <c r="A517" s="96">
        <v>45806</v>
      </c>
      <c r="B517" s="17" t="s">
        <v>14</v>
      </c>
      <c r="C517" s="136">
        <f>G521</f>
        <v>32</v>
      </c>
      <c r="D517" s="23"/>
      <c r="E517" s="23">
        <f t="shared" si="72"/>
        <v>-3176</v>
      </c>
      <c r="G517" s="78">
        <v>48</v>
      </c>
      <c r="H517" s="62">
        <f t="shared" si="75"/>
        <v>48</v>
      </c>
      <c r="I517" s="20"/>
      <c r="J517" s="21"/>
      <c r="K517" s="57">
        <v>48</v>
      </c>
      <c r="L517" s="23">
        <f t="shared" si="73"/>
        <v>0</v>
      </c>
      <c r="M517" s="23">
        <f t="shared" si="74"/>
        <v>0</v>
      </c>
      <c r="O517" s="52"/>
      <c r="Q517" s="273"/>
      <c r="R517" s="259"/>
      <c r="S517" s="260"/>
      <c r="T517" s="261"/>
      <c r="U517" s="262"/>
      <c r="V517" s="263"/>
      <c r="W517" s="263"/>
    </row>
    <row r="518" spans="1:25" hidden="1" outlineLevel="1">
      <c r="A518" s="96">
        <v>45807</v>
      </c>
      <c r="B518" s="17" t="s">
        <v>15</v>
      </c>
      <c r="C518" s="136">
        <f>G522</f>
        <v>48</v>
      </c>
      <c r="D518" s="23"/>
      <c r="E518" s="23">
        <f t="shared" si="72"/>
        <v>-3224</v>
      </c>
      <c r="G518" s="297">
        <v>0</v>
      </c>
      <c r="H518" s="77">
        <f t="shared" si="75"/>
        <v>0</v>
      </c>
      <c r="I518" s="289"/>
      <c r="J518" s="290"/>
      <c r="K518" s="291"/>
      <c r="L518" s="23">
        <f t="shared" si="73"/>
        <v>0</v>
      </c>
      <c r="M518" s="23">
        <f t="shared" si="74"/>
        <v>0</v>
      </c>
      <c r="O518" s="52"/>
      <c r="Q518" s="273"/>
      <c r="R518" s="259"/>
      <c r="S518" s="260"/>
      <c r="T518" s="261"/>
      <c r="U518" s="262"/>
      <c r="V518" s="263"/>
      <c r="W518" s="263"/>
      <c r="Y518" s="1">
        <f>AVERAGE(G514:G518)</f>
        <v>25.6</v>
      </c>
    </row>
    <row r="519" spans="1:25" s="12" customFormat="1" hidden="1" outlineLevel="1">
      <c r="A519" s="95">
        <v>45808</v>
      </c>
      <c r="B519" s="25" t="s">
        <v>16</v>
      </c>
      <c r="C519" s="29"/>
      <c r="D519" s="29"/>
      <c r="E519" s="29">
        <f t="shared" si="72"/>
        <v>-3224</v>
      </c>
      <c r="G519" s="79"/>
      <c r="H519" s="63"/>
      <c r="I519" s="27"/>
      <c r="J519" s="28"/>
      <c r="K519" s="43"/>
      <c r="L519" s="29">
        <f t="shared" si="73"/>
        <v>0</v>
      </c>
      <c r="M519" s="29">
        <f t="shared" si="74"/>
        <v>0</v>
      </c>
      <c r="O519" s="54"/>
      <c r="Q519" s="273"/>
      <c r="R519" s="259"/>
      <c r="S519" s="260"/>
      <c r="T519" s="261"/>
      <c r="U519" s="262"/>
      <c r="V519" s="263"/>
      <c r="W519" s="263"/>
      <c r="Y519" s="11"/>
    </row>
    <row r="520" spans="1:25" s="12" customFormat="1" hidden="1" outlineLevel="1" collapsed="1">
      <c r="A520" s="95">
        <v>45809</v>
      </c>
      <c r="B520" s="25" t="s">
        <v>17</v>
      </c>
      <c r="C520" s="29"/>
      <c r="D520" s="29"/>
      <c r="E520" s="29">
        <f t="shared" si="72"/>
        <v>-3224</v>
      </c>
      <c r="G520" s="79"/>
      <c r="H520" s="63"/>
      <c r="I520" s="27"/>
      <c r="J520" s="28"/>
      <c r="K520" s="43"/>
      <c r="L520" s="29">
        <f t="shared" si="73"/>
        <v>0</v>
      </c>
      <c r="M520" s="29">
        <f t="shared" si="74"/>
        <v>0</v>
      </c>
      <c r="O520" s="54"/>
      <c r="Q520" s="273"/>
      <c r="R520" s="259"/>
      <c r="S520" s="260"/>
      <c r="T520" s="261"/>
      <c r="U520" s="262"/>
      <c r="V520" s="263"/>
      <c r="W520" s="263"/>
      <c r="Y520" s="11"/>
    </row>
    <row r="521" spans="1:25" hidden="1" outlineLevel="1">
      <c r="A521" s="96">
        <v>45810</v>
      </c>
      <c r="B521" s="17" t="s">
        <v>18</v>
      </c>
      <c r="C521" s="23">
        <f t="shared" ref="C521:C523" si="79">G523</f>
        <v>32</v>
      </c>
      <c r="D521" s="23"/>
      <c r="E521" s="23">
        <f t="shared" si="72"/>
        <v>-3256</v>
      </c>
      <c r="G521" s="78">
        <v>32</v>
      </c>
      <c r="H521" s="62">
        <f t="shared" si="75"/>
        <v>32</v>
      </c>
      <c r="I521" s="20"/>
      <c r="J521" s="21"/>
      <c r="K521" s="57">
        <v>32</v>
      </c>
      <c r="L521" s="23">
        <f t="shared" si="73"/>
        <v>0</v>
      </c>
      <c r="M521" s="23">
        <f t="shared" si="74"/>
        <v>0</v>
      </c>
      <c r="O521" s="52"/>
      <c r="Q521" s="273"/>
      <c r="R521" s="259"/>
      <c r="S521" s="260"/>
      <c r="T521" s="261"/>
      <c r="U521" s="262"/>
      <c r="V521" s="263"/>
      <c r="W521" s="263"/>
    </row>
    <row r="522" spans="1:25" hidden="1" outlineLevel="1">
      <c r="A522" s="96">
        <v>45811</v>
      </c>
      <c r="B522" s="17" t="s">
        <v>19</v>
      </c>
      <c r="C522" s="23">
        <f t="shared" si="79"/>
        <v>32</v>
      </c>
      <c r="D522" s="23"/>
      <c r="E522" s="23">
        <f t="shared" si="72"/>
        <v>-3288</v>
      </c>
      <c r="G522" s="78">
        <v>48</v>
      </c>
      <c r="H522" s="62">
        <f t="shared" si="75"/>
        <v>48</v>
      </c>
      <c r="I522" s="20"/>
      <c r="J522" s="21"/>
      <c r="K522" s="57">
        <v>48</v>
      </c>
      <c r="L522" s="23">
        <f t="shared" si="73"/>
        <v>0</v>
      </c>
      <c r="M522" s="23">
        <f t="shared" si="74"/>
        <v>0</v>
      </c>
      <c r="O522" s="52"/>
      <c r="Q522" s="273"/>
      <c r="R522" s="259"/>
      <c r="S522" s="260"/>
      <c r="T522" s="261"/>
      <c r="U522" s="262"/>
      <c r="V522" s="263"/>
      <c r="W522" s="263"/>
    </row>
    <row r="523" spans="1:25" hidden="1" outlineLevel="1">
      <c r="A523" s="96">
        <v>45812</v>
      </c>
      <c r="B523" s="17" t="s">
        <v>20</v>
      </c>
      <c r="C523" s="23">
        <f t="shared" si="79"/>
        <v>48</v>
      </c>
      <c r="D523" s="23"/>
      <c r="E523" s="23">
        <f t="shared" ref="E523:E554" si="80">E522-C523+D523</f>
        <v>-3336</v>
      </c>
      <c r="G523" s="78">
        <v>32</v>
      </c>
      <c r="H523" s="62">
        <f t="shared" ref="H523:H553" si="81">IF(C521&lt;&gt;"",C521+I523,IF(C519&lt;&gt;"",C519+I523,IF(C518&lt;&gt;"",C518+I523,IF(C517&lt;&gt;"",C517+I523,IF(C516&lt;&gt;"",C516+I523,IF(C515&lt;&gt;"",C515+I523))))))</f>
        <v>32</v>
      </c>
      <c r="I523" s="20"/>
      <c r="J523" s="21"/>
      <c r="K523" s="57">
        <v>32</v>
      </c>
      <c r="L523" s="23">
        <f t="shared" ref="L523:L554" si="82">L522-G523+K523</f>
        <v>0</v>
      </c>
      <c r="M523" s="23">
        <f t="shared" ref="M523:M554" si="83">M522-G523+H523</f>
        <v>0</v>
      </c>
      <c r="O523" s="52"/>
      <c r="Q523" s="273"/>
      <c r="R523" s="259"/>
      <c r="S523" s="260"/>
      <c r="T523" s="261"/>
      <c r="U523" s="262"/>
      <c r="V523" s="263"/>
      <c r="W523" s="263"/>
    </row>
    <row r="524" spans="1:25" hidden="1" outlineLevel="1">
      <c r="A524" s="96">
        <v>45813</v>
      </c>
      <c r="B524" s="17" t="s">
        <v>14</v>
      </c>
      <c r="C524" s="23">
        <f>G528</f>
        <v>32</v>
      </c>
      <c r="D524" s="23"/>
      <c r="E524" s="23">
        <f t="shared" si="80"/>
        <v>-3368</v>
      </c>
      <c r="G524" s="78">
        <v>32</v>
      </c>
      <c r="H524" s="62">
        <f t="shared" si="81"/>
        <v>32</v>
      </c>
      <c r="I524" s="20"/>
      <c r="J524" s="21"/>
      <c r="K524" s="57">
        <v>48</v>
      </c>
      <c r="L524" s="23">
        <f t="shared" si="82"/>
        <v>16</v>
      </c>
      <c r="M524" s="23">
        <f t="shared" si="83"/>
        <v>0</v>
      </c>
      <c r="O524" s="52"/>
      <c r="Q524" s="273"/>
      <c r="R524" s="259"/>
      <c r="S524" s="260"/>
      <c r="T524" s="261"/>
      <c r="U524" s="262"/>
      <c r="V524" s="263"/>
      <c r="W524" s="263"/>
    </row>
    <row r="525" spans="1:25" hidden="1" outlineLevel="1">
      <c r="A525" s="96">
        <v>45814</v>
      </c>
      <c r="B525" s="17" t="s">
        <v>15</v>
      </c>
      <c r="C525" s="23">
        <f>G529</f>
        <v>40</v>
      </c>
      <c r="D525" s="23"/>
      <c r="E525" s="23">
        <f t="shared" si="80"/>
        <v>-3408</v>
      </c>
      <c r="G525" s="78">
        <v>48</v>
      </c>
      <c r="H525" s="62">
        <f t="shared" si="81"/>
        <v>48</v>
      </c>
      <c r="I525" s="20"/>
      <c r="J525" s="21"/>
      <c r="K525" s="57">
        <v>48</v>
      </c>
      <c r="L525" s="23">
        <f t="shared" si="82"/>
        <v>16</v>
      </c>
      <c r="M525" s="23">
        <f t="shared" si="83"/>
        <v>0</v>
      </c>
      <c r="O525" s="52"/>
      <c r="Q525" s="273"/>
      <c r="R525" s="259"/>
      <c r="S525" s="260"/>
      <c r="T525" s="261"/>
      <c r="U525" s="262"/>
      <c r="V525" s="263"/>
      <c r="W525" s="263"/>
      <c r="Y525" s="1">
        <f>AVERAGE(G521:G525)</f>
        <v>38.4</v>
      </c>
    </row>
    <row r="526" spans="1:25" s="12" customFormat="1" hidden="1" outlineLevel="1">
      <c r="A526" s="95">
        <v>45815</v>
      </c>
      <c r="B526" s="25" t="s">
        <v>16</v>
      </c>
      <c r="C526" s="29"/>
      <c r="D526" s="29"/>
      <c r="E526" s="29">
        <f t="shared" si="80"/>
        <v>-3408</v>
      </c>
      <c r="G526" s="79"/>
      <c r="H526" s="63"/>
      <c r="I526" s="27"/>
      <c r="J526" s="28"/>
      <c r="K526" s="43"/>
      <c r="L526" s="29">
        <f t="shared" si="82"/>
        <v>16</v>
      </c>
      <c r="M526" s="29">
        <f t="shared" si="83"/>
        <v>0</v>
      </c>
      <c r="O526" s="54"/>
      <c r="Q526" s="273"/>
      <c r="R526" s="259"/>
      <c r="S526" s="260"/>
      <c r="T526" s="261"/>
      <c r="U526" s="262"/>
      <c r="V526" s="263"/>
      <c r="W526" s="263"/>
      <c r="Y526" s="11"/>
    </row>
    <row r="527" spans="1:25" s="12" customFormat="1" hidden="1" outlineLevel="1" collapsed="1">
      <c r="A527" s="95">
        <v>45816</v>
      </c>
      <c r="B527" s="25" t="s">
        <v>17</v>
      </c>
      <c r="C527" s="29"/>
      <c r="D527" s="29"/>
      <c r="E527" s="29">
        <f t="shared" si="80"/>
        <v>-3408</v>
      </c>
      <c r="G527" s="79"/>
      <c r="H527" s="63"/>
      <c r="I527" s="27"/>
      <c r="J527" s="28"/>
      <c r="K527" s="43"/>
      <c r="L527" s="29">
        <f t="shared" si="82"/>
        <v>16</v>
      </c>
      <c r="M527" s="29">
        <f t="shared" si="83"/>
        <v>0</v>
      </c>
      <c r="O527" s="54"/>
      <c r="Q527" s="273"/>
      <c r="R527" s="259"/>
      <c r="S527" s="260"/>
      <c r="T527" s="261"/>
      <c r="U527" s="262"/>
      <c r="V527" s="263"/>
      <c r="W527" s="263"/>
      <c r="Y527" s="11"/>
    </row>
    <row r="528" spans="1:25" hidden="1" outlineLevel="1">
      <c r="A528" s="96">
        <v>45817</v>
      </c>
      <c r="B528" s="17" t="s">
        <v>18</v>
      </c>
      <c r="C528" s="23">
        <f t="shared" ref="C528:C530" si="84">G530</f>
        <v>40</v>
      </c>
      <c r="D528" s="23"/>
      <c r="E528" s="23">
        <f t="shared" si="80"/>
        <v>-3448</v>
      </c>
      <c r="G528" s="78">
        <v>32</v>
      </c>
      <c r="H528" s="62">
        <f t="shared" si="81"/>
        <v>32</v>
      </c>
      <c r="I528" s="20"/>
      <c r="J528" s="21"/>
      <c r="K528" s="57">
        <v>16</v>
      </c>
      <c r="L528" s="23">
        <f t="shared" si="82"/>
        <v>0</v>
      </c>
      <c r="M528" s="23">
        <f t="shared" si="83"/>
        <v>0</v>
      </c>
      <c r="O528" s="52"/>
      <c r="Q528" s="273"/>
      <c r="R528" s="259"/>
      <c r="S528" s="260"/>
      <c r="T528" s="261"/>
      <c r="U528" s="262"/>
      <c r="V528" s="263"/>
      <c r="W528" s="263"/>
    </row>
    <row r="529" spans="1:25" hidden="1" outlineLevel="1">
      <c r="A529" s="96">
        <v>45818</v>
      </c>
      <c r="B529" s="17" t="s">
        <v>19</v>
      </c>
      <c r="C529" s="23">
        <f t="shared" si="84"/>
        <v>32</v>
      </c>
      <c r="D529" s="23"/>
      <c r="E529" s="23">
        <f t="shared" si="80"/>
        <v>-3480</v>
      </c>
      <c r="G529" s="78">
        <v>40</v>
      </c>
      <c r="H529" s="62">
        <f t="shared" si="81"/>
        <v>40</v>
      </c>
      <c r="I529" s="20"/>
      <c r="J529" s="21"/>
      <c r="K529" s="57">
        <v>40</v>
      </c>
      <c r="L529" s="23">
        <f t="shared" si="82"/>
        <v>0</v>
      </c>
      <c r="M529" s="23">
        <f t="shared" si="83"/>
        <v>0</v>
      </c>
      <c r="O529" s="52"/>
      <c r="Q529" s="273"/>
      <c r="R529" s="259"/>
      <c r="S529" s="260"/>
      <c r="T529" s="261"/>
      <c r="U529" s="262"/>
      <c r="V529" s="263"/>
      <c r="W529" s="263"/>
    </row>
    <row r="530" spans="1:25" hidden="1" outlineLevel="1">
      <c r="A530" s="96">
        <v>45819</v>
      </c>
      <c r="B530" s="17" t="s">
        <v>20</v>
      </c>
      <c r="C530" s="23">
        <f t="shared" si="84"/>
        <v>48</v>
      </c>
      <c r="D530" s="23"/>
      <c r="E530" s="23">
        <f t="shared" si="80"/>
        <v>-3528</v>
      </c>
      <c r="G530" s="78">
        <v>40</v>
      </c>
      <c r="H530" s="62">
        <f t="shared" si="81"/>
        <v>40</v>
      </c>
      <c r="I530" s="20"/>
      <c r="J530" s="21"/>
      <c r="K530" s="57">
        <v>40</v>
      </c>
      <c r="L530" s="23">
        <f t="shared" si="82"/>
        <v>0</v>
      </c>
      <c r="M530" s="23">
        <f t="shared" si="83"/>
        <v>0</v>
      </c>
      <c r="O530" s="52"/>
      <c r="Q530" s="273"/>
      <c r="R530" s="259"/>
      <c r="S530" s="260"/>
      <c r="T530" s="261"/>
      <c r="U530" s="262"/>
      <c r="V530" s="263"/>
      <c r="W530" s="263"/>
    </row>
    <row r="531" spans="1:25" hidden="1" outlineLevel="1">
      <c r="A531" s="96">
        <v>45820</v>
      </c>
      <c r="B531" s="17" t="s">
        <v>14</v>
      </c>
      <c r="C531" s="23">
        <f>G535</f>
        <v>40</v>
      </c>
      <c r="D531" s="23"/>
      <c r="E531" s="23">
        <f t="shared" si="80"/>
        <v>-3568</v>
      </c>
      <c r="G531" s="78">
        <v>32</v>
      </c>
      <c r="H531" s="62">
        <f t="shared" si="81"/>
        <v>32</v>
      </c>
      <c r="I531" s="20"/>
      <c r="J531" s="21"/>
      <c r="K531" s="57">
        <v>32</v>
      </c>
      <c r="L531" s="23">
        <f t="shared" si="82"/>
        <v>0</v>
      </c>
      <c r="M531" s="23">
        <f t="shared" si="83"/>
        <v>0</v>
      </c>
      <c r="O531" s="52"/>
      <c r="Q531" s="273"/>
      <c r="R531" s="259"/>
      <c r="S531" s="260"/>
      <c r="T531" s="261"/>
      <c r="U531" s="262"/>
      <c r="V531" s="263"/>
      <c r="W531" s="263"/>
    </row>
    <row r="532" spans="1:25" hidden="1" outlineLevel="1">
      <c r="A532" s="96">
        <v>45821</v>
      </c>
      <c r="B532" s="17" t="s">
        <v>15</v>
      </c>
      <c r="C532" s="195">
        <f>G536-16</f>
        <v>48</v>
      </c>
      <c r="D532" s="23"/>
      <c r="E532" s="23">
        <f t="shared" si="80"/>
        <v>-3616</v>
      </c>
      <c r="G532" s="78">
        <v>48</v>
      </c>
      <c r="H532" s="62">
        <f t="shared" si="81"/>
        <v>48</v>
      </c>
      <c r="I532" s="20"/>
      <c r="J532" s="21"/>
      <c r="K532" s="57">
        <v>48</v>
      </c>
      <c r="L532" s="23">
        <f t="shared" si="82"/>
        <v>0</v>
      </c>
      <c r="M532" s="23">
        <f t="shared" si="83"/>
        <v>0</v>
      </c>
      <c r="O532" s="52"/>
      <c r="Q532" s="273"/>
      <c r="R532" s="259"/>
      <c r="S532" s="260"/>
      <c r="T532" s="261"/>
      <c r="U532" s="262"/>
      <c r="V532" s="263"/>
      <c r="W532" s="263"/>
      <c r="Y532" s="1">
        <f>AVERAGE(G528:G532)</f>
        <v>38.4</v>
      </c>
    </row>
    <row r="533" spans="1:25" s="12" customFormat="1" hidden="1" outlineLevel="1">
      <c r="A533" s="95">
        <v>45822</v>
      </c>
      <c r="B533" s="25" t="s">
        <v>16</v>
      </c>
      <c r="C533" s="298"/>
      <c r="D533" s="29"/>
      <c r="E533" s="29">
        <f t="shared" si="80"/>
        <v>-3616</v>
      </c>
      <c r="G533" s="79"/>
      <c r="H533" s="63"/>
      <c r="I533" s="27"/>
      <c r="J533" s="28"/>
      <c r="K533" s="43"/>
      <c r="L533" s="29">
        <f t="shared" si="82"/>
        <v>0</v>
      </c>
      <c r="M533" s="29">
        <f t="shared" si="83"/>
        <v>0</v>
      </c>
      <c r="O533" s="54"/>
      <c r="Q533" s="273"/>
      <c r="R533" s="259"/>
      <c r="S533" s="260"/>
      <c r="T533" s="261"/>
      <c r="U533" s="262"/>
      <c r="V533" s="263"/>
      <c r="W533" s="263"/>
      <c r="Y533" s="11"/>
    </row>
    <row r="534" spans="1:25" s="12" customFormat="1" hidden="1" outlineLevel="1" collapsed="1">
      <c r="A534" s="95">
        <v>45823</v>
      </c>
      <c r="B534" s="25" t="s">
        <v>17</v>
      </c>
      <c r="C534" s="298"/>
      <c r="D534" s="29"/>
      <c r="E534" s="29">
        <f t="shared" si="80"/>
        <v>-3616</v>
      </c>
      <c r="G534" s="79"/>
      <c r="H534" s="63"/>
      <c r="I534" s="27"/>
      <c r="J534" s="28"/>
      <c r="K534" s="43"/>
      <c r="L534" s="29">
        <f t="shared" si="82"/>
        <v>0</v>
      </c>
      <c r="M534" s="29">
        <f t="shared" si="83"/>
        <v>0</v>
      </c>
      <c r="O534" s="54"/>
      <c r="Q534" s="273"/>
      <c r="R534" s="259"/>
      <c r="S534" s="260"/>
      <c r="T534" s="261"/>
      <c r="U534" s="262"/>
      <c r="V534" s="263"/>
      <c r="W534" s="263"/>
      <c r="Y534" s="11"/>
    </row>
    <row r="535" spans="1:25" hidden="1" outlineLevel="1">
      <c r="A535" s="96">
        <v>45824</v>
      </c>
      <c r="B535" s="17" t="s">
        <v>18</v>
      </c>
      <c r="C535" s="195">
        <f>G537+8</f>
        <v>56</v>
      </c>
      <c r="D535" s="23"/>
      <c r="E535" s="23">
        <f t="shared" si="80"/>
        <v>-3672</v>
      </c>
      <c r="G535" s="78">
        <v>40</v>
      </c>
      <c r="H535" s="62">
        <f t="shared" si="81"/>
        <v>40</v>
      </c>
      <c r="I535" s="20"/>
      <c r="J535" s="21"/>
      <c r="K535" s="57">
        <v>40</v>
      </c>
      <c r="L535" s="23">
        <f t="shared" si="82"/>
        <v>0</v>
      </c>
      <c r="M535" s="23">
        <f t="shared" si="83"/>
        <v>0</v>
      </c>
      <c r="O535" s="52"/>
      <c r="Q535" s="273"/>
      <c r="R535" s="259"/>
      <c r="S535" s="260"/>
      <c r="T535" s="261"/>
      <c r="U535" s="262"/>
      <c r="V535" s="263"/>
      <c r="W535" s="263"/>
    </row>
    <row r="536" spans="1:25" hidden="1" outlineLevel="1">
      <c r="A536" s="96">
        <v>45825</v>
      </c>
      <c r="B536" s="17" t="s">
        <v>19</v>
      </c>
      <c r="C536" s="195">
        <f>G538+8</f>
        <v>48</v>
      </c>
      <c r="D536" s="23"/>
      <c r="E536" s="23">
        <f t="shared" si="80"/>
        <v>-3720</v>
      </c>
      <c r="G536" s="78">
        <v>64</v>
      </c>
      <c r="H536" s="62">
        <f t="shared" si="81"/>
        <v>48</v>
      </c>
      <c r="I536" s="20"/>
      <c r="J536" s="21"/>
      <c r="K536" s="57">
        <v>48</v>
      </c>
      <c r="L536" s="23">
        <f t="shared" si="82"/>
        <v>-16</v>
      </c>
      <c r="M536" s="23">
        <f t="shared" si="83"/>
        <v>-16</v>
      </c>
      <c r="O536" s="52"/>
      <c r="Q536" s="273"/>
      <c r="R536" s="259"/>
      <c r="S536" s="260"/>
      <c r="T536" s="261"/>
      <c r="U536" s="262"/>
      <c r="V536" s="263"/>
      <c r="W536" s="263"/>
    </row>
    <row r="537" spans="1:25" hidden="1" outlineLevel="1">
      <c r="A537" s="96">
        <v>45826</v>
      </c>
      <c r="B537" s="17" t="s">
        <v>20</v>
      </c>
      <c r="C537" s="195">
        <v>48</v>
      </c>
      <c r="D537" s="23"/>
      <c r="E537" s="23">
        <f t="shared" si="80"/>
        <v>-3768</v>
      </c>
      <c r="G537" s="78">
        <v>48</v>
      </c>
      <c r="H537" s="62">
        <f t="shared" si="81"/>
        <v>56</v>
      </c>
      <c r="I537" s="20"/>
      <c r="J537" s="21"/>
      <c r="K537" s="57">
        <v>56</v>
      </c>
      <c r="L537" s="23">
        <f t="shared" si="82"/>
        <v>-8</v>
      </c>
      <c r="M537" s="23">
        <f t="shared" si="83"/>
        <v>-8</v>
      </c>
      <c r="O537" s="52"/>
      <c r="Q537" s="273"/>
      <c r="R537" s="259"/>
      <c r="S537" s="260"/>
      <c r="T537" s="261"/>
      <c r="U537" s="262"/>
      <c r="V537" s="263"/>
      <c r="W537" s="263"/>
    </row>
    <row r="538" spans="1:25" hidden="1" outlineLevel="1">
      <c r="A538" s="96">
        <v>45827</v>
      </c>
      <c r="B538" s="17" t="s">
        <v>14</v>
      </c>
      <c r="C538" s="302">
        <v>32</v>
      </c>
      <c r="D538" s="23"/>
      <c r="E538" s="23">
        <f t="shared" si="80"/>
        <v>-3800</v>
      </c>
      <c r="G538" s="78">
        <v>40</v>
      </c>
      <c r="H538" s="62">
        <f t="shared" si="81"/>
        <v>48</v>
      </c>
      <c r="I538" s="20"/>
      <c r="J538" s="21"/>
      <c r="K538" s="57">
        <v>48</v>
      </c>
      <c r="L538" s="23">
        <f t="shared" si="82"/>
        <v>0</v>
      </c>
      <c r="M538" s="23">
        <f t="shared" si="83"/>
        <v>0</v>
      </c>
      <c r="O538" s="52"/>
      <c r="Q538" s="273"/>
      <c r="R538" s="259"/>
      <c r="S538" s="260"/>
      <c r="T538" s="261"/>
      <c r="U538" s="262"/>
      <c r="V538" s="263"/>
      <c r="W538" s="263"/>
    </row>
    <row r="539" spans="1:25" hidden="1" outlineLevel="1">
      <c r="A539" s="96">
        <v>45828</v>
      </c>
      <c r="B539" s="17" t="s">
        <v>15</v>
      </c>
      <c r="C539" s="23">
        <f>G543</f>
        <v>32</v>
      </c>
      <c r="D539" s="23"/>
      <c r="E539" s="23">
        <f t="shared" si="80"/>
        <v>-3832</v>
      </c>
      <c r="G539" s="78">
        <v>40</v>
      </c>
      <c r="H539" s="62">
        <f t="shared" si="81"/>
        <v>48</v>
      </c>
      <c r="I539" s="20"/>
      <c r="J539" s="21"/>
      <c r="K539" s="57">
        <v>48</v>
      </c>
      <c r="L539" s="23">
        <f t="shared" si="82"/>
        <v>8</v>
      </c>
      <c r="M539" s="23">
        <f t="shared" si="83"/>
        <v>8</v>
      </c>
      <c r="O539" s="52"/>
      <c r="Q539" s="273"/>
      <c r="R539" s="259"/>
      <c r="S539" s="260"/>
      <c r="T539" s="261"/>
      <c r="U539" s="262"/>
      <c r="V539" s="263"/>
      <c r="W539" s="263"/>
      <c r="Y539" s="1">
        <f>AVERAGE(G535:G539)</f>
        <v>46.4</v>
      </c>
    </row>
    <row r="540" spans="1:25" s="12" customFormat="1" hidden="1" outlineLevel="1">
      <c r="A540" s="95">
        <v>45829</v>
      </c>
      <c r="B540" s="25" t="s">
        <v>16</v>
      </c>
      <c r="C540" s="29"/>
      <c r="D540" s="29"/>
      <c r="E540" s="29">
        <f t="shared" si="80"/>
        <v>-3832</v>
      </c>
      <c r="G540" s="79"/>
      <c r="H540" s="63"/>
      <c r="I540" s="27"/>
      <c r="J540" s="28"/>
      <c r="K540" s="43"/>
      <c r="L540" s="29">
        <f t="shared" si="82"/>
        <v>8</v>
      </c>
      <c r="M540" s="29">
        <f t="shared" si="83"/>
        <v>8</v>
      </c>
      <c r="O540" s="54"/>
      <c r="Q540" s="273"/>
      <c r="R540" s="259"/>
      <c r="S540" s="260"/>
      <c r="T540" s="261"/>
      <c r="U540" s="262"/>
      <c r="V540" s="263"/>
      <c r="W540" s="263"/>
      <c r="Y540" s="11"/>
    </row>
    <row r="541" spans="1:25" s="12" customFormat="1" hidden="1" outlineLevel="1" collapsed="1">
      <c r="A541" s="95">
        <v>45830</v>
      </c>
      <c r="B541" s="25" t="s">
        <v>17</v>
      </c>
      <c r="C541" s="29"/>
      <c r="D541" s="29"/>
      <c r="E541" s="29">
        <f t="shared" si="80"/>
        <v>-3832</v>
      </c>
      <c r="G541" s="79"/>
      <c r="H541" s="63"/>
      <c r="I541" s="27"/>
      <c r="J541" s="28"/>
      <c r="K541" s="43"/>
      <c r="L541" s="29">
        <f t="shared" si="82"/>
        <v>8</v>
      </c>
      <c r="M541" s="29">
        <f t="shared" si="83"/>
        <v>8</v>
      </c>
      <c r="O541" s="54"/>
      <c r="Q541" s="273"/>
      <c r="R541" s="259"/>
      <c r="S541" s="260"/>
      <c r="T541" s="261"/>
      <c r="U541" s="262"/>
      <c r="V541" s="263"/>
      <c r="W541" s="263"/>
      <c r="Y541" s="11"/>
    </row>
    <row r="542" spans="1:25" hidden="1" outlineLevel="1">
      <c r="A542" s="96">
        <v>45831</v>
      </c>
      <c r="B542" s="17" t="s">
        <v>18</v>
      </c>
      <c r="C542" s="23">
        <f t="shared" ref="C542:C544" si="85">G544</f>
        <v>56</v>
      </c>
      <c r="D542" s="23"/>
      <c r="E542" s="23">
        <f t="shared" si="80"/>
        <v>-3888</v>
      </c>
      <c r="G542" s="78">
        <v>40</v>
      </c>
      <c r="H542" s="62">
        <f t="shared" si="81"/>
        <v>32</v>
      </c>
      <c r="I542" s="20"/>
      <c r="J542" s="21"/>
      <c r="K542" s="57">
        <v>32</v>
      </c>
      <c r="L542" s="23">
        <f t="shared" si="82"/>
        <v>0</v>
      </c>
      <c r="M542" s="23">
        <f t="shared" si="83"/>
        <v>0</v>
      </c>
      <c r="O542" s="52"/>
      <c r="Q542" s="273"/>
      <c r="R542" s="259"/>
      <c r="S542" s="260"/>
      <c r="T542" s="261"/>
      <c r="U542" s="262"/>
      <c r="V542" s="263"/>
      <c r="W542" s="263"/>
    </row>
    <row r="543" spans="1:25" hidden="1" outlineLevel="1">
      <c r="A543" s="96">
        <v>45832</v>
      </c>
      <c r="B543" s="17" t="s">
        <v>19</v>
      </c>
      <c r="C543" s="23">
        <f t="shared" si="85"/>
        <v>24</v>
      </c>
      <c r="D543" s="23"/>
      <c r="E543" s="23">
        <f t="shared" si="80"/>
        <v>-3912</v>
      </c>
      <c r="G543" s="78">
        <v>32</v>
      </c>
      <c r="H543" s="62">
        <f t="shared" si="81"/>
        <v>32</v>
      </c>
      <c r="I543" s="20"/>
      <c r="J543" s="21"/>
      <c r="K543" s="57">
        <v>32</v>
      </c>
      <c r="L543" s="23">
        <f t="shared" si="82"/>
        <v>0</v>
      </c>
      <c r="M543" s="23">
        <f t="shared" si="83"/>
        <v>0</v>
      </c>
      <c r="O543" s="52"/>
      <c r="Q543" s="273"/>
      <c r="R543" s="259"/>
      <c r="S543" s="260"/>
      <c r="T543" s="261"/>
      <c r="U543" s="262"/>
      <c r="V543" s="263"/>
      <c r="W543" s="263"/>
    </row>
    <row r="544" spans="1:25" hidden="1" outlineLevel="1">
      <c r="A544" s="96">
        <v>45833</v>
      </c>
      <c r="B544" s="17" t="s">
        <v>20</v>
      </c>
      <c r="C544" s="23">
        <f t="shared" si="85"/>
        <v>48</v>
      </c>
      <c r="D544" s="23"/>
      <c r="E544" s="23">
        <f t="shared" si="80"/>
        <v>-3960</v>
      </c>
      <c r="G544" s="78">
        <v>56</v>
      </c>
      <c r="H544" s="62">
        <f t="shared" si="81"/>
        <v>56</v>
      </c>
      <c r="I544" s="20"/>
      <c r="J544" s="21"/>
      <c r="K544" s="57">
        <v>56</v>
      </c>
      <c r="L544" s="23">
        <f t="shared" si="82"/>
        <v>0</v>
      </c>
      <c r="M544" s="23">
        <f t="shared" si="83"/>
        <v>0</v>
      </c>
      <c r="O544" s="52"/>
      <c r="Q544" s="273"/>
      <c r="R544" s="259"/>
      <c r="S544" s="260"/>
      <c r="T544" s="261"/>
      <c r="U544" s="262"/>
      <c r="V544" s="263"/>
      <c r="W544" s="263"/>
    </row>
    <row r="545" spans="1:34" hidden="1" outlineLevel="1">
      <c r="A545" s="96">
        <v>45834</v>
      </c>
      <c r="B545" s="17" t="s">
        <v>14</v>
      </c>
      <c r="C545" s="23">
        <f>G549</f>
        <v>8</v>
      </c>
      <c r="D545" s="23"/>
      <c r="E545" s="23">
        <f t="shared" si="80"/>
        <v>-3968</v>
      </c>
      <c r="G545" s="204">
        <f>48-24</f>
        <v>24</v>
      </c>
      <c r="H545" s="65">
        <f t="shared" si="81"/>
        <v>24</v>
      </c>
      <c r="I545" s="20"/>
      <c r="J545" s="21"/>
      <c r="K545" s="57">
        <v>24</v>
      </c>
      <c r="L545" s="23">
        <f t="shared" si="82"/>
        <v>0</v>
      </c>
      <c r="M545" s="23">
        <f t="shared" si="83"/>
        <v>0</v>
      </c>
      <c r="O545" s="52"/>
      <c r="Q545" s="310"/>
      <c r="R545" s="311"/>
      <c r="S545" s="260"/>
      <c r="T545" s="261"/>
      <c r="U545" s="262"/>
      <c r="V545" s="263"/>
      <c r="W545" s="263"/>
    </row>
    <row r="546" spans="1:34" hidden="1" outlineLevel="1">
      <c r="A546" s="96">
        <v>45835</v>
      </c>
      <c r="B546" s="17" t="s">
        <v>15</v>
      </c>
      <c r="C546" s="23">
        <f>G550</f>
        <v>32</v>
      </c>
      <c r="D546" s="23"/>
      <c r="E546" s="23">
        <f t="shared" si="80"/>
        <v>-4000</v>
      </c>
      <c r="G546" s="204">
        <f>56-8</f>
        <v>48</v>
      </c>
      <c r="H546" s="65">
        <f t="shared" si="81"/>
        <v>48</v>
      </c>
      <c r="I546" s="20"/>
      <c r="J546" s="21"/>
      <c r="K546" s="57">
        <v>48</v>
      </c>
      <c r="L546" s="23">
        <f t="shared" si="82"/>
        <v>0</v>
      </c>
      <c r="M546" s="23">
        <f t="shared" si="83"/>
        <v>0</v>
      </c>
      <c r="O546" s="52"/>
      <c r="Q546" s="310"/>
      <c r="R546" s="311"/>
      <c r="S546" s="260"/>
      <c r="T546" s="261"/>
      <c r="U546" s="262"/>
      <c r="V546" s="263"/>
      <c r="W546" s="263"/>
      <c r="Y546" s="1">
        <f>AVERAGE(G542:G546)</f>
        <v>40</v>
      </c>
    </row>
    <row r="547" spans="1:34" s="12" customFormat="1" hidden="1" outlineLevel="1">
      <c r="A547" s="95">
        <v>45836</v>
      </c>
      <c r="B547" s="25" t="s">
        <v>16</v>
      </c>
      <c r="C547" s="29"/>
      <c r="D547" s="29"/>
      <c r="E547" s="29">
        <f t="shared" si="80"/>
        <v>-4000</v>
      </c>
      <c r="G547" s="300"/>
      <c r="H547" s="63"/>
      <c r="I547" s="27"/>
      <c r="J547" s="28"/>
      <c r="K547" s="43"/>
      <c r="L547" s="29">
        <f t="shared" si="82"/>
        <v>0</v>
      </c>
      <c r="M547" s="29">
        <f t="shared" si="83"/>
        <v>0</v>
      </c>
      <c r="O547" s="54"/>
      <c r="Q547" s="312"/>
      <c r="R547" s="259"/>
      <c r="S547" s="260"/>
      <c r="T547" s="261"/>
      <c r="U547" s="262"/>
      <c r="V547" s="263"/>
      <c r="W547" s="263"/>
      <c r="Y547" s="11"/>
    </row>
    <row r="548" spans="1:34" s="12" customFormat="1" hidden="1" outlineLevel="1" collapsed="1">
      <c r="A548" s="95">
        <v>45837</v>
      </c>
      <c r="B548" s="25" t="s">
        <v>17</v>
      </c>
      <c r="C548" s="29"/>
      <c r="D548" s="29"/>
      <c r="E548" s="29">
        <f t="shared" si="80"/>
        <v>-4000</v>
      </c>
      <c r="G548" s="300"/>
      <c r="H548" s="63"/>
      <c r="I548" s="27"/>
      <c r="J548" s="28"/>
      <c r="K548" s="43"/>
      <c r="L548" s="29">
        <f t="shared" si="82"/>
        <v>0</v>
      </c>
      <c r="M548" s="29">
        <f t="shared" si="83"/>
        <v>0</v>
      </c>
      <c r="O548" s="54"/>
      <c r="Q548" s="312"/>
      <c r="R548" s="259"/>
      <c r="S548" s="260"/>
      <c r="T548" s="261"/>
      <c r="U548" s="262"/>
      <c r="V548" s="263"/>
      <c r="W548" s="263"/>
      <c r="Y548" s="11"/>
    </row>
    <row r="549" spans="1:34" hidden="1" outlineLevel="1">
      <c r="A549" s="96">
        <v>45838</v>
      </c>
      <c r="B549" s="17" t="s">
        <v>18</v>
      </c>
      <c r="C549" s="23">
        <f t="shared" ref="C549:C551" si="86">G551</f>
        <v>32</v>
      </c>
      <c r="D549" s="23"/>
      <c r="E549" s="23">
        <f t="shared" si="80"/>
        <v>-4032</v>
      </c>
      <c r="G549" s="203">
        <v>8</v>
      </c>
      <c r="H549" s="62">
        <f t="shared" si="81"/>
        <v>8</v>
      </c>
      <c r="I549" s="20"/>
      <c r="J549" s="21"/>
      <c r="K549" s="57">
        <v>8</v>
      </c>
      <c r="L549" s="23">
        <f t="shared" si="82"/>
        <v>0</v>
      </c>
      <c r="M549" s="23">
        <f t="shared" si="83"/>
        <v>0</v>
      </c>
      <c r="O549" s="52"/>
      <c r="Q549" s="312"/>
      <c r="R549" s="259"/>
      <c r="S549" s="260"/>
      <c r="T549" s="261"/>
      <c r="U549" s="262"/>
      <c r="V549" s="263"/>
      <c r="W549" s="263"/>
    </row>
    <row r="550" spans="1:34" hidden="1" outlineLevel="1">
      <c r="A550" s="96">
        <v>45839</v>
      </c>
      <c r="B550" s="17" t="s">
        <v>19</v>
      </c>
      <c r="C550" s="23">
        <f t="shared" si="86"/>
        <v>32</v>
      </c>
      <c r="D550" s="23"/>
      <c r="E550" s="23">
        <f t="shared" si="80"/>
        <v>-4064</v>
      </c>
      <c r="G550" s="203">
        <v>32</v>
      </c>
      <c r="H550" s="62">
        <f t="shared" si="81"/>
        <v>32</v>
      </c>
      <c r="I550" s="20"/>
      <c r="J550" s="21"/>
      <c r="K550" s="57">
        <v>32</v>
      </c>
      <c r="L550" s="23">
        <f t="shared" si="82"/>
        <v>0</v>
      </c>
      <c r="M550" s="23">
        <f t="shared" si="83"/>
        <v>0</v>
      </c>
      <c r="O550" s="52"/>
      <c r="Q550" s="312"/>
      <c r="R550" s="259"/>
      <c r="S550" s="260"/>
      <c r="T550" s="261"/>
      <c r="U550" s="262"/>
      <c r="V550" s="263"/>
      <c r="W550" s="263"/>
    </row>
    <row r="551" spans="1:34" hidden="1" outlineLevel="1">
      <c r="A551" s="96">
        <v>45840</v>
      </c>
      <c r="B551" s="17" t="s">
        <v>20</v>
      </c>
      <c r="C551" s="23">
        <f t="shared" si="86"/>
        <v>0</v>
      </c>
      <c r="D551" s="23"/>
      <c r="E551" s="23">
        <f t="shared" si="80"/>
        <v>-4064</v>
      </c>
      <c r="G551" s="203">
        <v>32</v>
      </c>
      <c r="H551" s="62">
        <f t="shared" si="81"/>
        <v>32</v>
      </c>
      <c r="I551" s="20"/>
      <c r="J551" s="21"/>
      <c r="K551" s="57">
        <v>32</v>
      </c>
      <c r="L551" s="23">
        <f t="shared" si="82"/>
        <v>0</v>
      </c>
      <c r="M551" s="23">
        <f t="shared" si="83"/>
        <v>0</v>
      </c>
      <c r="O551" s="52"/>
      <c r="Q551" s="312"/>
      <c r="R551" s="259"/>
      <c r="S551" s="260"/>
      <c r="T551" s="261"/>
      <c r="U551" s="262"/>
      <c r="V551" s="263"/>
      <c r="W551" s="263"/>
    </row>
    <row r="552" spans="1:34" hidden="1" outlineLevel="1">
      <c r="A552" s="96">
        <v>45841</v>
      </c>
      <c r="B552" s="17" t="s">
        <v>14</v>
      </c>
      <c r="C552" s="23">
        <f>G556</f>
        <v>40</v>
      </c>
      <c r="D552" s="23"/>
      <c r="E552" s="23">
        <f t="shared" si="80"/>
        <v>-4104</v>
      </c>
      <c r="G552" s="203">
        <v>32</v>
      </c>
      <c r="H552" s="62">
        <f t="shared" si="81"/>
        <v>32</v>
      </c>
      <c r="I552" s="20"/>
      <c r="J552" s="21"/>
      <c r="K552" s="57">
        <v>32</v>
      </c>
      <c r="L552" s="23">
        <f t="shared" si="82"/>
        <v>0</v>
      </c>
      <c r="M552" s="23">
        <f t="shared" si="83"/>
        <v>0</v>
      </c>
      <c r="O552" s="52"/>
      <c r="Q552" s="312"/>
      <c r="R552" s="259"/>
      <c r="S552" s="260"/>
      <c r="T552" s="261"/>
      <c r="U552" s="262"/>
      <c r="V552" s="263"/>
      <c r="W552" s="263"/>
    </row>
    <row r="553" spans="1:34" s="12" customFormat="1" hidden="1" outlineLevel="1">
      <c r="A553" s="96">
        <v>45842</v>
      </c>
      <c r="B553" s="17" t="s">
        <v>15</v>
      </c>
      <c r="C553" s="23">
        <f>G557</f>
        <v>40</v>
      </c>
      <c r="D553" s="23"/>
      <c r="E553" s="23">
        <f t="shared" si="80"/>
        <v>-4144</v>
      </c>
      <c r="F553" s="1"/>
      <c r="G553" s="203">
        <v>0</v>
      </c>
      <c r="H553" s="62">
        <f t="shared" si="81"/>
        <v>0</v>
      </c>
      <c r="I553" s="20"/>
      <c r="J553" s="21"/>
      <c r="K553" s="42"/>
      <c r="L553" s="23">
        <f t="shared" si="82"/>
        <v>0</v>
      </c>
      <c r="M553" s="23">
        <f t="shared" si="83"/>
        <v>0</v>
      </c>
      <c r="N553" s="1"/>
      <c r="O553" s="52"/>
      <c r="P553" s="1"/>
      <c r="Q553" s="312"/>
      <c r="R553" s="259"/>
      <c r="S553" s="260"/>
      <c r="T553" s="261"/>
      <c r="U553" s="262"/>
      <c r="V553" s="263"/>
      <c r="W553" s="263"/>
      <c r="X553" s="1"/>
      <c r="Y553" s="1">
        <f>AVERAGE(G549:G553)</f>
        <v>20.8</v>
      </c>
      <c r="Z553" s="1"/>
      <c r="AA553" s="1"/>
      <c r="AB553" s="1"/>
      <c r="AC553" s="1"/>
      <c r="AD553" s="1"/>
      <c r="AE553" s="1"/>
      <c r="AF553" s="1"/>
      <c r="AG553" s="1"/>
      <c r="AH553" s="1"/>
    </row>
    <row r="554" spans="1:34" s="12" customFormat="1" hidden="1" outlineLevel="1">
      <c r="A554" s="95">
        <v>45843</v>
      </c>
      <c r="B554" s="25" t="s">
        <v>16</v>
      </c>
      <c r="C554" s="29"/>
      <c r="D554" s="29"/>
      <c r="E554" s="29">
        <f t="shared" si="80"/>
        <v>-4144</v>
      </c>
      <c r="G554" s="300"/>
      <c r="H554" s="63"/>
      <c r="I554" s="27"/>
      <c r="J554" s="28"/>
      <c r="K554" s="43"/>
      <c r="L554" s="29">
        <f t="shared" si="82"/>
        <v>0</v>
      </c>
      <c r="M554" s="29">
        <f t="shared" si="83"/>
        <v>0</v>
      </c>
      <c r="O554" s="54"/>
      <c r="Q554" s="312"/>
      <c r="R554" s="259"/>
      <c r="S554" s="260"/>
      <c r="T554" s="261"/>
      <c r="U554" s="262"/>
      <c r="V554" s="263"/>
      <c r="W554" s="263"/>
      <c r="Y554" s="11"/>
    </row>
    <row r="555" spans="1:34" s="12" customFormat="1" hidden="1" outlineLevel="1" collapsed="1">
      <c r="A555" s="95">
        <v>45844</v>
      </c>
      <c r="B555" s="25" t="s">
        <v>17</v>
      </c>
      <c r="C555" s="29"/>
      <c r="D555" s="29"/>
      <c r="E555" s="29">
        <f t="shared" ref="E555:E586" si="87">E554-C555+D555</f>
        <v>-4144</v>
      </c>
      <c r="G555" s="300"/>
      <c r="H555" s="63"/>
      <c r="I555" s="27"/>
      <c r="J555" s="28"/>
      <c r="K555" s="43"/>
      <c r="L555" s="29">
        <f t="shared" ref="L555:L586" si="88">L554-G555+K555</f>
        <v>0</v>
      </c>
      <c r="M555" s="29">
        <f t="shared" ref="M555:M586" si="89">M554-G555+H555</f>
        <v>0</v>
      </c>
      <c r="O555" s="54"/>
      <c r="Q555" s="312"/>
      <c r="R555" s="259"/>
      <c r="S555" s="260"/>
      <c r="T555" s="261"/>
      <c r="U555" s="262"/>
      <c r="V555" s="263"/>
      <c r="W555" s="263"/>
      <c r="Y555" s="11"/>
    </row>
    <row r="556" spans="1:34" hidden="1" outlineLevel="1">
      <c r="A556" s="96">
        <v>45845</v>
      </c>
      <c r="B556" s="17" t="s">
        <v>18</v>
      </c>
      <c r="C556" s="23">
        <f t="shared" ref="C556:C558" si="90">G558</f>
        <v>0</v>
      </c>
      <c r="D556" s="23"/>
      <c r="E556" s="23">
        <f t="shared" si="87"/>
        <v>-4144</v>
      </c>
      <c r="G556" s="203">
        <v>40</v>
      </c>
      <c r="H556" s="62">
        <f t="shared" ref="H556:H560" si="91">IF(C554&lt;&gt;"",C554+I556,IF(C552&lt;&gt;"",C552+I556,IF(C551&lt;&gt;"",C551+I556,IF(C550&lt;&gt;"",C550+I556,IF(C549&lt;&gt;"",C549+I556,IF(C548&lt;&gt;"",C548+I556))))))</f>
        <v>40</v>
      </c>
      <c r="I556" s="20"/>
      <c r="J556" s="21"/>
      <c r="K556" s="57">
        <v>40</v>
      </c>
      <c r="L556" s="23">
        <f t="shared" si="88"/>
        <v>0</v>
      </c>
      <c r="M556" s="23">
        <f t="shared" si="89"/>
        <v>0</v>
      </c>
      <c r="O556" s="52"/>
      <c r="Q556" s="312"/>
      <c r="R556" s="259"/>
      <c r="S556" s="260"/>
      <c r="T556" s="261"/>
      <c r="U556" s="262"/>
      <c r="V556" s="263"/>
      <c r="W556" s="263"/>
    </row>
    <row r="557" spans="1:34" hidden="1" outlineLevel="1">
      <c r="A557" s="96">
        <v>45846</v>
      </c>
      <c r="B557" s="17" t="s">
        <v>19</v>
      </c>
      <c r="C557" s="23">
        <f t="shared" si="90"/>
        <v>40</v>
      </c>
      <c r="D557" s="23"/>
      <c r="E557" s="23">
        <f t="shared" si="87"/>
        <v>-4184</v>
      </c>
      <c r="G557" s="78">
        <v>40</v>
      </c>
      <c r="H557" s="62">
        <f t="shared" si="91"/>
        <v>40</v>
      </c>
      <c r="I557" s="20"/>
      <c r="J557" s="21"/>
      <c r="K557" s="57">
        <v>40</v>
      </c>
      <c r="L557" s="23">
        <f t="shared" si="88"/>
        <v>0</v>
      </c>
      <c r="M557" s="23">
        <f t="shared" si="89"/>
        <v>0</v>
      </c>
      <c r="O557" s="52"/>
      <c r="Q557" s="273"/>
      <c r="R557" s="259"/>
      <c r="S557" s="260"/>
      <c r="T557" s="261"/>
      <c r="U557" s="262"/>
      <c r="V557" s="263"/>
      <c r="W557" s="263"/>
    </row>
    <row r="558" spans="1:34" hidden="1" outlineLevel="1">
      <c r="A558" s="96">
        <v>45847</v>
      </c>
      <c r="B558" s="17" t="s">
        <v>20</v>
      </c>
      <c r="C558" s="23">
        <f t="shared" si="90"/>
        <v>48</v>
      </c>
      <c r="D558" s="23"/>
      <c r="E558" s="23">
        <f t="shared" si="87"/>
        <v>-4232</v>
      </c>
      <c r="G558" s="78">
        <v>0</v>
      </c>
      <c r="H558" s="62">
        <f t="shared" si="91"/>
        <v>0</v>
      </c>
      <c r="I558" s="20"/>
      <c r="J558" s="21"/>
      <c r="K558" s="57">
        <v>0</v>
      </c>
      <c r="L558" s="23">
        <f t="shared" si="88"/>
        <v>0</v>
      </c>
      <c r="M558" s="23">
        <f t="shared" si="89"/>
        <v>0</v>
      </c>
      <c r="O558" s="52"/>
      <c r="Q558" s="273"/>
      <c r="R558" s="259"/>
      <c r="S558" s="260"/>
      <c r="T558" s="261"/>
      <c r="U558" s="262"/>
      <c r="V558" s="263"/>
      <c r="W558" s="263"/>
    </row>
    <row r="559" spans="1:34" hidden="1" outlineLevel="1">
      <c r="A559" s="96">
        <v>45848</v>
      </c>
      <c r="B559" s="17" t="s">
        <v>14</v>
      </c>
      <c r="C559" s="23">
        <f>G563</f>
        <v>40</v>
      </c>
      <c r="D559" s="23"/>
      <c r="E559" s="23">
        <f t="shared" si="87"/>
        <v>-4272</v>
      </c>
      <c r="G559" s="78">
        <v>40</v>
      </c>
      <c r="H559" s="62">
        <f t="shared" si="91"/>
        <v>40</v>
      </c>
      <c r="I559" s="20"/>
      <c r="J559" s="21"/>
      <c r="K559" s="57">
        <v>40</v>
      </c>
      <c r="L559" s="23">
        <f t="shared" si="88"/>
        <v>0</v>
      </c>
      <c r="M559" s="23">
        <f t="shared" si="89"/>
        <v>0</v>
      </c>
      <c r="O559" s="52"/>
      <c r="Q559" s="273"/>
      <c r="R559" s="259"/>
      <c r="S559" s="260"/>
      <c r="T559" s="261"/>
      <c r="U559" s="262"/>
      <c r="V559" s="263"/>
      <c r="W559" s="263"/>
    </row>
    <row r="560" spans="1:34" hidden="1" outlineLevel="1">
      <c r="A560" s="96">
        <v>45849</v>
      </c>
      <c r="B560" s="17" t="s">
        <v>15</v>
      </c>
      <c r="C560" s="23">
        <f>G564</f>
        <v>48</v>
      </c>
      <c r="D560" s="23"/>
      <c r="E560" s="23">
        <f t="shared" si="87"/>
        <v>-4320</v>
      </c>
      <c r="G560" s="78">
        <v>48</v>
      </c>
      <c r="H560" s="62">
        <f t="shared" si="91"/>
        <v>48</v>
      </c>
      <c r="I560" s="20"/>
      <c r="J560" s="21"/>
      <c r="K560" s="57">
        <v>48</v>
      </c>
      <c r="L560" s="23">
        <f t="shared" si="88"/>
        <v>0</v>
      </c>
      <c r="M560" s="23">
        <f t="shared" si="89"/>
        <v>0</v>
      </c>
      <c r="O560" s="52"/>
      <c r="Q560" s="273"/>
      <c r="R560" s="259"/>
      <c r="S560" s="260"/>
      <c r="T560" s="261"/>
      <c r="U560" s="262"/>
      <c r="V560" s="263"/>
      <c r="W560" s="263"/>
      <c r="Y560" s="1">
        <f>AVERAGE(G556:G560)</f>
        <v>33.6</v>
      </c>
    </row>
    <row r="561" spans="1:25" s="12" customFormat="1" hidden="1" outlineLevel="1">
      <c r="A561" s="95">
        <v>45850</v>
      </c>
      <c r="B561" s="25" t="s">
        <v>16</v>
      </c>
      <c r="C561" s="29"/>
      <c r="D561" s="29"/>
      <c r="E561" s="29">
        <f t="shared" si="87"/>
        <v>-4320</v>
      </c>
      <c r="G561" s="79"/>
      <c r="H561" s="63"/>
      <c r="I561" s="27"/>
      <c r="J561" s="28"/>
      <c r="K561" s="43"/>
      <c r="L561" s="29">
        <f t="shared" si="88"/>
        <v>0</v>
      </c>
      <c r="M561" s="29">
        <f t="shared" si="89"/>
        <v>0</v>
      </c>
      <c r="O561" s="54"/>
      <c r="Q561" s="273"/>
      <c r="R561" s="259"/>
      <c r="S561" s="260"/>
      <c r="T561" s="261"/>
      <c r="U561" s="262"/>
      <c r="V561" s="263"/>
      <c r="W561" s="263"/>
      <c r="Y561" s="11"/>
    </row>
    <row r="562" spans="1:25" s="12" customFormat="1" hidden="1" outlineLevel="1" collapsed="1">
      <c r="A562" s="95">
        <v>45851</v>
      </c>
      <c r="B562" s="25" t="s">
        <v>17</v>
      </c>
      <c r="C562" s="29"/>
      <c r="D562" s="29"/>
      <c r="E562" s="29">
        <f t="shared" si="87"/>
        <v>-4320</v>
      </c>
      <c r="G562" s="79"/>
      <c r="H562" s="63"/>
      <c r="I562" s="27"/>
      <c r="J562" s="28"/>
      <c r="K562" s="43"/>
      <c r="L562" s="29">
        <f t="shared" si="88"/>
        <v>0</v>
      </c>
      <c r="M562" s="29">
        <f t="shared" si="89"/>
        <v>0</v>
      </c>
      <c r="O562" s="54"/>
      <c r="Q562" s="273"/>
      <c r="R562" s="259"/>
      <c r="S562" s="260"/>
      <c r="T562" s="261"/>
      <c r="U562" s="262"/>
      <c r="V562" s="263"/>
      <c r="W562" s="263"/>
      <c r="Y562" s="11"/>
    </row>
    <row r="563" spans="1:25" hidden="1" outlineLevel="1">
      <c r="A563" s="96">
        <v>45852</v>
      </c>
      <c r="B563" s="17" t="s">
        <v>18</v>
      </c>
      <c r="C563" s="23">
        <f t="shared" ref="C563" si="92">G565</f>
        <v>40</v>
      </c>
      <c r="D563" s="23"/>
      <c r="E563" s="23">
        <f t="shared" si="87"/>
        <v>-4360</v>
      </c>
      <c r="G563" s="78">
        <v>40</v>
      </c>
      <c r="H563" s="62">
        <f t="shared" ref="H563:H567" si="93">IF(C561&lt;&gt;"",C561+I563,IF(C559&lt;&gt;"",C559+I563,IF(C558&lt;&gt;"",C558+I563,IF(C557&lt;&gt;"",C557+I563,IF(C556&lt;&gt;"",C556+I563,IF(C555&lt;&gt;"",C555+I563))))))</f>
        <v>40</v>
      </c>
      <c r="I563" s="20"/>
      <c r="J563" s="21"/>
      <c r="K563" s="57">
        <v>40</v>
      </c>
      <c r="L563" s="23">
        <f t="shared" si="88"/>
        <v>0</v>
      </c>
      <c r="M563" s="23">
        <f t="shared" si="89"/>
        <v>0</v>
      </c>
      <c r="O563" s="52"/>
      <c r="Q563" s="273"/>
      <c r="R563" s="259"/>
      <c r="S563" s="260"/>
      <c r="T563" s="261"/>
      <c r="U563" s="262"/>
      <c r="V563" s="263"/>
      <c r="W563" s="263"/>
    </row>
    <row r="564" spans="1:25" hidden="1" outlineLevel="1">
      <c r="A564" s="96">
        <v>45853</v>
      </c>
      <c r="B564" s="17" t="s">
        <v>19</v>
      </c>
      <c r="C564" s="23">
        <f>G566</f>
        <v>48</v>
      </c>
      <c r="D564" s="23"/>
      <c r="E564" s="23">
        <f t="shared" si="87"/>
        <v>-4408</v>
      </c>
      <c r="G564" s="78">
        <v>48</v>
      </c>
      <c r="H564" s="62">
        <f t="shared" si="93"/>
        <v>48</v>
      </c>
      <c r="I564" s="20"/>
      <c r="J564" s="21"/>
      <c r="K564" s="57">
        <v>48</v>
      </c>
      <c r="L564" s="23">
        <f t="shared" si="88"/>
        <v>0</v>
      </c>
      <c r="M564" s="23">
        <f t="shared" si="89"/>
        <v>0</v>
      </c>
      <c r="O564" s="52"/>
      <c r="Q564" s="273"/>
      <c r="R564" s="259"/>
      <c r="S564" s="260"/>
      <c r="T564" s="261"/>
      <c r="U564" s="262"/>
      <c r="V564" s="263"/>
      <c r="W564" s="263"/>
    </row>
    <row r="565" spans="1:25" hidden="1" outlineLevel="1">
      <c r="A565" s="96">
        <v>45854</v>
      </c>
      <c r="B565" s="17" t="s">
        <v>20</v>
      </c>
      <c r="C565" s="23">
        <f>G567</f>
        <v>32</v>
      </c>
      <c r="D565" s="23"/>
      <c r="E565" s="23">
        <f t="shared" si="87"/>
        <v>-4440</v>
      </c>
      <c r="G565" s="78">
        <v>40</v>
      </c>
      <c r="H565" s="62">
        <f t="shared" si="93"/>
        <v>40</v>
      </c>
      <c r="I565" s="20"/>
      <c r="J565" s="21"/>
      <c r="K565" s="57">
        <v>40</v>
      </c>
      <c r="L565" s="23">
        <f t="shared" si="88"/>
        <v>0</v>
      </c>
      <c r="M565" s="23">
        <f t="shared" si="89"/>
        <v>0</v>
      </c>
      <c r="O565" s="52"/>
      <c r="Q565" s="273"/>
      <c r="R565" s="259"/>
      <c r="S565" s="260"/>
      <c r="T565" s="261"/>
      <c r="U565" s="262"/>
      <c r="V565" s="263"/>
      <c r="W565" s="263"/>
    </row>
    <row r="566" spans="1:25" hidden="1" outlineLevel="1">
      <c r="A566" s="96">
        <v>45855</v>
      </c>
      <c r="B566" s="17" t="s">
        <v>14</v>
      </c>
      <c r="C566" s="23">
        <f>G571</f>
        <v>56</v>
      </c>
      <c r="D566" s="23"/>
      <c r="E566" s="23">
        <f t="shared" si="87"/>
        <v>-4496</v>
      </c>
      <c r="G566" s="78">
        <v>48</v>
      </c>
      <c r="H566" s="62">
        <f t="shared" si="93"/>
        <v>48</v>
      </c>
      <c r="I566" s="20"/>
      <c r="J566" s="21"/>
      <c r="K566" s="57">
        <v>48</v>
      </c>
      <c r="L566" s="23">
        <f t="shared" si="88"/>
        <v>0</v>
      </c>
      <c r="M566" s="23">
        <f t="shared" si="89"/>
        <v>0</v>
      </c>
      <c r="O566" s="52"/>
      <c r="Q566" s="273"/>
      <c r="R566" s="259"/>
      <c r="S566" s="260"/>
      <c r="T566" s="261"/>
      <c r="U566" s="262"/>
      <c r="V566" s="263"/>
      <c r="W566" s="263"/>
    </row>
    <row r="567" spans="1:25" hidden="1" outlineLevel="1">
      <c r="A567" s="96">
        <v>45856</v>
      </c>
      <c r="B567" s="17" t="s">
        <v>15</v>
      </c>
      <c r="C567" s="23">
        <f>G572</f>
        <v>52</v>
      </c>
      <c r="D567" s="23"/>
      <c r="E567" s="23">
        <f t="shared" si="87"/>
        <v>-4548</v>
      </c>
      <c r="G567" s="78">
        <v>32</v>
      </c>
      <c r="H567" s="62">
        <f t="shared" si="93"/>
        <v>32</v>
      </c>
      <c r="I567" s="20"/>
      <c r="J567" s="21"/>
      <c r="K567" s="57">
        <v>32</v>
      </c>
      <c r="L567" s="23">
        <f t="shared" si="88"/>
        <v>0</v>
      </c>
      <c r="M567" s="23">
        <f t="shared" si="89"/>
        <v>0</v>
      </c>
      <c r="O567" s="52"/>
      <c r="Q567" s="273"/>
      <c r="R567" s="259"/>
      <c r="S567" s="260"/>
      <c r="T567" s="261"/>
      <c r="U567" s="262"/>
      <c r="V567" s="263"/>
      <c r="W567" s="263"/>
      <c r="Y567" s="1">
        <f>AVERAGE(G563:G567)</f>
        <v>41.6</v>
      </c>
    </row>
    <row r="568" spans="1:25" s="12" customFormat="1" hidden="1" outlineLevel="1">
      <c r="A568" s="95">
        <v>45857</v>
      </c>
      <c r="B568" s="25" t="s">
        <v>16</v>
      </c>
      <c r="C568" s="29"/>
      <c r="D568" s="29"/>
      <c r="E568" s="29">
        <f t="shared" si="87"/>
        <v>-4548</v>
      </c>
      <c r="G568" s="79"/>
      <c r="H568" s="63"/>
      <c r="I568" s="27"/>
      <c r="J568" s="28"/>
      <c r="K568" s="43"/>
      <c r="L568" s="29">
        <f t="shared" si="88"/>
        <v>0</v>
      </c>
      <c r="M568" s="29">
        <f t="shared" si="89"/>
        <v>0</v>
      </c>
      <c r="O568" s="54"/>
      <c r="Q568" s="273"/>
      <c r="R568" s="259"/>
      <c r="S568" s="260"/>
      <c r="T568" s="261"/>
      <c r="U568" s="262"/>
      <c r="V568" s="263"/>
      <c r="W568" s="263"/>
      <c r="Y568" s="11"/>
    </row>
    <row r="569" spans="1:25" s="12" customFormat="1" hidden="1" outlineLevel="1" collapsed="1">
      <c r="A569" s="95">
        <v>45858</v>
      </c>
      <c r="B569" s="25" t="s">
        <v>17</v>
      </c>
      <c r="C569" s="29"/>
      <c r="D569" s="29"/>
      <c r="E569" s="29">
        <f t="shared" si="87"/>
        <v>-4548</v>
      </c>
      <c r="G569" s="79"/>
      <c r="H569" s="63"/>
      <c r="I569" s="27"/>
      <c r="J569" s="28"/>
      <c r="K569" s="43"/>
      <c r="L569" s="29">
        <f t="shared" si="88"/>
        <v>0</v>
      </c>
      <c r="M569" s="29">
        <f t="shared" si="89"/>
        <v>0</v>
      </c>
      <c r="O569" s="54"/>
      <c r="Q569" s="273"/>
      <c r="R569" s="259"/>
      <c r="S569" s="260"/>
      <c r="T569" s="261"/>
      <c r="U569" s="262"/>
      <c r="V569" s="263"/>
      <c r="W569" s="263"/>
      <c r="Y569" s="11"/>
    </row>
    <row r="570" spans="1:25" s="12" customFormat="1" hidden="1" outlineLevel="1">
      <c r="A570" s="95">
        <v>45859</v>
      </c>
      <c r="B570" s="25" t="s">
        <v>18</v>
      </c>
      <c r="C570" s="29"/>
      <c r="D570" s="29"/>
      <c r="E570" s="29">
        <f t="shared" si="87"/>
        <v>-4548</v>
      </c>
      <c r="G570" s="79"/>
      <c r="H570" s="63"/>
      <c r="I570" s="27"/>
      <c r="J570" s="28"/>
      <c r="K570" s="43"/>
      <c r="L570" s="29">
        <f t="shared" si="88"/>
        <v>0</v>
      </c>
      <c r="M570" s="29">
        <f t="shared" si="89"/>
        <v>0</v>
      </c>
      <c r="O570" s="54"/>
      <c r="Q570" s="273"/>
      <c r="R570" s="259"/>
      <c r="S570" s="260"/>
      <c r="T570" s="261"/>
      <c r="U570" s="262"/>
      <c r="V570" s="263"/>
      <c r="W570" s="263"/>
      <c r="Y570" s="11"/>
    </row>
    <row r="571" spans="1:25" hidden="1" outlineLevel="1">
      <c r="A571" s="96">
        <v>45860</v>
      </c>
      <c r="B571" s="17" t="s">
        <v>19</v>
      </c>
      <c r="C571" s="23">
        <f>G573</f>
        <v>40</v>
      </c>
      <c r="D571" s="23"/>
      <c r="E571" s="23">
        <f t="shared" si="87"/>
        <v>-4588</v>
      </c>
      <c r="G571" s="78">
        <v>56</v>
      </c>
      <c r="H571" s="62">
        <f>C566</f>
        <v>56</v>
      </c>
      <c r="I571" s="20"/>
      <c r="J571" s="21"/>
      <c r="K571" s="57">
        <v>56</v>
      </c>
      <c r="L571" s="23">
        <f t="shared" si="88"/>
        <v>0</v>
      </c>
      <c r="M571" s="23">
        <f t="shared" si="89"/>
        <v>0</v>
      </c>
      <c r="O571" s="52"/>
      <c r="Q571" s="273"/>
      <c r="R571" s="259"/>
      <c r="S571" s="260"/>
      <c r="T571" s="261"/>
      <c r="U571" s="262"/>
      <c r="V571" s="263"/>
      <c r="W571" s="263"/>
    </row>
    <row r="572" spans="1:25" hidden="1" outlineLevel="1">
      <c r="A572" s="96">
        <v>45861</v>
      </c>
      <c r="B572" s="17" t="s">
        <v>20</v>
      </c>
      <c r="C572" s="23">
        <f t="shared" ref="C572" si="94">G574</f>
        <v>48</v>
      </c>
      <c r="D572" s="23"/>
      <c r="E572" s="23">
        <f t="shared" si="87"/>
        <v>-4636</v>
      </c>
      <c r="G572" s="78">
        <f>48+4</f>
        <v>52</v>
      </c>
      <c r="H572" s="62">
        <f t="shared" ref="H572:H574" si="95">IF(C570&lt;&gt;"",C570+I572,IF(C568&lt;&gt;"",C568+I572,IF(C567&lt;&gt;"",C567+I572,IF(C566&lt;&gt;"",C566+I572,IF(C565&lt;&gt;"",C565+I572,IF(C564&lt;&gt;"",C564+I572))))))</f>
        <v>52</v>
      </c>
      <c r="I572" s="20"/>
      <c r="J572" s="21"/>
      <c r="K572" s="57">
        <v>52</v>
      </c>
      <c r="L572" s="23">
        <f t="shared" si="88"/>
        <v>0</v>
      </c>
      <c r="M572" s="23">
        <f t="shared" si="89"/>
        <v>0</v>
      </c>
      <c r="O572" s="52"/>
      <c r="Q572" s="273"/>
      <c r="R572" s="259"/>
      <c r="S572" s="260"/>
      <c r="T572" s="261"/>
      <c r="U572" s="262"/>
      <c r="V572" s="263"/>
      <c r="W572" s="263"/>
    </row>
    <row r="573" spans="1:25" hidden="1" outlineLevel="1">
      <c r="A573" s="96">
        <v>45862</v>
      </c>
      <c r="B573" s="17" t="s">
        <v>14</v>
      </c>
      <c r="C573" s="23">
        <f>G577</f>
        <v>40</v>
      </c>
      <c r="D573" s="23"/>
      <c r="E573" s="23">
        <f t="shared" si="87"/>
        <v>-4676</v>
      </c>
      <c r="G573" s="78">
        <v>40</v>
      </c>
      <c r="H573" s="62">
        <f t="shared" si="95"/>
        <v>40</v>
      </c>
      <c r="I573" s="20"/>
      <c r="J573" s="21"/>
      <c r="K573" s="57">
        <v>40</v>
      </c>
      <c r="L573" s="23">
        <f t="shared" si="88"/>
        <v>0</v>
      </c>
      <c r="M573" s="23">
        <f t="shared" si="89"/>
        <v>0</v>
      </c>
      <c r="O573" s="52"/>
      <c r="Q573" s="273"/>
      <c r="R573" s="259"/>
      <c r="S573" s="260"/>
      <c r="T573" s="261"/>
      <c r="U573" s="262"/>
      <c r="V573" s="263"/>
      <c r="W573" s="263"/>
    </row>
    <row r="574" spans="1:25" hidden="1" outlineLevel="1">
      <c r="A574" s="96">
        <v>45863</v>
      </c>
      <c r="B574" s="17" t="s">
        <v>15</v>
      </c>
      <c r="C574" s="23">
        <f>G578</f>
        <v>48</v>
      </c>
      <c r="D574" s="23"/>
      <c r="E574" s="23">
        <f t="shared" si="87"/>
        <v>-4724</v>
      </c>
      <c r="G574" s="78">
        <v>48</v>
      </c>
      <c r="H574" s="62">
        <f t="shared" si="95"/>
        <v>48</v>
      </c>
      <c r="I574" s="20"/>
      <c r="J574" s="21"/>
      <c r="K574" s="57">
        <v>48</v>
      </c>
      <c r="L574" s="23">
        <f t="shared" si="88"/>
        <v>0</v>
      </c>
      <c r="M574" s="23">
        <f t="shared" si="89"/>
        <v>0</v>
      </c>
      <c r="O574" s="52"/>
      <c r="Q574" s="273"/>
      <c r="R574" s="259"/>
      <c r="S574" s="260"/>
      <c r="T574" s="261"/>
      <c r="U574" s="262"/>
      <c r="V574" s="263"/>
      <c r="W574" s="263"/>
      <c r="Y574" s="1">
        <f>AVERAGE(G570:G574)</f>
        <v>49</v>
      </c>
    </row>
    <row r="575" spans="1:25" s="12" customFormat="1" hidden="1" outlineLevel="1">
      <c r="A575" s="95">
        <v>45864</v>
      </c>
      <c r="B575" s="25" t="s">
        <v>16</v>
      </c>
      <c r="C575" s="29"/>
      <c r="D575" s="29"/>
      <c r="E575" s="29">
        <f t="shared" si="87"/>
        <v>-4724</v>
      </c>
      <c r="G575" s="79"/>
      <c r="H575" s="63"/>
      <c r="I575" s="27"/>
      <c r="J575" s="28"/>
      <c r="K575" s="43"/>
      <c r="L575" s="29">
        <f t="shared" si="88"/>
        <v>0</v>
      </c>
      <c r="M575" s="29">
        <f t="shared" si="89"/>
        <v>0</v>
      </c>
      <c r="O575" s="54"/>
      <c r="Q575" s="273"/>
      <c r="R575" s="259"/>
      <c r="S575" s="260"/>
      <c r="T575" s="261"/>
      <c r="U575" s="262"/>
      <c r="V575" s="263"/>
      <c r="W575" s="263"/>
      <c r="Y575" s="11"/>
    </row>
    <row r="576" spans="1:25" s="12" customFormat="1" hidden="1" outlineLevel="1" collapsed="1">
      <c r="A576" s="95">
        <v>45865</v>
      </c>
      <c r="B576" s="25" t="s">
        <v>17</v>
      </c>
      <c r="C576" s="29"/>
      <c r="D576" s="29"/>
      <c r="E576" s="29">
        <f t="shared" si="87"/>
        <v>-4724</v>
      </c>
      <c r="G576" s="79"/>
      <c r="H576" s="63"/>
      <c r="I576" s="27"/>
      <c r="J576" s="28"/>
      <c r="K576" s="43"/>
      <c r="L576" s="29">
        <f t="shared" si="88"/>
        <v>0</v>
      </c>
      <c r="M576" s="29">
        <f t="shared" si="89"/>
        <v>0</v>
      </c>
      <c r="O576" s="54"/>
      <c r="Q576" s="273"/>
      <c r="R576" s="259"/>
      <c r="S576" s="260"/>
      <c r="T576" s="261"/>
      <c r="U576" s="262"/>
      <c r="V576" s="263"/>
      <c r="W576" s="263"/>
      <c r="Y576" s="11"/>
    </row>
    <row r="577" spans="1:25" hidden="1" outlineLevel="1">
      <c r="A577" s="96">
        <v>45866</v>
      </c>
      <c r="B577" s="17" t="s">
        <v>18</v>
      </c>
      <c r="C577" s="302">
        <f t="shared" ref="C577:C579" si="96">G579</f>
        <v>48</v>
      </c>
      <c r="D577" s="23"/>
      <c r="E577" s="23">
        <f t="shared" si="87"/>
        <v>-4772</v>
      </c>
      <c r="G577" s="78">
        <v>40</v>
      </c>
      <c r="H577" s="62">
        <f t="shared" ref="H577:H581" si="97">IF(C575&lt;&gt;"",C575+I577,IF(C573&lt;&gt;"",C573+I577,IF(C572&lt;&gt;"",C572+I577,IF(C571&lt;&gt;"",C571+I577,IF(C570&lt;&gt;"",C570+I577,IF(C569&lt;&gt;"",C569+I577))))))</f>
        <v>40</v>
      </c>
      <c r="I577" s="20"/>
      <c r="J577" s="21"/>
      <c r="K577" s="57">
        <v>40</v>
      </c>
      <c r="L577" s="23">
        <f t="shared" si="88"/>
        <v>0</v>
      </c>
      <c r="M577" s="23">
        <f t="shared" si="89"/>
        <v>0</v>
      </c>
      <c r="O577" s="52"/>
      <c r="Q577" s="273"/>
      <c r="R577" s="259"/>
      <c r="S577" s="260"/>
      <c r="T577" s="261"/>
      <c r="U577" s="262"/>
      <c r="V577" s="263"/>
      <c r="W577" s="263"/>
    </row>
    <row r="578" spans="1:25" hidden="1" outlineLevel="1">
      <c r="A578" s="96">
        <v>45867</v>
      </c>
      <c r="B578" s="17" t="s">
        <v>19</v>
      </c>
      <c r="C578" s="302">
        <f t="shared" si="96"/>
        <v>40</v>
      </c>
      <c r="D578" s="23"/>
      <c r="E578" s="23">
        <f t="shared" si="87"/>
        <v>-4812</v>
      </c>
      <c r="G578" s="78">
        <v>48</v>
      </c>
      <c r="H578" s="62">
        <f t="shared" si="97"/>
        <v>48</v>
      </c>
      <c r="I578" s="20"/>
      <c r="J578" s="21"/>
      <c r="K578" s="57">
        <v>48</v>
      </c>
      <c r="L578" s="23">
        <f t="shared" si="88"/>
        <v>0</v>
      </c>
      <c r="M578" s="23">
        <f t="shared" si="89"/>
        <v>0</v>
      </c>
      <c r="O578" s="52"/>
      <c r="Q578" s="273"/>
      <c r="R578" s="259"/>
      <c r="S578" s="260"/>
      <c r="T578" s="261"/>
      <c r="U578" s="262"/>
      <c r="V578" s="263"/>
      <c r="W578" s="263"/>
    </row>
    <row r="579" spans="1:25" hidden="1" outlineLevel="1">
      <c r="A579" s="96">
        <v>45868</v>
      </c>
      <c r="B579" s="17" t="s">
        <v>20</v>
      </c>
      <c r="C579" s="302">
        <f t="shared" si="96"/>
        <v>48</v>
      </c>
      <c r="D579" s="23"/>
      <c r="E579" s="23">
        <f t="shared" si="87"/>
        <v>-4860</v>
      </c>
      <c r="G579" s="78">
        <v>48</v>
      </c>
      <c r="H579" s="62">
        <f t="shared" si="97"/>
        <v>48</v>
      </c>
      <c r="I579" s="20"/>
      <c r="J579" s="21"/>
      <c r="K579" s="57">
        <v>48</v>
      </c>
      <c r="L579" s="23">
        <f t="shared" si="88"/>
        <v>0</v>
      </c>
      <c r="M579" s="23">
        <f t="shared" si="89"/>
        <v>0</v>
      </c>
      <c r="O579" s="52"/>
      <c r="Q579" s="273"/>
      <c r="R579" s="259"/>
      <c r="S579" s="260"/>
      <c r="T579" s="261"/>
      <c r="U579" s="262"/>
      <c r="V579" s="263"/>
      <c r="W579" s="263"/>
    </row>
    <row r="580" spans="1:25" hidden="1" outlineLevel="1">
      <c r="A580" s="96">
        <v>45869</v>
      </c>
      <c r="B580" s="17" t="s">
        <v>14</v>
      </c>
      <c r="C580" s="195">
        <f>G584</f>
        <v>0</v>
      </c>
      <c r="D580" s="23"/>
      <c r="E580" s="23">
        <f t="shared" si="87"/>
        <v>-4860</v>
      </c>
      <c r="G580" s="78">
        <v>40</v>
      </c>
      <c r="H580" s="62">
        <f t="shared" si="97"/>
        <v>40</v>
      </c>
      <c r="I580" s="20"/>
      <c r="J580" s="21"/>
      <c r="K580" s="57">
        <v>40</v>
      </c>
      <c r="L580" s="23">
        <f t="shared" si="88"/>
        <v>0</v>
      </c>
      <c r="M580" s="23">
        <f t="shared" si="89"/>
        <v>0</v>
      </c>
      <c r="O580" s="52"/>
      <c r="Q580" s="273"/>
      <c r="R580" s="259"/>
      <c r="S580" s="260"/>
      <c r="T580" s="261"/>
      <c r="U580" s="262"/>
      <c r="V580" s="263"/>
      <c r="W580" s="263"/>
    </row>
    <row r="581" spans="1:25" hidden="1" outlineLevel="1">
      <c r="A581" s="96">
        <v>45870</v>
      </c>
      <c r="B581" s="17" t="s">
        <v>15</v>
      </c>
      <c r="C581" s="195">
        <f>G585</f>
        <v>0</v>
      </c>
      <c r="D581" s="23"/>
      <c r="E581" s="23">
        <f t="shared" si="87"/>
        <v>-4860</v>
      </c>
      <c r="G581" s="78">
        <v>48</v>
      </c>
      <c r="H581" s="62">
        <f t="shared" si="97"/>
        <v>48</v>
      </c>
      <c r="I581" s="20"/>
      <c r="J581" s="21"/>
      <c r="K581" s="57">
        <v>48</v>
      </c>
      <c r="L581" s="23">
        <f t="shared" si="88"/>
        <v>0</v>
      </c>
      <c r="M581" s="23">
        <f t="shared" si="89"/>
        <v>0</v>
      </c>
      <c r="O581" s="52"/>
      <c r="Q581" s="273"/>
      <c r="R581" s="259"/>
      <c r="S581" s="260"/>
      <c r="T581" s="261"/>
      <c r="U581" s="262"/>
      <c r="V581" s="263"/>
      <c r="W581" s="263"/>
      <c r="Y581" s="1">
        <f>AVERAGE(G577:G581)</f>
        <v>44.8</v>
      </c>
    </row>
    <row r="582" spans="1:25" s="12" customFormat="1" hidden="1" outlineLevel="1">
      <c r="A582" s="95">
        <v>45871</v>
      </c>
      <c r="B582" s="25" t="s">
        <v>16</v>
      </c>
      <c r="C582" s="29"/>
      <c r="D582" s="29"/>
      <c r="E582" s="29">
        <f t="shared" si="87"/>
        <v>-4860</v>
      </c>
      <c r="G582" s="79"/>
      <c r="H582" s="63"/>
      <c r="I582" s="27"/>
      <c r="J582" s="28"/>
      <c r="K582" s="43"/>
      <c r="L582" s="29">
        <f t="shared" si="88"/>
        <v>0</v>
      </c>
      <c r="M582" s="29">
        <f t="shared" si="89"/>
        <v>0</v>
      </c>
      <c r="O582" s="54"/>
      <c r="Q582" s="273"/>
      <c r="R582" s="259"/>
      <c r="S582" s="260"/>
      <c r="T582" s="261"/>
      <c r="U582" s="262"/>
      <c r="V582" s="263"/>
      <c r="W582" s="263"/>
      <c r="Y582" s="11"/>
    </row>
    <row r="583" spans="1:25" s="12" customFormat="1" hidden="1" outlineLevel="1">
      <c r="A583" s="95">
        <v>45872</v>
      </c>
      <c r="B583" s="25" t="s">
        <v>17</v>
      </c>
      <c r="C583" s="29"/>
      <c r="D583" s="29"/>
      <c r="E583" s="29">
        <f t="shared" si="87"/>
        <v>-4860</v>
      </c>
      <c r="G583" s="79"/>
      <c r="H583" s="63"/>
      <c r="I583" s="27"/>
      <c r="J583" s="28"/>
      <c r="K583" s="43"/>
      <c r="L583" s="29">
        <f t="shared" si="88"/>
        <v>0</v>
      </c>
      <c r="M583" s="29">
        <f t="shared" si="89"/>
        <v>0</v>
      </c>
      <c r="O583" s="54"/>
      <c r="Q583" s="273"/>
      <c r="R583" s="259"/>
      <c r="S583" s="260"/>
      <c r="T583" s="261"/>
      <c r="U583" s="262"/>
      <c r="V583" s="263"/>
      <c r="W583" s="263"/>
      <c r="Y583" s="11"/>
    </row>
    <row r="584" spans="1:25" hidden="1" outlineLevel="1">
      <c r="A584" s="96">
        <v>45873</v>
      </c>
      <c r="B584" s="17" t="s">
        <v>18</v>
      </c>
      <c r="C584" s="23">
        <f t="shared" ref="C584:C586" si="98">G586</f>
        <v>8</v>
      </c>
      <c r="D584" s="23"/>
      <c r="E584" s="23">
        <f t="shared" si="87"/>
        <v>-4868</v>
      </c>
      <c r="G584" s="78">
        <v>0</v>
      </c>
      <c r="H584" s="175">
        <f t="shared" ref="H584:H588" si="99">IF(C582&lt;&gt;"",C582+I584,IF(C580&lt;&gt;"",C580+I584,IF(C579&lt;&gt;"",C579+I584,IF(C578&lt;&gt;"",C578+I584,IF(C577&lt;&gt;"",C577+I584,IF(C576&lt;&gt;"",C576+I584))))))</f>
        <v>0</v>
      </c>
      <c r="I584" s="20"/>
      <c r="J584" s="21"/>
      <c r="K584" s="57">
        <v>0</v>
      </c>
      <c r="L584" s="23">
        <f t="shared" si="88"/>
        <v>0</v>
      </c>
      <c r="M584" s="23">
        <f t="shared" si="89"/>
        <v>0</v>
      </c>
      <c r="O584" s="52"/>
      <c r="Q584" s="273"/>
      <c r="R584" s="309"/>
      <c r="S584" s="260"/>
      <c r="T584" s="261"/>
      <c r="U584" s="262"/>
      <c r="V584" s="263"/>
      <c r="W584" s="263"/>
    </row>
    <row r="585" spans="1:25" hidden="1" outlineLevel="1">
      <c r="A585" s="96">
        <v>45874</v>
      </c>
      <c r="B585" s="17" t="s">
        <v>19</v>
      </c>
      <c r="C585" s="23">
        <f t="shared" si="98"/>
        <v>40</v>
      </c>
      <c r="D585" s="23"/>
      <c r="E585" s="23">
        <f t="shared" si="87"/>
        <v>-4908</v>
      </c>
      <c r="G585" s="78">
        <v>0</v>
      </c>
      <c r="H585" s="175">
        <f t="shared" si="99"/>
        <v>0</v>
      </c>
      <c r="I585" s="20"/>
      <c r="J585" s="21"/>
      <c r="K585" s="57">
        <v>0</v>
      </c>
      <c r="L585" s="23">
        <f t="shared" si="88"/>
        <v>0</v>
      </c>
      <c r="M585" s="23">
        <f t="shared" si="89"/>
        <v>0</v>
      </c>
      <c r="O585" s="52"/>
      <c r="Q585" s="273"/>
      <c r="R585" s="309"/>
      <c r="S585" s="260"/>
      <c r="T585" s="261"/>
      <c r="U585" s="262"/>
      <c r="V585" s="263"/>
      <c r="W585" s="263"/>
    </row>
    <row r="586" spans="1:25" hidden="1" outlineLevel="1">
      <c r="A586" s="96">
        <v>45875</v>
      </c>
      <c r="B586" s="17" t="s">
        <v>20</v>
      </c>
      <c r="C586" s="23">
        <f t="shared" si="98"/>
        <v>56</v>
      </c>
      <c r="D586" s="23"/>
      <c r="E586" s="23">
        <f t="shared" si="87"/>
        <v>-4964</v>
      </c>
      <c r="G586" s="78">
        <v>8</v>
      </c>
      <c r="H586" s="175">
        <f t="shared" si="99"/>
        <v>8</v>
      </c>
      <c r="I586" s="20"/>
      <c r="J586" s="21"/>
      <c r="K586" s="57">
        <v>8</v>
      </c>
      <c r="L586" s="23">
        <f t="shared" si="88"/>
        <v>0</v>
      </c>
      <c r="M586" s="23">
        <f t="shared" si="89"/>
        <v>0</v>
      </c>
      <c r="O586" s="52"/>
      <c r="Q586" s="273"/>
      <c r="R586" s="309"/>
      <c r="S586" s="260"/>
      <c r="T586" s="261"/>
      <c r="U586" s="262"/>
      <c r="V586" s="263"/>
      <c r="W586" s="263"/>
    </row>
    <row r="587" spans="1:25" hidden="1" outlineLevel="1">
      <c r="A587" s="96">
        <v>45876</v>
      </c>
      <c r="B587" s="17" t="s">
        <v>14</v>
      </c>
      <c r="C587" s="23">
        <f>G598</f>
        <v>40</v>
      </c>
      <c r="D587" s="23"/>
      <c r="E587" s="23">
        <f t="shared" ref="E587:E618" si="100">E586-C587+D587</f>
        <v>-5004</v>
      </c>
      <c r="G587" s="78">
        <v>40</v>
      </c>
      <c r="H587" s="62">
        <f t="shared" si="99"/>
        <v>40</v>
      </c>
      <c r="I587" s="20"/>
      <c r="J587" s="21"/>
      <c r="K587" s="57">
        <v>40</v>
      </c>
      <c r="L587" s="23">
        <f t="shared" ref="L587:L618" si="101">L586-G587+K587</f>
        <v>0</v>
      </c>
      <c r="M587" s="23">
        <f t="shared" ref="M587:M618" si="102">M586-G587+H587</f>
        <v>0</v>
      </c>
      <c r="O587" s="52"/>
      <c r="Q587" s="273"/>
      <c r="R587" s="259"/>
      <c r="S587" s="260"/>
      <c r="T587" s="261"/>
      <c r="U587" s="262"/>
      <c r="V587" s="263"/>
      <c r="W587" s="263"/>
    </row>
    <row r="588" spans="1:25" hidden="1" outlineLevel="1">
      <c r="A588" s="96">
        <v>45877</v>
      </c>
      <c r="B588" s="17" t="s">
        <v>15</v>
      </c>
      <c r="C588" s="23">
        <f>G599</f>
        <v>48</v>
      </c>
      <c r="D588" s="23"/>
      <c r="E588" s="23">
        <f t="shared" si="100"/>
        <v>-5052</v>
      </c>
      <c r="G588" s="78">
        <v>56</v>
      </c>
      <c r="H588" s="62">
        <f t="shared" si="99"/>
        <v>56</v>
      </c>
      <c r="I588" s="20"/>
      <c r="J588" s="21"/>
      <c r="K588" s="57">
        <v>56</v>
      </c>
      <c r="L588" s="23">
        <f t="shared" si="101"/>
        <v>0</v>
      </c>
      <c r="M588" s="23">
        <f t="shared" si="102"/>
        <v>0</v>
      </c>
      <c r="O588" s="52"/>
      <c r="Q588" s="273"/>
      <c r="R588" s="259"/>
      <c r="S588" s="260"/>
      <c r="T588" s="261"/>
      <c r="U588" s="262"/>
      <c r="V588" s="263"/>
      <c r="W588" s="263"/>
      <c r="Y588" s="1">
        <f>AVERAGE(G584:G588)</f>
        <v>20.8</v>
      </c>
    </row>
    <row r="589" spans="1:25" s="12" customFormat="1" hidden="1" outlineLevel="1">
      <c r="A589" s="95">
        <v>45878</v>
      </c>
      <c r="B589" s="25" t="s">
        <v>16</v>
      </c>
      <c r="C589" s="29"/>
      <c r="D589" s="29"/>
      <c r="E589" s="29">
        <f t="shared" si="100"/>
        <v>-5052</v>
      </c>
      <c r="G589" s="79"/>
      <c r="H589" s="63"/>
      <c r="I589" s="27"/>
      <c r="J589" s="28"/>
      <c r="K589" s="43"/>
      <c r="L589" s="29">
        <f t="shared" si="101"/>
        <v>0</v>
      </c>
      <c r="M589" s="29">
        <f t="shared" si="102"/>
        <v>0</v>
      </c>
      <c r="O589" s="54"/>
      <c r="Q589" s="273"/>
      <c r="R589" s="259"/>
      <c r="S589" s="260"/>
      <c r="T589" s="261"/>
      <c r="U589" s="262"/>
      <c r="V589" s="263"/>
      <c r="W589" s="263"/>
      <c r="Y589" s="11"/>
    </row>
    <row r="590" spans="1:25" s="12" customFormat="1" hidden="1" outlineLevel="1">
      <c r="A590" s="95">
        <v>45879</v>
      </c>
      <c r="B590" s="25" t="s">
        <v>17</v>
      </c>
      <c r="C590" s="29"/>
      <c r="D590" s="29"/>
      <c r="E590" s="29">
        <f t="shared" si="100"/>
        <v>-5052</v>
      </c>
      <c r="G590" s="79"/>
      <c r="H590" s="63"/>
      <c r="I590" s="27"/>
      <c r="J590" s="28"/>
      <c r="K590" s="43"/>
      <c r="L590" s="29">
        <f t="shared" si="101"/>
        <v>0</v>
      </c>
      <c r="M590" s="29">
        <f t="shared" si="102"/>
        <v>0</v>
      </c>
      <c r="O590" s="54"/>
      <c r="Q590" s="273"/>
      <c r="R590" s="259"/>
      <c r="S590" s="260"/>
      <c r="T590" s="261"/>
      <c r="U590" s="262"/>
      <c r="V590" s="263"/>
      <c r="W590" s="263"/>
      <c r="Y590" s="11"/>
    </row>
    <row r="591" spans="1:25" s="12" customFormat="1" hidden="1" outlineLevel="1">
      <c r="A591" s="95">
        <v>45880</v>
      </c>
      <c r="B591" s="25" t="s">
        <v>18</v>
      </c>
      <c r="C591" s="29"/>
      <c r="D591" s="29"/>
      <c r="E591" s="29">
        <f t="shared" si="100"/>
        <v>-5052</v>
      </c>
      <c r="G591" s="79"/>
      <c r="H591" s="63"/>
      <c r="I591" s="27"/>
      <c r="J591" s="28"/>
      <c r="K591" s="43"/>
      <c r="L591" s="29">
        <f t="shared" si="101"/>
        <v>0</v>
      </c>
      <c r="M591" s="29">
        <f t="shared" si="102"/>
        <v>0</v>
      </c>
      <c r="O591" s="54"/>
      <c r="Q591" s="273"/>
      <c r="R591" s="259"/>
      <c r="S591" s="260"/>
      <c r="T591" s="261"/>
      <c r="U591" s="262"/>
      <c r="V591" s="263"/>
      <c r="W591" s="263"/>
      <c r="Y591" s="11"/>
    </row>
    <row r="592" spans="1:25" s="12" customFormat="1" hidden="1" outlineLevel="1">
      <c r="A592" s="95">
        <v>45881</v>
      </c>
      <c r="B592" s="25" t="s">
        <v>19</v>
      </c>
      <c r="C592" s="29"/>
      <c r="D592" s="29"/>
      <c r="E592" s="29">
        <f t="shared" si="100"/>
        <v>-5052</v>
      </c>
      <c r="G592" s="79"/>
      <c r="H592" s="63"/>
      <c r="I592" s="27"/>
      <c r="J592" s="28"/>
      <c r="K592" s="43"/>
      <c r="L592" s="29">
        <f t="shared" si="101"/>
        <v>0</v>
      </c>
      <c r="M592" s="29">
        <f t="shared" si="102"/>
        <v>0</v>
      </c>
      <c r="O592" s="54"/>
      <c r="Q592" s="273"/>
      <c r="R592" s="259"/>
      <c r="S592" s="260"/>
      <c r="T592" s="261"/>
      <c r="U592" s="262"/>
      <c r="V592" s="263"/>
      <c r="W592" s="263"/>
      <c r="Y592" s="11"/>
    </row>
    <row r="593" spans="1:25" s="12" customFormat="1" hidden="1" outlineLevel="1">
      <c r="A593" s="95">
        <v>45882</v>
      </c>
      <c r="B593" s="25" t="s">
        <v>20</v>
      </c>
      <c r="C593" s="29"/>
      <c r="D593" s="29"/>
      <c r="E593" s="29">
        <f t="shared" si="100"/>
        <v>-5052</v>
      </c>
      <c r="G593" s="79"/>
      <c r="H593" s="63"/>
      <c r="I593" s="27"/>
      <c r="J593" s="28"/>
      <c r="K593" s="43"/>
      <c r="L593" s="29">
        <f t="shared" si="101"/>
        <v>0</v>
      </c>
      <c r="M593" s="29">
        <f t="shared" si="102"/>
        <v>0</v>
      </c>
      <c r="O593" s="54"/>
      <c r="Q593" s="273"/>
      <c r="R593" s="259"/>
      <c r="S593" s="260"/>
      <c r="T593" s="261"/>
      <c r="U593" s="262"/>
      <c r="V593" s="263"/>
      <c r="W593" s="263"/>
      <c r="Y593" s="11"/>
    </row>
    <row r="594" spans="1:25" s="12" customFormat="1" hidden="1" outlineLevel="1" collapsed="1">
      <c r="A594" s="95">
        <v>45883</v>
      </c>
      <c r="B594" s="25" t="s">
        <v>14</v>
      </c>
      <c r="C594" s="29"/>
      <c r="D594" s="29"/>
      <c r="E594" s="29">
        <f t="shared" si="100"/>
        <v>-5052</v>
      </c>
      <c r="G594" s="79"/>
      <c r="H594" s="63"/>
      <c r="I594" s="27"/>
      <c r="J594" s="28"/>
      <c r="K594" s="43"/>
      <c r="L594" s="29">
        <f t="shared" si="101"/>
        <v>0</v>
      </c>
      <c r="M594" s="29">
        <f t="shared" si="102"/>
        <v>0</v>
      </c>
      <c r="O594" s="54"/>
      <c r="Q594" s="273"/>
      <c r="R594" s="259"/>
      <c r="S594" s="260"/>
      <c r="T594" s="261"/>
      <c r="U594" s="262"/>
      <c r="V594" s="263"/>
      <c r="W594" s="263"/>
      <c r="Y594" s="11"/>
    </row>
    <row r="595" spans="1:25" s="12" customFormat="1" hidden="1" outlineLevel="1">
      <c r="A595" s="95">
        <v>45884</v>
      </c>
      <c r="B595" s="25" t="s">
        <v>15</v>
      </c>
      <c r="C595" s="29"/>
      <c r="D595" s="29"/>
      <c r="E595" s="29">
        <f t="shared" si="100"/>
        <v>-5052</v>
      </c>
      <c r="G595" s="79"/>
      <c r="H595" s="63"/>
      <c r="I595" s="27"/>
      <c r="J595" s="28"/>
      <c r="K595" s="43"/>
      <c r="L595" s="29">
        <f t="shared" si="101"/>
        <v>0</v>
      </c>
      <c r="M595" s="29">
        <f t="shared" si="102"/>
        <v>0</v>
      </c>
      <c r="O595" s="54"/>
      <c r="Q595" s="273"/>
      <c r="R595" s="259"/>
      <c r="S595" s="260"/>
      <c r="T595" s="261"/>
      <c r="U595" s="262"/>
      <c r="V595" s="263"/>
      <c r="W595" s="263"/>
      <c r="Y595" s="11"/>
    </row>
    <row r="596" spans="1:25" s="12" customFormat="1" hidden="1" outlineLevel="1">
      <c r="A596" s="95">
        <v>45885</v>
      </c>
      <c r="B596" s="25" t="s">
        <v>16</v>
      </c>
      <c r="C596" s="29"/>
      <c r="D596" s="29"/>
      <c r="E596" s="29">
        <f t="shared" si="100"/>
        <v>-5052</v>
      </c>
      <c r="G596" s="79"/>
      <c r="H596" s="63"/>
      <c r="I596" s="27"/>
      <c r="J596" s="28"/>
      <c r="K596" s="43"/>
      <c r="L596" s="29">
        <f t="shared" si="101"/>
        <v>0</v>
      </c>
      <c r="M596" s="29">
        <f t="shared" si="102"/>
        <v>0</v>
      </c>
      <c r="O596" s="54"/>
      <c r="Q596" s="273"/>
      <c r="R596" s="259"/>
      <c r="S596" s="260"/>
      <c r="T596" s="261"/>
      <c r="U596" s="262"/>
      <c r="V596" s="263"/>
      <c r="W596" s="263"/>
      <c r="Y596" s="11"/>
    </row>
    <row r="597" spans="1:25" s="12" customFormat="1" hidden="1" outlineLevel="1">
      <c r="A597" s="95">
        <v>45886</v>
      </c>
      <c r="B597" s="25" t="s">
        <v>17</v>
      </c>
      <c r="C597" s="29"/>
      <c r="D597" s="29"/>
      <c r="E597" s="29">
        <f t="shared" si="100"/>
        <v>-5052</v>
      </c>
      <c r="G597" s="79"/>
      <c r="H597" s="63"/>
      <c r="I597" s="27"/>
      <c r="J597" s="28"/>
      <c r="K597" s="43"/>
      <c r="L597" s="29">
        <f t="shared" si="101"/>
        <v>0</v>
      </c>
      <c r="M597" s="29">
        <f t="shared" si="102"/>
        <v>0</v>
      </c>
      <c r="O597" s="54"/>
      <c r="Q597" s="273"/>
      <c r="R597" s="259"/>
      <c r="S597" s="260"/>
      <c r="T597" s="261"/>
      <c r="U597" s="262"/>
      <c r="V597" s="263"/>
      <c r="W597" s="263"/>
      <c r="Y597" s="11"/>
    </row>
    <row r="598" spans="1:25" hidden="1" outlineLevel="1">
      <c r="A598" s="96">
        <v>45887</v>
      </c>
      <c r="B598" s="17" t="s">
        <v>18</v>
      </c>
      <c r="C598" s="23">
        <f t="shared" ref="C598:C600" si="103">G600</f>
        <v>40</v>
      </c>
      <c r="D598" s="23"/>
      <c r="E598" s="23">
        <f t="shared" si="100"/>
        <v>-5092</v>
      </c>
      <c r="G598" s="78">
        <v>40</v>
      </c>
      <c r="H598" s="62">
        <f>C587</f>
        <v>40</v>
      </c>
      <c r="I598" s="20"/>
      <c r="J598" s="21"/>
      <c r="K598" s="57">
        <v>40</v>
      </c>
      <c r="L598" s="23">
        <f t="shared" si="101"/>
        <v>0</v>
      </c>
      <c r="M598" s="23">
        <f t="shared" si="102"/>
        <v>0</v>
      </c>
      <c r="O598" s="52"/>
      <c r="Q598" s="273"/>
      <c r="R598" s="259"/>
      <c r="S598" s="260"/>
      <c r="T598" s="261"/>
      <c r="U598" s="262"/>
      <c r="V598" s="263"/>
      <c r="W598" s="263"/>
    </row>
    <row r="599" spans="1:25" hidden="1" outlineLevel="1">
      <c r="A599" s="96">
        <v>45888</v>
      </c>
      <c r="B599" s="17" t="s">
        <v>19</v>
      </c>
      <c r="C599" s="23">
        <f t="shared" si="103"/>
        <v>40</v>
      </c>
      <c r="D599" s="23"/>
      <c r="E599" s="23">
        <f t="shared" si="100"/>
        <v>-5132</v>
      </c>
      <c r="G599" s="78">
        <v>48</v>
      </c>
      <c r="H599" s="62">
        <f>C588</f>
        <v>48</v>
      </c>
      <c r="I599" s="20"/>
      <c r="J599" s="21"/>
      <c r="K599" s="57">
        <v>48</v>
      </c>
      <c r="L599" s="23">
        <f t="shared" si="101"/>
        <v>0</v>
      </c>
      <c r="M599" s="23">
        <f t="shared" si="102"/>
        <v>0</v>
      </c>
      <c r="O599" s="52"/>
      <c r="Q599" s="273"/>
      <c r="R599" s="259"/>
      <c r="S599" s="260"/>
      <c r="T599" s="261"/>
      <c r="U599" s="262"/>
      <c r="V599" s="263"/>
      <c r="W599" s="263"/>
    </row>
    <row r="600" spans="1:25" hidden="1" outlineLevel="1">
      <c r="A600" s="96">
        <v>45889</v>
      </c>
      <c r="B600" s="17" t="s">
        <v>20</v>
      </c>
      <c r="C600" s="23">
        <f t="shared" si="103"/>
        <v>48</v>
      </c>
      <c r="D600" s="23"/>
      <c r="E600" s="23">
        <f t="shared" si="100"/>
        <v>-5180</v>
      </c>
      <c r="G600" s="78">
        <v>40</v>
      </c>
      <c r="H600" s="62">
        <f t="shared" ref="H600:H602" si="104">IF(C598&lt;&gt;"",C598+I600,IF(C596&lt;&gt;"",C596+I600,IF(C595&lt;&gt;"",C595+I600,IF(C594&lt;&gt;"",C594+I600,IF(C593&lt;&gt;"",C593+I600,IF(C592&lt;&gt;"",C592+I600))))))</f>
        <v>40</v>
      </c>
      <c r="I600" s="20"/>
      <c r="J600" s="21"/>
      <c r="K600" s="57">
        <v>40</v>
      </c>
      <c r="L600" s="23">
        <f t="shared" si="101"/>
        <v>0</v>
      </c>
      <c r="M600" s="23">
        <f t="shared" si="102"/>
        <v>0</v>
      </c>
      <c r="O600" s="52"/>
      <c r="Q600" s="273"/>
      <c r="R600" s="259"/>
      <c r="S600" s="260"/>
      <c r="T600" s="261"/>
      <c r="U600" s="262"/>
      <c r="V600" s="263"/>
      <c r="W600" s="263"/>
    </row>
    <row r="601" spans="1:25" hidden="1" outlineLevel="1">
      <c r="A601" s="96">
        <v>45890</v>
      </c>
      <c r="B601" s="17" t="s">
        <v>14</v>
      </c>
      <c r="C601" s="23">
        <f>G605</f>
        <v>8</v>
      </c>
      <c r="D601" s="23"/>
      <c r="E601" s="23">
        <f t="shared" si="100"/>
        <v>-5188</v>
      </c>
      <c r="G601" s="78">
        <v>40</v>
      </c>
      <c r="H601" s="62">
        <f t="shared" si="104"/>
        <v>40</v>
      </c>
      <c r="I601" s="20"/>
      <c r="J601" s="21"/>
      <c r="K601" s="57">
        <v>40</v>
      </c>
      <c r="L601" s="23">
        <f t="shared" si="101"/>
        <v>0</v>
      </c>
      <c r="M601" s="23">
        <f t="shared" si="102"/>
        <v>0</v>
      </c>
      <c r="O601" s="52"/>
      <c r="Q601" s="273"/>
      <c r="R601" s="259"/>
      <c r="S601" s="260"/>
      <c r="T601" s="261"/>
      <c r="U601" s="262"/>
      <c r="V601" s="263"/>
      <c r="W601" s="263"/>
    </row>
    <row r="602" spans="1:25" hidden="1" outlineLevel="1">
      <c r="A602" s="96">
        <v>45891</v>
      </c>
      <c r="B602" s="17" t="s">
        <v>15</v>
      </c>
      <c r="C602" s="23">
        <f>G606</f>
        <v>48</v>
      </c>
      <c r="D602" s="23"/>
      <c r="E602" s="23">
        <f t="shared" si="100"/>
        <v>-5236</v>
      </c>
      <c r="G602" s="78">
        <v>48</v>
      </c>
      <c r="H602" s="62">
        <f t="shared" si="104"/>
        <v>48</v>
      </c>
      <c r="I602" s="20"/>
      <c r="J602" s="21"/>
      <c r="K602" s="57">
        <v>48</v>
      </c>
      <c r="L602" s="23">
        <f t="shared" si="101"/>
        <v>0</v>
      </c>
      <c r="M602" s="23">
        <f t="shared" si="102"/>
        <v>0</v>
      </c>
      <c r="O602" s="52"/>
      <c r="Q602" s="273"/>
      <c r="R602" s="259"/>
      <c r="S602" s="260"/>
      <c r="T602" s="261"/>
      <c r="U602" s="262"/>
      <c r="V602" s="263"/>
      <c r="W602" s="263"/>
      <c r="Y602" s="1">
        <f>AVERAGE(G598:G602)</f>
        <v>43.2</v>
      </c>
    </row>
    <row r="603" spans="1:25" s="12" customFormat="1" hidden="1" outlineLevel="1">
      <c r="A603" s="95">
        <v>45892</v>
      </c>
      <c r="B603" s="25" t="s">
        <v>16</v>
      </c>
      <c r="C603" s="29"/>
      <c r="D603" s="29"/>
      <c r="E603" s="29">
        <f t="shared" si="100"/>
        <v>-5236</v>
      </c>
      <c r="G603" s="79"/>
      <c r="H603" s="63"/>
      <c r="I603" s="27"/>
      <c r="J603" s="28"/>
      <c r="K603" s="43"/>
      <c r="L603" s="29">
        <f t="shared" si="101"/>
        <v>0</v>
      </c>
      <c r="M603" s="29">
        <f t="shared" si="102"/>
        <v>0</v>
      </c>
      <c r="O603" s="54"/>
      <c r="Q603" s="273"/>
      <c r="R603" s="259"/>
      <c r="S603" s="260"/>
      <c r="T603" s="261"/>
      <c r="U603" s="262"/>
      <c r="V603" s="263"/>
      <c r="W603" s="263"/>
      <c r="Y603" s="11"/>
    </row>
    <row r="604" spans="1:25" s="12" customFormat="1" hidden="1" outlineLevel="1" collapsed="1">
      <c r="A604" s="95">
        <v>45893</v>
      </c>
      <c r="B604" s="25" t="s">
        <v>17</v>
      </c>
      <c r="C604" s="29"/>
      <c r="D604" s="29"/>
      <c r="E604" s="29">
        <f t="shared" si="100"/>
        <v>-5236</v>
      </c>
      <c r="G604" s="79"/>
      <c r="H604" s="63"/>
      <c r="I604" s="27"/>
      <c r="J604" s="28"/>
      <c r="K604" s="43"/>
      <c r="L604" s="29">
        <f t="shared" si="101"/>
        <v>0</v>
      </c>
      <c r="M604" s="29">
        <f t="shared" si="102"/>
        <v>0</v>
      </c>
      <c r="O604" s="54"/>
      <c r="Q604" s="273"/>
      <c r="R604" s="259"/>
      <c r="S604" s="260"/>
      <c r="T604" s="261"/>
      <c r="U604" s="262"/>
      <c r="V604" s="263"/>
      <c r="W604" s="263"/>
      <c r="Y604" s="11"/>
    </row>
    <row r="605" spans="1:25" hidden="1" outlineLevel="1">
      <c r="A605" s="96">
        <v>45894</v>
      </c>
      <c r="B605" s="17" t="s">
        <v>18</v>
      </c>
      <c r="C605" s="23">
        <f t="shared" ref="C605:C607" si="105">G607</f>
        <v>56</v>
      </c>
      <c r="D605" s="23"/>
      <c r="E605" s="23">
        <f t="shared" si="100"/>
        <v>-5292</v>
      </c>
      <c r="G605" s="78">
        <f>0+8</f>
        <v>8</v>
      </c>
      <c r="H605" s="62">
        <f t="shared" ref="H605:H609" si="106">IF(C603&lt;&gt;"",C603+I605,IF(C601&lt;&gt;"",C601+I605,IF(C600&lt;&gt;"",C600+I605,IF(C599&lt;&gt;"",C599+I605,IF(C598&lt;&gt;"",C598+I605,IF(C597&lt;&gt;"",C597+I605))))))</f>
        <v>8</v>
      </c>
      <c r="I605" s="20"/>
      <c r="J605" s="21"/>
      <c r="K605" s="57">
        <v>8</v>
      </c>
      <c r="L605" s="23">
        <f t="shared" si="101"/>
        <v>0</v>
      </c>
      <c r="M605" s="23">
        <f t="shared" si="102"/>
        <v>0</v>
      </c>
      <c r="O605" s="52"/>
      <c r="Q605" s="273"/>
      <c r="R605" s="259"/>
      <c r="S605" s="260"/>
      <c r="T605" s="261"/>
      <c r="U605" s="262"/>
      <c r="V605" s="263"/>
      <c r="W605" s="263"/>
    </row>
    <row r="606" spans="1:25" hidden="1" outlineLevel="1">
      <c r="A606" s="96">
        <v>45895</v>
      </c>
      <c r="B606" s="17" t="s">
        <v>19</v>
      </c>
      <c r="C606" s="23">
        <f t="shared" si="105"/>
        <v>40</v>
      </c>
      <c r="D606" s="23"/>
      <c r="E606" s="23">
        <f t="shared" si="100"/>
        <v>-5332</v>
      </c>
      <c r="G606" s="78">
        <v>48</v>
      </c>
      <c r="H606" s="62">
        <f t="shared" si="106"/>
        <v>48</v>
      </c>
      <c r="I606" s="20"/>
      <c r="J606" s="21"/>
      <c r="K606" s="57">
        <v>48</v>
      </c>
      <c r="L606" s="23">
        <f t="shared" si="101"/>
        <v>0</v>
      </c>
      <c r="M606" s="23">
        <f t="shared" si="102"/>
        <v>0</v>
      </c>
      <c r="O606" s="52"/>
      <c r="Q606" s="273"/>
      <c r="R606" s="259"/>
      <c r="S606" s="260"/>
      <c r="T606" s="261"/>
      <c r="U606" s="262"/>
      <c r="V606" s="263"/>
      <c r="W606" s="263"/>
    </row>
    <row r="607" spans="1:25" hidden="1" outlineLevel="1">
      <c r="A607" s="96">
        <v>45896</v>
      </c>
      <c r="B607" s="17" t="s">
        <v>20</v>
      </c>
      <c r="C607" s="23">
        <f t="shared" si="105"/>
        <v>48</v>
      </c>
      <c r="D607" s="23"/>
      <c r="E607" s="23">
        <f t="shared" si="100"/>
        <v>-5380</v>
      </c>
      <c r="G607" s="78">
        <v>56</v>
      </c>
      <c r="H607" s="62">
        <f t="shared" si="106"/>
        <v>56</v>
      </c>
      <c r="I607" s="20"/>
      <c r="J607" s="21"/>
      <c r="K607" s="57">
        <v>56</v>
      </c>
      <c r="L607" s="23">
        <f t="shared" si="101"/>
        <v>0</v>
      </c>
      <c r="M607" s="23">
        <f t="shared" si="102"/>
        <v>0</v>
      </c>
      <c r="O607" s="52"/>
      <c r="Q607" s="273"/>
      <c r="R607" s="259"/>
      <c r="S607" s="260"/>
      <c r="T607" s="261"/>
      <c r="U607" s="262"/>
      <c r="V607" s="263"/>
      <c r="W607" s="263"/>
    </row>
    <row r="608" spans="1:25" hidden="1" outlineLevel="1">
      <c r="A608" s="96">
        <v>45897</v>
      </c>
      <c r="B608" s="17" t="s">
        <v>14</v>
      </c>
      <c r="C608" s="23">
        <f>G612</f>
        <v>48</v>
      </c>
      <c r="D608" s="23"/>
      <c r="E608" s="23">
        <f t="shared" si="100"/>
        <v>-5428</v>
      </c>
      <c r="G608" s="78">
        <v>40</v>
      </c>
      <c r="H608" s="62">
        <f t="shared" si="106"/>
        <v>40</v>
      </c>
      <c r="I608" s="20"/>
      <c r="J608" s="21"/>
      <c r="K608" s="57">
        <v>40</v>
      </c>
      <c r="L608" s="23">
        <f t="shared" si="101"/>
        <v>0</v>
      </c>
      <c r="M608" s="23">
        <f t="shared" si="102"/>
        <v>0</v>
      </c>
      <c r="O608" s="52"/>
      <c r="Q608" s="273"/>
      <c r="R608" s="259"/>
      <c r="S608" s="260"/>
      <c r="T608" s="261"/>
      <c r="U608" s="262"/>
      <c r="V608" s="263"/>
      <c r="W608" s="263"/>
    </row>
    <row r="609" spans="1:25" hidden="1" outlineLevel="1">
      <c r="A609" s="96">
        <v>45898</v>
      </c>
      <c r="B609" s="17" t="s">
        <v>15</v>
      </c>
      <c r="C609" s="23">
        <f>G613</f>
        <v>56</v>
      </c>
      <c r="D609" s="23"/>
      <c r="E609" s="23">
        <f t="shared" si="100"/>
        <v>-5484</v>
      </c>
      <c r="G609" s="78">
        <v>48</v>
      </c>
      <c r="H609" s="62">
        <f t="shared" si="106"/>
        <v>48</v>
      </c>
      <c r="I609" s="20"/>
      <c r="J609" s="21"/>
      <c r="K609" s="57">
        <v>48</v>
      </c>
      <c r="L609" s="23">
        <f t="shared" si="101"/>
        <v>0</v>
      </c>
      <c r="M609" s="23">
        <f t="shared" si="102"/>
        <v>0</v>
      </c>
      <c r="O609" s="52"/>
      <c r="Q609" s="273"/>
      <c r="R609" s="259"/>
      <c r="S609" s="260"/>
      <c r="T609" s="261"/>
      <c r="U609" s="262"/>
      <c r="V609" s="263"/>
      <c r="W609" s="263"/>
      <c r="Y609" s="1">
        <f>AVERAGE(G605:G609)</f>
        <v>40</v>
      </c>
    </row>
    <row r="610" spans="1:25" s="12" customFormat="1" hidden="1" outlineLevel="1">
      <c r="A610" s="95">
        <v>45899</v>
      </c>
      <c r="B610" s="25" t="s">
        <v>16</v>
      </c>
      <c r="C610" s="29"/>
      <c r="D610" s="29"/>
      <c r="E610" s="29">
        <f t="shared" si="100"/>
        <v>-5484</v>
      </c>
      <c r="G610" s="64"/>
      <c r="H610" s="63"/>
      <c r="I610" s="27"/>
      <c r="J610" s="28"/>
      <c r="K610" s="43"/>
      <c r="L610" s="29">
        <f t="shared" si="101"/>
        <v>0</v>
      </c>
      <c r="M610" s="29">
        <f t="shared" si="102"/>
        <v>0</v>
      </c>
      <c r="O610" s="54"/>
      <c r="Q610" s="304"/>
      <c r="R610" s="259"/>
      <c r="S610" s="260"/>
      <c r="T610" s="261"/>
      <c r="U610" s="262"/>
      <c r="V610" s="263"/>
      <c r="W610" s="263"/>
      <c r="Y610" s="11"/>
    </row>
    <row r="611" spans="1:25" s="12" customFormat="1" hidden="1" outlineLevel="1" collapsed="1">
      <c r="A611" s="95">
        <v>45900</v>
      </c>
      <c r="B611" s="25" t="s">
        <v>17</v>
      </c>
      <c r="C611" s="29"/>
      <c r="D611" s="29"/>
      <c r="E611" s="29">
        <f t="shared" si="100"/>
        <v>-5484</v>
      </c>
      <c r="G611" s="64"/>
      <c r="H611" s="63"/>
      <c r="I611" s="27"/>
      <c r="J611" s="28"/>
      <c r="K611" s="43"/>
      <c r="L611" s="29">
        <f t="shared" si="101"/>
        <v>0</v>
      </c>
      <c r="M611" s="29">
        <f t="shared" si="102"/>
        <v>0</v>
      </c>
      <c r="O611" s="54"/>
      <c r="Q611" s="304"/>
      <c r="R611" s="259"/>
      <c r="S611" s="260"/>
      <c r="T611" s="261"/>
      <c r="U611" s="262"/>
      <c r="V611" s="263"/>
      <c r="W611" s="263"/>
      <c r="Y611" s="11"/>
    </row>
    <row r="612" spans="1:25" hidden="1" outlineLevel="1">
      <c r="A612" s="96">
        <v>45901</v>
      </c>
      <c r="B612" s="17" t="s">
        <v>18</v>
      </c>
      <c r="C612" s="23">
        <f t="shared" ref="C612:C614" si="107">G614</f>
        <v>64</v>
      </c>
      <c r="D612" s="23"/>
      <c r="E612" s="23">
        <f t="shared" si="100"/>
        <v>-5548</v>
      </c>
      <c r="G612" s="78">
        <v>48</v>
      </c>
      <c r="H612" s="62">
        <f t="shared" ref="H612:H616" si="108">IF(C610&lt;&gt;"",C610+I612,IF(C608&lt;&gt;"",C608+I612,IF(C607&lt;&gt;"",C607+I612,IF(C606&lt;&gt;"",C606+I612,IF(C605&lt;&gt;"",C605+I612,IF(C604&lt;&gt;"",C604+I612))))))</f>
        <v>48</v>
      </c>
      <c r="I612" s="20"/>
      <c r="J612" s="21"/>
      <c r="K612" s="57">
        <v>48</v>
      </c>
      <c r="L612" s="23">
        <f t="shared" si="101"/>
        <v>0</v>
      </c>
      <c r="M612" s="23">
        <f t="shared" si="102"/>
        <v>0</v>
      </c>
      <c r="O612" s="52"/>
      <c r="Q612" s="273"/>
      <c r="R612" s="259"/>
      <c r="S612" s="260"/>
      <c r="T612" s="261"/>
      <c r="U612" s="262"/>
      <c r="V612" s="263"/>
      <c r="W612" s="263"/>
    </row>
    <row r="613" spans="1:25" hidden="1" outlineLevel="1">
      <c r="A613" s="96">
        <v>45902</v>
      </c>
      <c r="B613" s="17" t="s">
        <v>19</v>
      </c>
      <c r="C613" s="23">
        <f t="shared" si="107"/>
        <v>32</v>
      </c>
      <c r="D613" s="23"/>
      <c r="E613" s="23">
        <f t="shared" si="100"/>
        <v>-5580</v>
      </c>
      <c r="G613" s="78">
        <v>56</v>
      </c>
      <c r="H613" s="62">
        <f t="shared" si="108"/>
        <v>56</v>
      </c>
      <c r="I613" s="20"/>
      <c r="J613" s="21"/>
      <c r="K613" s="57">
        <v>56</v>
      </c>
      <c r="L613" s="23">
        <f t="shared" si="101"/>
        <v>0</v>
      </c>
      <c r="M613" s="23">
        <f t="shared" si="102"/>
        <v>0</v>
      </c>
      <c r="O613" s="52"/>
      <c r="Q613" s="273"/>
      <c r="R613" s="259"/>
      <c r="S613" s="260"/>
      <c r="T613" s="261"/>
      <c r="U613" s="262"/>
      <c r="V613" s="263"/>
      <c r="W613" s="263"/>
    </row>
    <row r="614" spans="1:25" hidden="1" outlineLevel="1">
      <c r="A614" s="96">
        <v>45903</v>
      </c>
      <c r="B614" s="17" t="s">
        <v>20</v>
      </c>
      <c r="C614" s="23">
        <f t="shared" si="107"/>
        <v>72</v>
      </c>
      <c r="D614" s="23"/>
      <c r="E614" s="23">
        <f t="shared" si="100"/>
        <v>-5652</v>
      </c>
      <c r="G614" s="78">
        <v>64</v>
      </c>
      <c r="H614" s="62">
        <f t="shared" si="108"/>
        <v>64</v>
      </c>
      <c r="I614" s="20"/>
      <c r="J614" s="21"/>
      <c r="K614" s="57">
        <v>64</v>
      </c>
      <c r="L614" s="23">
        <f t="shared" si="101"/>
        <v>0</v>
      </c>
      <c r="M614" s="23">
        <f t="shared" si="102"/>
        <v>0</v>
      </c>
      <c r="O614" s="52"/>
      <c r="Q614" s="304">
        <v>0</v>
      </c>
      <c r="R614" s="259"/>
      <c r="S614" s="260"/>
      <c r="T614" s="261"/>
      <c r="U614" s="262"/>
      <c r="V614" s="263"/>
      <c r="W614" s="263"/>
    </row>
    <row r="615" spans="1:25" hidden="1" outlineLevel="1">
      <c r="A615" s="96">
        <v>45904</v>
      </c>
      <c r="B615" s="17" t="s">
        <v>14</v>
      </c>
      <c r="C615" s="23">
        <f>G619</f>
        <v>64</v>
      </c>
      <c r="D615" s="23"/>
      <c r="E615" s="23">
        <f t="shared" si="100"/>
        <v>-5716</v>
      </c>
      <c r="G615" s="78">
        <v>32</v>
      </c>
      <c r="H615" s="62">
        <f t="shared" si="108"/>
        <v>32</v>
      </c>
      <c r="I615" s="20"/>
      <c r="J615" s="21"/>
      <c r="K615" s="57">
        <v>32</v>
      </c>
      <c r="L615" s="23">
        <f t="shared" si="101"/>
        <v>0</v>
      </c>
      <c r="M615" s="23">
        <f t="shared" si="102"/>
        <v>0</v>
      </c>
      <c r="O615" s="52"/>
      <c r="Q615" s="304">
        <v>0</v>
      </c>
      <c r="R615" s="259"/>
      <c r="S615" s="260"/>
      <c r="T615" s="261"/>
      <c r="U615" s="262"/>
      <c r="V615" s="263"/>
      <c r="W615" s="263"/>
    </row>
    <row r="616" spans="1:25" hidden="1" outlineLevel="1">
      <c r="A616" s="96">
        <v>45905</v>
      </c>
      <c r="B616" s="17" t="s">
        <v>15</v>
      </c>
      <c r="C616" s="23">
        <f>G620</f>
        <v>0</v>
      </c>
      <c r="D616" s="23"/>
      <c r="E616" s="23">
        <f t="shared" si="100"/>
        <v>-5716</v>
      </c>
      <c r="G616" s="78">
        <v>72</v>
      </c>
      <c r="H616" s="62">
        <f t="shared" si="108"/>
        <v>72</v>
      </c>
      <c r="I616" s="20"/>
      <c r="J616" s="21"/>
      <c r="K616" s="57">
        <v>72</v>
      </c>
      <c r="L616" s="23">
        <f t="shared" si="101"/>
        <v>0</v>
      </c>
      <c r="M616" s="23">
        <f t="shared" si="102"/>
        <v>0</v>
      </c>
      <c r="O616" s="52"/>
      <c r="Q616" s="304">
        <v>0</v>
      </c>
      <c r="R616" s="259"/>
      <c r="S616" s="260"/>
      <c r="T616" s="261"/>
      <c r="U616" s="262"/>
      <c r="V616" s="263"/>
      <c r="W616" s="263"/>
      <c r="Y616" s="1">
        <f>AVERAGE(G612:G616)</f>
        <v>54.4</v>
      </c>
    </row>
    <row r="617" spans="1:25" s="12" customFormat="1" hidden="1" outlineLevel="1">
      <c r="A617" s="95">
        <v>45906</v>
      </c>
      <c r="B617" s="25" t="s">
        <v>16</v>
      </c>
      <c r="C617" s="29"/>
      <c r="D617" s="29"/>
      <c r="E617" s="29">
        <f t="shared" si="100"/>
        <v>-5716</v>
      </c>
      <c r="G617" s="79"/>
      <c r="H617" s="63"/>
      <c r="I617" s="27"/>
      <c r="J617" s="28"/>
      <c r="K617" s="43"/>
      <c r="L617" s="29">
        <f t="shared" si="101"/>
        <v>0</v>
      </c>
      <c r="M617" s="29">
        <f t="shared" si="102"/>
        <v>0</v>
      </c>
      <c r="O617" s="54"/>
      <c r="Q617" s="304">
        <v>0</v>
      </c>
      <c r="R617" s="259"/>
      <c r="S617" s="260"/>
      <c r="T617" s="261"/>
      <c r="U617" s="262"/>
      <c r="V617" s="263"/>
      <c r="W617" s="263"/>
      <c r="Y617" s="11"/>
    </row>
    <row r="618" spans="1:25" s="12" customFormat="1" hidden="1" outlineLevel="1" collapsed="1">
      <c r="A618" s="95">
        <v>45907</v>
      </c>
      <c r="B618" s="25" t="s">
        <v>17</v>
      </c>
      <c r="C618" s="29"/>
      <c r="D618" s="29"/>
      <c r="E618" s="29">
        <f t="shared" si="100"/>
        <v>-5716</v>
      </c>
      <c r="G618" s="79"/>
      <c r="H618" s="63"/>
      <c r="I618" s="27"/>
      <c r="J618" s="28"/>
      <c r="K618" s="43"/>
      <c r="L618" s="29">
        <f t="shared" si="101"/>
        <v>0</v>
      </c>
      <c r="M618" s="29">
        <f t="shared" si="102"/>
        <v>0</v>
      </c>
      <c r="O618" s="54"/>
      <c r="Q618" s="273">
        <v>0</v>
      </c>
      <c r="R618" s="259"/>
      <c r="S618" s="260"/>
      <c r="T618" s="261"/>
      <c r="U618" s="262"/>
      <c r="V618" s="263"/>
      <c r="W618" s="263"/>
      <c r="Y618" s="11"/>
    </row>
    <row r="619" spans="1:25" hidden="1" outlineLevel="1">
      <c r="A619" s="96">
        <v>45908</v>
      </c>
      <c r="B619" s="17" t="s">
        <v>18</v>
      </c>
      <c r="C619" s="23">
        <f t="shared" ref="C619:C621" si="109">G621</f>
        <v>8</v>
      </c>
      <c r="D619" s="23"/>
      <c r="E619" s="23">
        <f t="shared" ref="E619:E644" si="110">E618-C619+D619</f>
        <v>-5724</v>
      </c>
      <c r="G619" s="78">
        <v>64</v>
      </c>
      <c r="H619" s="62">
        <f t="shared" ref="H619:H623" si="111">IF(C617&lt;&gt;"",C617+I619,IF(C615&lt;&gt;"",C615+I619,IF(C614&lt;&gt;"",C614+I619,IF(C613&lt;&gt;"",C613+I619,IF(C612&lt;&gt;"",C612+I619,IF(C611&lt;&gt;"",C611+I619))))))</f>
        <v>64</v>
      </c>
      <c r="I619" s="20"/>
      <c r="J619" s="21"/>
      <c r="K619" s="57">
        <v>64</v>
      </c>
      <c r="L619" s="23">
        <f t="shared" ref="L619:L644" si="112">L618-G619+K619</f>
        <v>0</v>
      </c>
      <c r="M619" s="23">
        <f t="shared" ref="M619:M644" si="113">M618-G619+H619</f>
        <v>0</v>
      </c>
      <c r="O619" s="52"/>
      <c r="Q619" s="273">
        <v>0</v>
      </c>
      <c r="R619" s="259"/>
      <c r="S619" s="260"/>
      <c r="T619" s="261"/>
      <c r="U619" s="262"/>
      <c r="V619" s="263"/>
      <c r="W619" s="263"/>
    </row>
    <row r="620" spans="1:25" hidden="1" outlineLevel="1">
      <c r="A620" s="96">
        <v>45909</v>
      </c>
      <c r="B620" s="17" t="s">
        <v>19</v>
      </c>
      <c r="C620" s="23">
        <f t="shared" si="109"/>
        <v>56</v>
      </c>
      <c r="D620" s="23"/>
      <c r="E620" s="23">
        <f t="shared" si="110"/>
        <v>-5780</v>
      </c>
      <c r="G620" s="78">
        <v>0</v>
      </c>
      <c r="H620" s="62">
        <f t="shared" si="111"/>
        <v>0</v>
      </c>
      <c r="I620" s="20"/>
      <c r="J620" s="21"/>
      <c r="K620" s="57">
        <v>0</v>
      </c>
      <c r="L620" s="23">
        <f t="shared" si="112"/>
        <v>0</v>
      </c>
      <c r="M620" s="23">
        <f t="shared" si="113"/>
        <v>0</v>
      </c>
      <c r="O620" s="52"/>
      <c r="Q620" s="273">
        <v>0</v>
      </c>
      <c r="R620" s="259"/>
      <c r="S620" s="260"/>
      <c r="T620" s="261"/>
      <c r="U620" s="262"/>
      <c r="V620" s="263"/>
      <c r="W620" s="263"/>
    </row>
    <row r="621" spans="1:25" hidden="1" outlineLevel="1">
      <c r="A621" s="96">
        <v>45910</v>
      </c>
      <c r="B621" s="17" t="s">
        <v>20</v>
      </c>
      <c r="C621" s="23">
        <f t="shared" si="109"/>
        <v>40</v>
      </c>
      <c r="D621" s="23"/>
      <c r="E621" s="23">
        <f t="shared" si="110"/>
        <v>-5820</v>
      </c>
      <c r="G621" s="78">
        <v>8</v>
      </c>
      <c r="H621" s="62">
        <f t="shared" si="111"/>
        <v>8</v>
      </c>
      <c r="I621" s="20"/>
      <c r="J621" s="21"/>
      <c r="K621" s="57">
        <v>8</v>
      </c>
      <c r="L621" s="23">
        <f t="shared" si="112"/>
        <v>0</v>
      </c>
      <c r="M621" s="23">
        <f t="shared" si="113"/>
        <v>0</v>
      </c>
      <c r="O621" s="52"/>
      <c r="Q621" s="273">
        <v>0</v>
      </c>
      <c r="R621" s="259"/>
      <c r="S621" s="260"/>
      <c r="T621" s="261"/>
      <c r="U621" s="262"/>
      <c r="V621" s="263"/>
      <c r="W621" s="263"/>
    </row>
    <row r="622" spans="1:25" hidden="1" outlineLevel="1">
      <c r="A622" s="96">
        <v>45911</v>
      </c>
      <c r="B622" s="17" t="s">
        <v>14</v>
      </c>
      <c r="C622" s="23">
        <f>G627</f>
        <v>40</v>
      </c>
      <c r="D622" s="23"/>
      <c r="E622" s="23">
        <f t="shared" si="110"/>
        <v>-5860</v>
      </c>
      <c r="G622" s="314">
        <f>56</f>
        <v>56</v>
      </c>
      <c r="H622" s="62">
        <f t="shared" si="111"/>
        <v>56</v>
      </c>
      <c r="I622" s="20"/>
      <c r="J622" s="21"/>
      <c r="K622" s="57">
        <v>56</v>
      </c>
      <c r="L622" s="23">
        <f t="shared" si="112"/>
        <v>0</v>
      </c>
      <c r="M622" s="23">
        <f t="shared" si="113"/>
        <v>0</v>
      </c>
      <c r="O622" s="52"/>
      <c r="Q622" s="273">
        <v>0</v>
      </c>
      <c r="R622" s="259"/>
      <c r="S622" s="260"/>
      <c r="T622" s="261"/>
      <c r="U622" s="262"/>
      <c r="V622" s="263"/>
      <c r="W622" s="263"/>
    </row>
    <row r="623" spans="1:25" hidden="1" outlineLevel="1">
      <c r="A623" s="96">
        <v>45912</v>
      </c>
      <c r="B623" s="17" t="s">
        <v>15</v>
      </c>
      <c r="C623" s="23">
        <f>G628</f>
        <v>56</v>
      </c>
      <c r="D623" s="23"/>
      <c r="E623" s="23">
        <f t="shared" si="110"/>
        <v>-5916</v>
      </c>
      <c r="G623" s="203">
        <v>40</v>
      </c>
      <c r="H623" s="62">
        <f t="shared" si="111"/>
        <v>40</v>
      </c>
      <c r="I623" s="20"/>
      <c r="J623" s="21"/>
      <c r="K623" s="57">
        <v>40</v>
      </c>
      <c r="L623" s="23">
        <f t="shared" si="112"/>
        <v>0</v>
      </c>
      <c r="M623" s="23">
        <f t="shared" si="113"/>
        <v>0</v>
      </c>
      <c r="O623" s="52"/>
      <c r="Q623" s="273">
        <v>0</v>
      </c>
      <c r="R623" s="259"/>
      <c r="S623" s="260"/>
      <c r="T623" s="261"/>
      <c r="U623" s="262"/>
      <c r="V623" s="263"/>
      <c r="W623" s="263"/>
      <c r="Y623" s="1">
        <f>AVERAGE(G619:G623)</f>
        <v>33.6</v>
      </c>
    </row>
    <row r="624" spans="1:25" s="12" customFormat="1" hidden="1" outlineLevel="1">
      <c r="A624" s="95">
        <v>45913</v>
      </c>
      <c r="B624" s="25" t="s">
        <v>16</v>
      </c>
      <c r="C624" s="29"/>
      <c r="D624" s="29"/>
      <c r="E624" s="29">
        <f t="shared" si="110"/>
        <v>-5916</v>
      </c>
      <c r="G624" s="300"/>
      <c r="H624" s="63"/>
      <c r="I624" s="27"/>
      <c r="J624" s="28"/>
      <c r="K624" s="43"/>
      <c r="L624" s="29">
        <f t="shared" si="112"/>
        <v>0</v>
      </c>
      <c r="M624" s="29">
        <f t="shared" si="113"/>
        <v>0</v>
      </c>
      <c r="O624" s="54"/>
      <c r="Q624" s="273">
        <v>0</v>
      </c>
      <c r="R624" s="259"/>
      <c r="S624" s="260"/>
      <c r="T624" s="261"/>
      <c r="U624" s="262"/>
      <c r="V624" s="263"/>
      <c r="W624" s="263"/>
      <c r="Y624" s="11"/>
    </row>
    <row r="625" spans="1:25" s="12" customFormat="1" hidden="1" outlineLevel="1">
      <c r="A625" s="95">
        <v>45914</v>
      </c>
      <c r="B625" s="25" t="s">
        <v>17</v>
      </c>
      <c r="C625" s="29"/>
      <c r="D625" s="29"/>
      <c r="E625" s="29">
        <f t="shared" si="110"/>
        <v>-5916</v>
      </c>
      <c r="G625" s="300"/>
      <c r="H625" s="63"/>
      <c r="I625" s="27"/>
      <c r="J625" s="28"/>
      <c r="K625" s="43"/>
      <c r="L625" s="29">
        <f t="shared" si="112"/>
        <v>0</v>
      </c>
      <c r="M625" s="29">
        <f t="shared" si="113"/>
        <v>0</v>
      </c>
      <c r="O625" s="54"/>
      <c r="Q625" s="273">
        <v>0</v>
      </c>
      <c r="R625" s="259"/>
      <c r="S625" s="260"/>
      <c r="T625" s="261"/>
      <c r="U625" s="262"/>
      <c r="V625" s="263"/>
      <c r="W625" s="263"/>
      <c r="Y625" s="11"/>
    </row>
    <row r="626" spans="1:25" s="12" customFormat="1" collapsed="1">
      <c r="A626" s="95">
        <v>45915</v>
      </c>
      <c r="B626" s="25" t="s">
        <v>18</v>
      </c>
      <c r="C626" s="29"/>
      <c r="D626" s="29"/>
      <c r="E626" s="29">
        <f t="shared" si="110"/>
        <v>-5916</v>
      </c>
      <c r="G626" s="300"/>
      <c r="H626" s="63"/>
      <c r="I626" s="27"/>
      <c r="J626" s="28"/>
      <c r="K626" s="43"/>
      <c r="L626" s="29">
        <f t="shared" si="112"/>
        <v>0</v>
      </c>
      <c r="M626" s="29">
        <f t="shared" si="113"/>
        <v>0</v>
      </c>
      <c r="O626" s="54"/>
      <c r="Q626" s="273">
        <v>0</v>
      </c>
      <c r="R626" s="259"/>
      <c r="S626" s="260"/>
      <c r="T626" s="261"/>
      <c r="U626" s="262"/>
      <c r="V626" s="263"/>
      <c r="W626" s="263"/>
      <c r="Y626" s="11"/>
    </row>
    <row r="627" spans="1:25">
      <c r="A627" s="96">
        <v>45916</v>
      </c>
      <c r="B627" s="17" t="s">
        <v>19</v>
      </c>
      <c r="C627" s="23">
        <f t="shared" ref="C627:C628" si="114">G629</f>
        <v>48</v>
      </c>
      <c r="D627" s="23"/>
      <c r="E627" s="23">
        <f t="shared" si="110"/>
        <v>-5964</v>
      </c>
      <c r="G627" s="203">
        <v>40</v>
      </c>
      <c r="H627" s="62">
        <f>C622</f>
        <v>40</v>
      </c>
      <c r="I627" s="20"/>
      <c r="J627" s="21"/>
      <c r="K627" s="57">
        <v>40</v>
      </c>
      <c r="L627" s="23">
        <f t="shared" si="112"/>
        <v>0</v>
      </c>
      <c r="M627" s="23">
        <f t="shared" si="113"/>
        <v>0</v>
      </c>
      <c r="O627" s="52"/>
      <c r="Q627" s="273">
        <v>0</v>
      </c>
      <c r="R627" s="259"/>
      <c r="S627" s="260"/>
      <c r="T627" s="261"/>
      <c r="U627" s="262"/>
      <c r="V627" s="263"/>
      <c r="W627" s="263"/>
    </row>
    <row r="628" spans="1:25">
      <c r="A628" s="96">
        <v>45917</v>
      </c>
      <c r="B628" s="17" t="s">
        <v>20</v>
      </c>
      <c r="C628" s="23">
        <f t="shared" si="114"/>
        <v>56</v>
      </c>
      <c r="D628" s="23"/>
      <c r="E628" s="23">
        <f t="shared" si="110"/>
        <v>-6020</v>
      </c>
      <c r="G628" s="203">
        <v>56</v>
      </c>
      <c r="H628" s="62">
        <f t="shared" ref="H628:H630" si="115">IF(C626&lt;&gt;"",C626+I628,IF(C624&lt;&gt;"",C624+I628,IF(C623&lt;&gt;"",C623+I628,IF(C622&lt;&gt;"",C622+I628,IF(C621&lt;&gt;"",C621+I628,IF(C620&lt;&gt;"",C620+I628))))))</f>
        <v>56</v>
      </c>
      <c r="I628" s="20"/>
      <c r="J628" s="21"/>
      <c r="K628" s="57">
        <v>56</v>
      </c>
      <c r="L628" s="23">
        <f t="shared" si="112"/>
        <v>0</v>
      </c>
      <c r="M628" s="23">
        <f t="shared" si="113"/>
        <v>0</v>
      </c>
      <c r="O628" s="52"/>
      <c r="Q628" s="273">
        <v>0</v>
      </c>
      <c r="R628" s="259"/>
      <c r="S628" s="260"/>
      <c r="T628" s="261"/>
      <c r="U628" s="262"/>
      <c r="V628" s="263"/>
      <c r="W628" s="263"/>
    </row>
    <row r="629" spans="1:25">
      <c r="A629" s="96">
        <v>45918</v>
      </c>
      <c r="B629" s="17" t="s">
        <v>14</v>
      </c>
      <c r="C629" s="23">
        <f>G633</f>
        <v>40</v>
      </c>
      <c r="D629" s="23"/>
      <c r="E629" s="23">
        <f t="shared" si="110"/>
        <v>-6060</v>
      </c>
      <c r="G629" s="203">
        <v>48</v>
      </c>
      <c r="H629" s="62">
        <f t="shared" si="115"/>
        <v>48</v>
      </c>
      <c r="I629" s="20"/>
      <c r="J629" s="21"/>
      <c r="K629" s="57">
        <v>48</v>
      </c>
      <c r="L629" s="23">
        <f t="shared" si="112"/>
        <v>0</v>
      </c>
      <c r="M629" s="23">
        <f t="shared" si="113"/>
        <v>0</v>
      </c>
      <c r="O629" s="52"/>
      <c r="Q629" s="273">
        <v>0</v>
      </c>
      <c r="R629" s="259"/>
      <c r="S629" s="260"/>
      <c r="T629" s="261"/>
      <c r="U629" s="262"/>
      <c r="V629" s="263"/>
      <c r="W629" s="263"/>
    </row>
    <row r="630" spans="1:25">
      <c r="A630" s="96">
        <v>45919</v>
      </c>
      <c r="B630" s="17" t="s">
        <v>15</v>
      </c>
      <c r="C630" s="23">
        <f>G634+Q634</f>
        <v>56</v>
      </c>
      <c r="D630" s="23"/>
      <c r="E630" s="23">
        <f t="shared" si="110"/>
        <v>-6116</v>
      </c>
      <c r="G630" s="203">
        <v>56</v>
      </c>
      <c r="H630" s="62">
        <f t="shared" si="115"/>
        <v>56</v>
      </c>
      <c r="I630" s="20"/>
      <c r="J630" s="21"/>
      <c r="K630" s="57">
        <v>56</v>
      </c>
      <c r="L630" s="23">
        <f t="shared" si="112"/>
        <v>0</v>
      </c>
      <c r="M630" s="23">
        <f t="shared" si="113"/>
        <v>0</v>
      </c>
      <c r="O630" s="52"/>
      <c r="Q630" s="273">
        <v>0</v>
      </c>
      <c r="R630" s="259"/>
      <c r="S630" s="260"/>
      <c r="T630" s="261"/>
      <c r="U630" s="262"/>
      <c r="V630" s="263"/>
      <c r="W630" s="263"/>
      <c r="Y630" s="1">
        <f>AVERAGE(G627:G630)</f>
        <v>50</v>
      </c>
    </row>
    <row r="631" spans="1:25" s="12" customFormat="1">
      <c r="A631" s="95">
        <v>45920</v>
      </c>
      <c r="B631" s="25" t="s">
        <v>16</v>
      </c>
      <c r="C631" s="29"/>
      <c r="D631" s="29"/>
      <c r="E631" s="29">
        <f t="shared" si="110"/>
        <v>-6116</v>
      </c>
      <c r="G631" s="300"/>
      <c r="H631" s="63"/>
      <c r="I631" s="27"/>
      <c r="J631" s="28"/>
      <c r="K631" s="43"/>
      <c r="L631" s="29">
        <f t="shared" si="112"/>
        <v>0</v>
      </c>
      <c r="M631" s="29">
        <f t="shared" si="113"/>
        <v>0</v>
      </c>
      <c r="O631" s="54"/>
      <c r="Q631" s="273">
        <v>0</v>
      </c>
      <c r="R631" s="259"/>
      <c r="S631" s="260"/>
      <c r="T631" s="261"/>
      <c r="U631" s="262"/>
      <c r="V631" s="263"/>
      <c r="W631" s="263"/>
      <c r="Y631" s="11"/>
    </row>
    <row r="632" spans="1:25" s="12" customFormat="1">
      <c r="A632" s="95">
        <v>45921</v>
      </c>
      <c r="B632" s="25" t="s">
        <v>17</v>
      </c>
      <c r="C632" s="29"/>
      <c r="D632" s="29"/>
      <c r="E632" s="29">
        <f t="shared" si="110"/>
        <v>-6116</v>
      </c>
      <c r="G632" s="300"/>
      <c r="H632" s="63"/>
      <c r="I632" s="27"/>
      <c r="J632" s="28"/>
      <c r="K632" s="43"/>
      <c r="L632" s="29">
        <f t="shared" si="112"/>
        <v>0</v>
      </c>
      <c r="M632" s="29">
        <f t="shared" si="113"/>
        <v>0</v>
      </c>
      <c r="O632" s="54"/>
      <c r="Q632" s="273">
        <v>0</v>
      </c>
      <c r="R632" s="259"/>
      <c r="S632" s="260"/>
      <c r="T632" s="261"/>
      <c r="U632" s="262"/>
      <c r="V632" s="263"/>
      <c r="W632" s="263"/>
      <c r="Y632" s="11"/>
    </row>
    <row r="633" spans="1:25">
      <c r="A633" s="96">
        <v>45922</v>
      </c>
      <c r="B633" s="17" t="s">
        <v>18</v>
      </c>
      <c r="C633" s="136">
        <f>G635+Q635</f>
        <v>48</v>
      </c>
      <c r="D633" s="23"/>
      <c r="E633" s="23">
        <f t="shared" si="110"/>
        <v>-6164</v>
      </c>
      <c r="G633" s="203">
        <v>40</v>
      </c>
      <c r="H633" s="62">
        <f t="shared" ref="H633:H636" si="116">IF(C631&lt;&gt;"",C631+I633,IF(C629&lt;&gt;"",C629+I633,IF(C628&lt;&gt;"",C628+I633,IF(C627&lt;&gt;"",C627+I633,IF(C626&lt;&gt;"",C626+I633,IF(C625&lt;&gt;"",C625+I633))))))</f>
        <v>40</v>
      </c>
      <c r="I633" s="20"/>
      <c r="J633" s="21"/>
      <c r="K633" s="57">
        <v>40</v>
      </c>
      <c r="L633" s="23">
        <f t="shared" si="112"/>
        <v>0</v>
      </c>
      <c r="M633" s="23">
        <f t="shared" si="113"/>
        <v>0</v>
      </c>
      <c r="O633" s="52"/>
      <c r="Q633" s="273">
        <v>0</v>
      </c>
      <c r="R633" s="259"/>
      <c r="S633" s="260"/>
      <c r="T633" s="261"/>
      <c r="U633" s="262"/>
      <c r="V633" s="263">
        <v>0</v>
      </c>
      <c r="W633" s="263"/>
    </row>
    <row r="634" spans="1:25">
      <c r="A634" s="96">
        <v>45923</v>
      </c>
      <c r="B634" s="17" t="s">
        <v>19</v>
      </c>
      <c r="C634" s="136">
        <f t="shared" ref="C634:C635" si="117">G636+Q636</f>
        <v>32</v>
      </c>
      <c r="D634" s="23"/>
      <c r="E634" s="23">
        <f t="shared" si="110"/>
        <v>-6196</v>
      </c>
      <c r="G634" s="203">
        <v>48</v>
      </c>
      <c r="H634" s="62">
        <f>IF(C632&lt;&gt;"",C632+I634,IF(C630&lt;&gt;"",C630+I634,IF(C629&lt;&gt;"",C629+I634,IF(C628&lt;&gt;"",C628+I634,IF(C627&lt;&gt;"",C627+I634,IF(C626&lt;&gt;"",C626+I634))))))-R634</f>
        <v>48</v>
      </c>
      <c r="I634" s="20"/>
      <c r="J634" s="21"/>
      <c r="K634" s="42"/>
      <c r="L634" s="23">
        <f t="shared" si="112"/>
        <v>-48</v>
      </c>
      <c r="M634" s="23">
        <f t="shared" si="113"/>
        <v>0</v>
      </c>
      <c r="O634" s="52"/>
      <c r="Q634" s="78">
        <v>8</v>
      </c>
      <c r="R634" s="62">
        <f>Q634</f>
        <v>8</v>
      </c>
      <c r="S634" s="20"/>
      <c r="T634" s="21"/>
      <c r="U634" s="42"/>
      <c r="V634" s="23">
        <f t="shared" ref="V634:V675" si="118">V633-Q634+U634</f>
        <v>-8</v>
      </c>
      <c r="W634" s="23">
        <v>0</v>
      </c>
    </row>
    <row r="635" spans="1:25">
      <c r="A635" s="96">
        <v>45924</v>
      </c>
      <c r="B635" s="17" t="s">
        <v>20</v>
      </c>
      <c r="C635" s="136">
        <f t="shared" si="117"/>
        <v>48</v>
      </c>
      <c r="D635" s="23"/>
      <c r="E635" s="23">
        <f t="shared" si="110"/>
        <v>-6244</v>
      </c>
      <c r="G635" s="78">
        <v>48</v>
      </c>
      <c r="H635" s="62">
        <f>IF(C633&lt;&gt;"",C633+I635,IF(C631&lt;&gt;"",C631+I635,IF(C630&lt;&gt;"",C630+I635,IF(C629&lt;&gt;"",C629+I635,IF(C628&lt;&gt;"",C628+I635,IF(C627&lt;&gt;"",C627+I635))))))-R635</f>
        <v>48</v>
      </c>
      <c r="I635" s="20"/>
      <c r="J635" s="21"/>
      <c r="K635" s="42"/>
      <c r="L635" s="23">
        <f t="shared" si="112"/>
        <v>-96</v>
      </c>
      <c r="M635" s="23">
        <f t="shared" si="113"/>
        <v>0</v>
      </c>
      <c r="O635" s="52"/>
      <c r="Q635" s="78">
        <v>0</v>
      </c>
      <c r="R635" s="62">
        <f t="shared" ref="R635:R637" si="119">Q635</f>
        <v>0</v>
      </c>
      <c r="S635" s="20"/>
      <c r="T635" s="21"/>
      <c r="U635" s="42"/>
      <c r="V635" s="23">
        <f t="shared" si="118"/>
        <v>-8</v>
      </c>
      <c r="W635" s="23">
        <f t="shared" ref="W635:W675" si="120">W634-Q635+R635</f>
        <v>0</v>
      </c>
    </row>
    <row r="636" spans="1:25">
      <c r="A636" s="96">
        <v>45925</v>
      </c>
      <c r="B636" s="17" t="s">
        <v>14</v>
      </c>
      <c r="C636" s="136">
        <f>G640+Q640</f>
        <v>40</v>
      </c>
      <c r="D636" s="23"/>
      <c r="E636" s="23">
        <f t="shared" si="110"/>
        <v>-6284</v>
      </c>
      <c r="G636" s="78">
        <v>32</v>
      </c>
      <c r="H636" s="62">
        <f t="shared" si="116"/>
        <v>32</v>
      </c>
      <c r="I636" s="20"/>
      <c r="J636" s="21"/>
      <c r="K636" s="42"/>
      <c r="L636" s="23">
        <f t="shared" si="112"/>
        <v>-128</v>
      </c>
      <c r="M636" s="23">
        <f t="shared" si="113"/>
        <v>0</v>
      </c>
      <c r="O636" s="52"/>
      <c r="Q636" s="78">
        <v>0</v>
      </c>
      <c r="R636" s="62">
        <f t="shared" si="119"/>
        <v>0</v>
      </c>
      <c r="S636" s="20"/>
      <c r="T636" s="21"/>
      <c r="U636" s="42"/>
      <c r="V636" s="23">
        <f t="shared" si="118"/>
        <v>-8</v>
      </c>
      <c r="W636" s="23">
        <f t="shared" si="120"/>
        <v>0</v>
      </c>
    </row>
    <row r="637" spans="1:25">
      <c r="A637" s="96">
        <v>45926</v>
      </c>
      <c r="B637" s="17" t="s">
        <v>15</v>
      </c>
      <c r="C637" s="136">
        <v>49</v>
      </c>
      <c r="D637" s="23"/>
      <c r="E637" s="23">
        <f t="shared" si="110"/>
        <v>-6333</v>
      </c>
      <c r="G637" s="78">
        <v>0</v>
      </c>
      <c r="H637" s="62">
        <v>0</v>
      </c>
      <c r="I637" s="20"/>
      <c r="J637" s="21"/>
      <c r="K637" s="42"/>
      <c r="L637" s="23">
        <f t="shared" si="112"/>
        <v>-128</v>
      </c>
      <c r="M637" s="23">
        <f t="shared" si="113"/>
        <v>0</v>
      </c>
      <c r="O637" s="52"/>
      <c r="Q637" s="78">
        <v>48</v>
      </c>
      <c r="R637" s="62">
        <f t="shared" si="119"/>
        <v>48</v>
      </c>
      <c r="S637" s="20"/>
      <c r="T637" s="21"/>
      <c r="U637" s="42"/>
      <c r="V637" s="23">
        <f t="shared" si="118"/>
        <v>-56</v>
      </c>
      <c r="W637" s="23">
        <f t="shared" si="120"/>
        <v>0</v>
      </c>
      <c r="Y637" s="1">
        <f>AVERAGE(G633:G637)+AVERAGE(Q633:Q637)</f>
        <v>44.8</v>
      </c>
    </row>
    <row r="638" spans="1:25" s="12" customFormat="1">
      <c r="A638" s="95">
        <v>45927</v>
      </c>
      <c r="B638" s="25" t="s">
        <v>16</v>
      </c>
      <c r="C638" s="29"/>
      <c r="D638" s="29"/>
      <c r="E638" s="29">
        <f t="shared" si="110"/>
        <v>-6333</v>
      </c>
      <c r="G638" s="79">
        <v>0</v>
      </c>
      <c r="H638" s="63"/>
      <c r="I638" s="27"/>
      <c r="J638" s="28"/>
      <c r="K638" s="43"/>
      <c r="L638" s="29">
        <f t="shared" si="112"/>
        <v>-128</v>
      </c>
      <c r="M638" s="29">
        <f t="shared" si="113"/>
        <v>0</v>
      </c>
      <c r="O638" s="54"/>
      <c r="Q638" s="79"/>
      <c r="R638" s="63"/>
      <c r="S638" s="27"/>
      <c r="T638" s="28"/>
      <c r="U638" s="43"/>
      <c r="V638" s="29">
        <f t="shared" si="118"/>
        <v>-56</v>
      </c>
      <c r="W638" s="29">
        <f t="shared" si="120"/>
        <v>0</v>
      </c>
      <c r="Y638" s="11"/>
    </row>
    <row r="639" spans="1:25" s="12" customFormat="1">
      <c r="A639" s="95">
        <v>45928</v>
      </c>
      <c r="B639" s="25" t="s">
        <v>17</v>
      </c>
      <c r="C639" s="29"/>
      <c r="D639" s="29"/>
      <c r="E639" s="29">
        <f t="shared" si="110"/>
        <v>-6333</v>
      </c>
      <c r="G639" s="79">
        <v>0</v>
      </c>
      <c r="H639" s="63"/>
      <c r="I639" s="27"/>
      <c r="J639" s="28"/>
      <c r="K639" s="43"/>
      <c r="L639" s="29">
        <f t="shared" si="112"/>
        <v>-128</v>
      </c>
      <c r="M639" s="29">
        <f t="shared" si="113"/>
        <v>0</v>
      </c>
      <c r="O639" s="54"/>
      <c r="Q639" s="79"/>
      <c r="R639" s="63"/>
      <c r="S639" s="27"/>
      <c r="T639" s="28"/>
      <c r="U639" s="43"/>
      <c r="V639" s="29">
        <f t="shared" si="118"/>
        <v>-56</v>
      </c>
      <c r="W639" s="29">
        <f t="shared" si="120"/>
        <v>0</v>
      </c>
      <c r="Y639" s="11"/>
    </row>
    <row r="640" spans="1:25">
      <c r="A640" s="96">
        <v>45929</v>
      </c>
      <c r="B640" s="17" t="s">
        <v>18</v>
      </c>
      <c r="C640" s="136">
        <f>G642+Q642</f>
        <v>56</v>
      </c>
      <c r="D640" s="23"/>
      <c r="E640" s="23">
        <f t="shared" si="110"/>
        <v>-6389</v>
      </c>
      <c r="G640" s="78">
        <v>0</v>
      </c>
      <c r="H640" s="62">
        <v>0</v>
      </c>
      <c r="I640" s="20"/>
      <c r="J640" s="21"/>
      <c r="K640" s="42"/>
      <c r="L640" s="23">
        <f t="shared" si="112"/>
        <v>-128</v>
      </c>
      <c r="M640" s="23">
        <f t="shared" si="113"/>
        <v>0</v>
      </c>
      <c r="O640" s="52"/>
      <c r="Q640" s="78">
        <v>40</v>
      </c>
      <c r="R640" s="62">
        <f t="shared" ref="R640:R644" si="121">IF($C638&lt;&gt;"",$C638+S640,IF($C636&lt;&gt;"",$C636+S640,IF($C635&lt;&gt;"",$C635+S640,IF($C634&lt;&gt;"",$C634+S640,IF($C633&lt;&gt;"",$C633+S640,IF($C632&lt;&gt;"",$C632+S640))))))</f>
        <v>40</v>
      </c>
      <c r="S640" s="20"/>
      <c r="T640" s="21"/>
      <c r="U640" s="42"/>
      <c r="V640" s="23">
        <f t="shared" si="118"/>
        <v>-96</v>
      </c>
      <c r="W640" s="23">
        <f t="shared" si="120"/>
        <v>0</v>
      </c>
    </row>
    <row r="641" spans="1:25">
      <c r="A641" s="96">
        <v>45930</v>
      </c>
      <c r="B641" s="17" t="s">
        <v>19</v>
      </c>
      <c r="C641" s="136">
        <f t="shared" ref="C641:C642" si="122">G643+Q643</f>
        <v>40</v>
      </c>
      <c r="D641" s="23"/>
      <c r="E641" s="23">
        <f t="shared" si="110"/>
        <v>-6429</v>
      </c>
      <c r="G641" s="78">
        <v>1</v>
      </c>
      <c r="H641" s="62">
        <v>1</v>
      </c>
      <c r="I641" s="20"/>
      <c r="J641" s="21"/>
      <c r="K641" s="42"/>
      <c r="L641" s="23">
        <f t="shared" si="112"/>
        <v>-129</v>
      </c>
      <c r="M641" s="23">
        <f t="shared" si="113"/>
        <v>0</v>
      </c>
      <c r="O641" s="52"/>
      <c r="Q641" s="78">
        <v>48</v>
      </c>
      <c r="R641" s="62">
        <f t="shared" si="121"/>
        <v>48</v>
      </c>
      <c r="S641" s="20">
        <v>-1</v>
      </c>
      <c r="T641" s="21"/>
      <c r="U641" s="42"/>
      <c r="V641" s="23">
        <f t="shared" si="118"/>
        <v>-144</v>
      </c>
      <c r="W641" s="23">
        <f t="shared" si="120"/>
        <v>0</v>
      </c>
    </row>
    <row r="642" spans="1:25">
      <c r="A642" s="96">
        <v>45931</v>
      </c>
      <c r="B642" s="17" t="s">
        <v>20</v>
      </c>
      <c r="C642" s="136">
        <f t="shared" si="122"/>
        <v>56</v>
      </c>
      <c r="D642" s="23"/>
      <c r="E642" s="23">
        <f t="shared" si="110"/>
        <v>-6485</v>
      </c>
      <c r="G642" s="304">
        <v>0</v>
      </c>
      <c r="H642" s="259"/>
      <c r="I642" s="260"/>
      <c r="J642" s="261"/>
      <c r="K642" s="262"/>
      <c r="L642" s="263">
        <f t="shared" si="112"/>
        <v>-129</v>
      </c>
      <c r="M642" s="263">
        <f t="shared" si="113"/>
        <v>0</v>
      </c>
      <c r="O642" s="52"/>
      <c r="Q642" s="78">
        <v>56</v>
      </c>
      <c r="R642" s="62">
        <f t="shared" si="121"/>
        <v>56</v>
      </c>
      <c r="S642" s="20"/>
      <c r="T642" s="21"/>
      <c r="U642" s="42"/>
      <c r="V642" s="23">
        <f t="shared" si="118"/>
        <v>-200</v>
      </c>
      <c r="W642" s="23">
        <f t="shared" si="120"/>
        <v>0</v>
      </c>
    </row>
    <row r="643" spans="1:25">
      <c r="A643" s="96">
        <v>45932</v>
      </c>
      <c r="B643" s="17" t="s">
        <v>14</v>
      </c>
      <c r="C643" s="136">
        <f>G647+Q647</f>
        <v>40</v>
      </c>
      <c r="D643" s="23"/>
      <c r="E643" s="23">
        <f t="shared" si="110"/>
        <v>-6525</v>
      </c>
      <c r="G643" s="304">
        <v>0</v>
      </c>
      <c r="H643" s="259"/>
      <c r="I643" s="260"/>
      <c r="J643" s="261"/>
      <c r="K643" s="262"/>
      <c r="L643" s="263">
        <f t="shared" si="112"/>
        <v>-129</v>
      </c>
      <c r="M643" s="263">
        <f t="shared" si="113"/>
        <v>0</v>
      </c>
      <c r="O643" s="52"/>
      <c r="Q643" s="78">
        <v>40</v>
      </c>
      <c r="R643" s="62">
        <f t="shared" si="121"/>
        <v>40</v>
      </c>
      <c r="S643" s="20"/>
      <c r="T643" s="21"/>
      <c r="U643" s="42"/>
      <c r="V643" s="23">
        <f t="shared" si="118"/>
        <v>-240</v>
      </c>
      <c r="W643" s="23">
        <f t="shared" si="120"/>
        <v>0</v>
      </c>
    </row>
    <row r="644" spans="1:25">
      <c r="A644" s="96">
        <v>45933</v>
      </c>
      <c r="B644" s="17" t="s">
        <v>15</v>
      </c>
      <c r="C644" s="136">
        <f>G648+Q648</f>
        <v>56</v>
      </c>
      <c r="D644" s="23"/>
      <c r="E644" s="23">
        <f t="shared" si="110"/>
        <v>-6581</v>
      </c>
      <c r="G644" s="304">
        <v>0</v>
      </c>
      <c r="H644" s="259"/>
      <c r="I644" s="260"/>
      <c r="J644" s="261"/>
      <c r="K644" s="262"/>
      <c r="L644" s="263">
        <f t="shared" si="112"/>
        <v>-129</v>
      </c>
      <c r="M644" s="263">
        <f t="shared" si="113"/>
        <v>0</v>
      </c>
      <c r="O644" s="52"/>
      <c r="Q644" s="19">
        <v>56</v>
      </c>
      <c r="R644" s="62">
        <f t="shared" si="121"/>
        <v>56</v>
      </c>
      <c r="S644" s="20"/>
      <c r="T644" s="21"/>
      <c r="U644" s="42"/>
      <c r="V644" s="23">
        <f t="shared" si="118"/>
        <v>-296</v>
      </c>
      <c r="W644" s="23">
        <f t="shared" si="120"/>
        <v>0</v>
      </c>
      <c r="Y644" s="1">
        <f>AVERAGE(Q640:Q644)</f>
        <v>48</v>
      </c>
    </row>
    <row r="645" spans="1:25" s="12" customFormat="1">
      <c r="A645" s="95">
        <v>45934</v>
      </c>
      <c r="B645" s="25" t="s">
        <v>16</v>
      </c>
      <c r="C645" s="29"/>
      <c r="D645" s="29"/>
      <c r="E645" s="29">
        <f t="shared" ref="E645:E650" si="123">E644-C645+D645</f>
        <v>-6581</v>
      </c>
      <c r="G645" s="304">
        <v>0</v>
      </c>
      <c r="H645" s="259"/>
      <c r="I645" s="260"/>
      <c r="J645" s="261"/>
      <c r="K645" s="262"/>
      <c r="L645" s="263">
        <f t="shared" ref="L645:L650" si="124">L644-G645+K645</f>
        <v>-129</v>
      </c>
      <c r="M645" s="263">
        <f t="shared" ref="M645:M650" si="125">M644-G645+H645</f>
        <v>0</v>
      </c>
      <c r="O645" s="54"/>
      <c r="Q645" s="64"/>
      <c r="R645" s="63"/>
      <c r="S645" s="27"/>
      <c r="T645" s="28"/>
      <c r="U645" s="43"/>
      <c r="V645" s="29">
        <f t="shared" si="118"/>
        <v>-296</v>
      </c>
      <c r="W645" s="29">
        <f t="shared" si="120"/>
        <v>0</v>
      </c>
      <c r="Y645" s="11"/>
    </row>
    <row r="646" spans="1:25" s="12" customFormat="1">
      <c r="A646" s="95">
        <v>45935</v>
      </c>
      <c r="B646" s="25" t="s">
        <v>17</v>
      </c>
      <c r="C646" s="29"/>
      <c r="D646" s="29"/>
      <c r="E646" s="29">
        <f t="shared" si="123"/>
        <v>-6581</v>
      </c>
      <c r="G646" s="304">
        <v>0</v>
      </c>
      <c r="H646" s="259"/>
      <c r="I646" s="260"/>
      <c r="J646" s="261"/>
      <c r="K646" s="262"/>
      <c r="L646" s="263">
        <f t="shared" si="124"/>
        <v>-129</v>
      </c>
      <c r="M646" s="263">
        <f t="shared" si="125"/>
        <v>0</v>
      </c>
      <c r="O646" s="54"/>
      <c r="Q646" s="64"/>
      <c r="R646" s="63"/>
      <c r="S646" s="27"/>
      <c r="T646" s="28"/>
      <c r="U646" s="43"/>
      <c r="V646" s="29">
        <f t="shared" si="118"/>
        <v>-296</v>
      </c>
      <c r="W646" s="29">
        <f t="shared" si="120"/>
        <v>0</v>
      </c>
      <c r="Y646" s="11"/>
    </row>
    <row r="647" spans="1:25">
      <c r="A647" s="96">
        <v>45936</v>
      </c>
      <c r="B647" s="17" t="s">
        <v>18</v>
      </c>
      <c r="C647" s="23">
        <f>G649+Q649</f>
        <v>40</v>
      </c>
      <c r="D647" s="23"/>
      <c r="E647" s="23">
        <f t="shared" si="123"/>
        <v>-6621</v>
      </c>
      <c r="G647" s="304">
        <v>0</v>
      </c>
      <c r="H647" s="259"/>
      <c r="I647" s="260"/>
      <c r="J647" s="261"/>
      <c r="K647" s="262"/>
      <c r="L647" s="263">
        <f t="shared" si="124"/>
        <v>-129</v>
      </c>
      <c r="M647" s="263">
        <f t="shared" si="125"/>
        <v>0</v>
      </c>
      <c r="O647" s="52"/>
      <c r="Q647" s="19">
        <v>40</v>
      </c>
      <c r="R647" s="62">
        <f>IF($C645&lt;&gt;"",$C645+S647,IF($C643&lt;&gt;"",$C643+S647,IF($C642&lt;&gt;"",$C642+S647,IF($C641&lt;&gt;"",$C641+S647,IF($C640&lt;&gt;"",$C640+S647,IF($C639&lt;&gt;"",$C639+S647))))))</f>
        <v>40</v>
      </c>
      <c r="S647" s="20"/>
      <c r="T647" s="21"/>
      <c r="U647" s="42"/>
      <c r="V647" s="23">
        <f t="shared" si="118"/>
        <v>-336</v>
      </c>
      <c r="W647" s="23">
        <f t="shared" si="120"/>
        <v>0</v>
      </c>
    </row>
    <row r="648" spans="1:25">
      <c r="A648" s="96">
        <v>45937</v>
      </c>
      <c r="B648" s="17" t="s">
        <v>19</v>
      </c>
      <c r="C648" s="23">
        <f t="shared" ref="C648:C649" si="126">G650+Q650</f>
        <v>48</v>
      </c>
      <c r="D648" s="23"/>
      <c r="E648" s="23">
        <f t="shared" si="123"/>
        <v>-6669</v>
      </c>
      <c r="G648" s="304">
        <v>0</v>
      </c>
      <c r="H648" s="259"/>
      <c r="I648" s="260"/>
      <c r="J648" s="261"/>
      <c r="K648" s="262"/>
      <c r="L648" s="263">
        <f t="shared" si="124"/>
        <v>-129</v>
      </c>
      <c r="M648" s="263">
        <f t="shared" si="125"/>
        <v>0</v>
      </c>
      <c r="O648" s="52"/>
      <c r="Q648" s="19">
        <v>56</v>
      </c>
      <c r="R648" s="62">
        <f t="shared" ref="R648:R651" si="127">IF($C646&lt;&gt;"",$C646+S648,IF($C644&lt;&gt;"",$C644+S648,IF($C643&lt;&gt;"",$C643+S648,IF($C642&lt;&gt;"",$C642+S648,IF($C641&lt;&gt;"",$C641+S648,IF($C640&lt;&gt;"",$C640+S648))))))</f>
        <v>56</v>
      </c>
      <c r="S648" s="20"/>
      <c r="T648" s="21"/>
      <c r="U648" s="42"/>
      <c r="V648" s="23">
        <f t="shared" si="118"/>
        <v>-392</v>
      </c>
      <c r="W648" s="23">
        <f t="shared" si="120"/>
        <v>0</v>
      </c>
    </row>
    <row r="649" spans="1:25">
      <c r="A649" s="96">
        <v>45938</v>
      </c>
      <c r="B649" s="17" t="s">
        <v>20</v>
      </c>
      <c r="C649" s="23">
        <f t="shared" si="126"/>
        <v>40</v>
      </c>
      <c r="D649" s="23"/>
      <c r="E649" s="23">
        <f t="shared" si="123"/>
        <v>-6709</v>
      </c>
      <c r="G649" s="304">
        <v>0</v>
      </c>
      <c r="H649" s="259"/>
      <c r="I649" s="260"/>
      <c r="J649" s="261"/>
      <c r="K649" s="262"/>
      <c r="L649" s="263">
        <f t="shared" si="124"/>
        <v>-129</v>
      </c>
      <c r="M649" s="263">
        <f t="shared" si="125"/>
        <v>0</v>
      </c>
      <c r="O649" s="52"/>
      <c r="Q649" s="19">
        <v>40</v>
      </c>
      <c r="R649" s="62">
        <f t="shared" si="127"/>
        <v>40</v>
      </c>
      <c r="S649" s="20"/>
      <c r="T649" s="21"/>
      <c r="U649" s="42"/>
      <c r="V649" s="23">
        <f t="shared" si="118"/>
        <v>-432</v>
      </c>
      <c r="W649" s="23">
        <f t="shared" si="120"/>
        <v>0</v>
      </c>
    </row>
    <row r="650" spans="1:25">
      <c r="A650" s="96">
        <v>45939</v>
      </c>
      <c r="B650" s="17" t="s">
        <v>14</v>
      </c>
      <c r="C650" s="23">
        <f>G655+Q655</f>
        <v>56</v>
      </c>
      <c r="D650" s="23"/>
      <c r="E650" s="23">
        <f t="shared" si="123"/>
        <v>-6765</v>
      </c>
      <c r="G650" s="304">
        <v>0</v>
      </c>
      <c r="H650" s="259"/>
      <c r="I650" s="260"/>
      <c r="J650" s="261"/>
      <c r="K650" s="262"/>
      <c r="L650" s="263">
        <f t="shared" si="124"/>
        <v>-129</v>
      </c>
      <c r="M650" s="263">
        <f t="shared" si="125"/>
        <v>0</v>
      </c>
      <c r="O650" s="52"/>
      <c r="Q650" s="19">
        <v>48</v>
      </c>
      <c r="R650" s="62">
        <f t="shared" si="127"/>
        <v>48</v>
      </c>
      <c r="S650" s="20"/>
      <c r="T650" s="21"/>
      <c r="U650" s="42"/>
      <c r="V650" s="23">
        <f t="shared" si="118"/>
        <v>-480</v>
      </c>
      <c r="W650" s="23">
        <f t="shared" si="120"/>
        <v>0</v>
      </c>
    </row>
    <row r="651" spans="1:25">
      <c r="A651" s="96">
        <v>45940</v>
      </c>
      <c r="B651" s="17" t="s">
        <v>15</v>
      </c>
      <c r="C651" s="23">
        <f>G656+Q656</f>
        <v>32</v>
      </c>
      <c r="D651" s="23"/>
      <c r="E651" s="23">
        <f t="shared" ref="E651:E675" si="128">E650-C651+D651</f>
        <v>-6797</v>
      </c>
      <c r="G651" s="304">
        <v>0</v>
      </c>
      <c r="H651" s="259"/>
      <c r="I651" s="260"/>
      <c r="J651" s="261"/>
      <c r="K651" s="262"/>
      <c r="L651" s="263">
        <f t="shared" ref="L651:L675" si="129">L650-G651+K651</f>
        <v>-129</v>
      </c>
      <c r="M651" s="263">
        <f t="shared" ref="M651:M675" si="130">M650-G651+H651</f>
        <v>0</v>
      </c>
      <c r="O651" s="52"/>
      <c r="Q651" s="19">
        <v>40</v>
      </c>
      <c r="R651" s="62">
        <f t="shared" si="127"/>
        <v>40</v>
      </c>
      <c r="S651" s="20"/>
      <c r="T651" s="21"/>
      <c r="U651" s="42"/>
      <c r="V651" s="23">
        <f t="shared" si="118"/>
        <v>-520</v>
      </c>
      <c r="W651" s="23">
        <f t="shared" si="120"/>
        <v>0</v>
      </c>
      <c r="Y651" s="1">
        <f>AVERAGE(Q647:Q651)</f>
        <v>44.8</v>
      </c>
    </row>
    <row r="652" spans="1:25" s="12" customFormat="1">
      <c r="A652" s="95">
        <v>45941</v>
      </c>
      <c r="B652" s="25" t="s">
        <v>16</v>
      </c>
      <c r="C652" s="29"/>
      <c r="D652" s="29"/>
      <c r="E652" s="29">
        <f t="shared" si="128"/>
        <v>-6797</v>
      </c>
      <c r="G652" s="304">
        <v>0</v>
      </c>
      <c r="H652" s="259"/>
      <c r="I652" s="260"/>
      <c r="J652" s="261"/>
      <c r="K652" s="262"/>
      <c r="L652" s="263">
        <f t="shared" si="129"/>
        <v>-129</v>
      </c>
      <c r="M652" s="263">
        <f t="shared" si="130"/>
        <v>0</v>
      </c>
      <c r="O652" s="54"/>
      <c r="Q652" s="64"/>
      <c r="R652" s="63"/>
      <c r="S652" s="27"/>
      <c r="T652" s="28"/>
      <c r="U652" s="43"/>
      <c r="V652" s="29">
        <f t="shared" si="118"/>
        <v>-520</v>
      </c>
      <c r="W652" s="29">
        <f t="shared" si="120"/>
        <v>0</v>
      </c>
      <c r="Y652" s="11"/>
    </row>
    <row r="653" spans="1:25" s="12" customFormat="1">
      <c r="A653" s="95">
        <v>45942</v>
      </c>
      <c r="B653" s="25" t="s">
        <v>17</v>
      </c>
      <c r="C653" s="29"/>
      <c r="D653" s="29"/>
      <c r="E653" s="29">
        <f t="shared" si="128"/>
        <v>-6797</v>
      </c>
      <c r="G653" s="304">
        <v>0</v>
      </c>
      <c r="H653" s="259"/>
      <c r="I653" s="260"/>
      <c r="J653" s="261"/>
      <c r="K653" s="262"/>
      <c r="L653" s="263">
        <f t="shared" si="129"/>
        <v>-129</v>
      </c>
      <c r="M653" s="263">
        <f t="shared" si="130"/>
        <v>0</v>
      </c>
      <c r="O653" s="54"/>
      <c r="Q653" s="64"/>
      <c r="R653" s="63"/>
      <c r="S653" s="27"/>
      <c r="T653" s="28"/>
      <c r="U653" s="43"/>
      <c r="V653" s="29">
        <f t="shared" si="118"/>
        <v>-520</v>
      </c>
      <c r="W653" s="29">
        <f t="shared" si="120"/>
        <v>0</v>
      </c>
      <c r="Y653" s="11"/>
    </row>
    <row r="654" spans="1:25" s="12" customFormat="1">
      <c r="A654" s="95">
        <v>45943</v>
      </c>
      <c r="B654" s="25" t="s">
        <v>18</v>
      </c>
      <c r="C654" s="29"/>
      <c r="D654" s="29"/>
      <c r="E654" s="29">
        <f t="shared" si="128"/>
        <v>-6797</v>
      </c>
      <c r="G654" s="304">
        <v>0</v>
      </c>
      <c r="H654" s="259"/>
      <c r="I654" s="260"/>
      <c r="J654" s="261"/>
      <c r="K654" s="262"/>
      <c r="L654" s="263">
        <f t="shared" si="129"/>
        <v>-129</v>
      </c>
      <c r="M654" s="263">
        <f t="shared" si="130"/>
        <v>0</v>
      </c>
      <c r="O654" s="54"/>
      <c r="Q654" s="64"/>
      <c r="R654" s="63"/>
      <c r="S654" s="27"/>
      <c r="T654" s="28"/>
      <c r="U654" s="43"/>
      <c r="V654" s="29">
        <f t="shared" si="118"/>
        <v>-520</v>
      </c>
      <c r="W654" s="29">
        <f t="shared" si="120"/>
        <v>0</v>
      </c>
      <c r="Y654" s="11"/>
    </row>
    <row r="655" spans="1:25">
      <c r="A655" s="96">
        <v>45944</v>
      </c>
      <c r="B655" s="17" t="s">
        <v>19</v>
      </c>
      <c r="C655" s="23">
        <f>G657+Q657</f>
        <v>40</v>
      </c>
      <c r="D655" s="23"/>
      <c r="E655" s="23">
        <f t="shared" si="128"/>
        <v>-6837</v>
      </c>
      <c r="G655" s="304">
        <v>0</v>
      </c>
      <c r="H655" s="259"/>
      <c r="I655" s="260"/>
      <c r="J655" s="261"/>
      <c r="K655" s="262"/>
      <c r="L655" s="263">
        <f t="shared" si="129"/>
        <v>-129</v>
      </c>
      <c r="M655" s="263">
        <f t="shared" si="130"/>
        <v>0</v>
      </c>
      <c r="O655" s="52"/>
      <c r="Q655" s="19">
        <v>56</v>
      </c>
      <c r="R655" s="62">
        <f>C650</f>
        <v>56</v>
      </c>
      <c r="S655" s="20"/>
      <c r="T655" s="21"/>
      <c r="U655" s="42"/>
      <c r="V655" s="23">
        <f t="shared" si="118"/>
        <v>-576</v>
      </c>
      <c r="W655" s="23">
        <f t="shared" si="120"/>
        <v>0</v>
      </c>
    </row>
    <row r="656" spans="1:25">
      <c r="A656" s="96">
        <v>45945</v>
      </c>
      <c r="B656" s="17" t="s">
        <v>20</v>
      </c>
      <c r="C656" s="23">
        <f t="shared" ref="C656" si="131">G658+Q658</f>
        <v>40</v>
      </c>
      <c r="D656" s="23"/>
      <c r="E656" s="23">
        <f t="shared" si="128"/>
        <v>-6877</v>
      </c>
      <c r="G656" s="304">
        <v>0</v>
      </c>
      <c r="H656" s="259"/>
      <c r="I656" s="260"/>
      <c r="J656" s="261"/>
      <c r="K656" s="262"/>
      <c r="L656" s="263">
        <f t="shared" si="129"/>
        <v>-129</v>
      </c>
      <c r="M656" s="263">
        <f t="shared" si="130"/>
        <v>0</v>
      </c>
      <c r="O656" s="52"/>
      <c r="Q656" s="19">
        <v>32</v>
      </c>
      <c r="R656" s="62">
        <f t="shared" ref="R656:R658" si="132">IF($C654&lt;&gt;"",$C654+S656,IF($C652&lt;&gt;"",$C652+S656,IF($C651&lt;&gt;"",$C651+S656,IF($C650&lt;&gt;"",$C650+S656,IF($C649&lt;&gt;"",$C649+S656,IF($C648&lt;&gt;"",$C648+S656))))))</f>
        <v>32</v>
      </c>
      <c r="S656" s="20"/>
      <c r="T656" s="21"/>
      <c r="U656" s="42"/>
      <c r="V656" s="23">
        <f t="shared" si="118"/>
        <v>-608</v>
      </c>
      <c r="W656" s="23">
        <f t="shared" si="120"/>
        <v>0</v>
      </c>
    </row>
    <row r="657" spans="1:25">
      <c r="A657" s="96">
        <v>45946</v>
      </c>
      <c r="B657" s="17" t="s">
        <v>14</v>
      </c>
      <c r="C657" s="23">
        <f>G661+Q661</f>
        <v>32</v>
      </c>
      <c r="D657" s="23"/>
      <c r="E657" s="23">
        <f t="shared" si="128"/>
        <v>-6909</v>
      </c>
      <c r="G657" s="304">
        <v>0</v>
      </c>
      <c r="H657" s="259"/>
      <c r="I657" s="260"/>
      <c r="J657" s="261"/>
      <c r="K657" s="262"/>
      <c r="L657" s="263">
        <f t="shared" si="129"/>
        <v>-129</v>
      </c>
      <c r="M657" s="263">
        <f t="shared" si="130"/>
        <v>0</v>
      </c>
      <c r="O657" s="52"/>
      <c r="Q657" s="19">
        <v>40</v>
      </c>
      <c r="R657" s="62">
        <f t="shared" si="132"/>
        <v>40</v>
      </c>
      <c r="S657" s="20"/>
      <c r="T657" s="21"/>
      <c r="U657" s="42"/>
      <c r="V657" s="23">
        <f t="shared" si="118"/>
        <v>-648</v>
      </c>
      <c r="W657" s="23">
        <f t="shared" si="120"/>
        <v>0</v>
      </c>
    </row>
    <row r="658" spans="1:25">
      <c r="A658" s="96">
        <v>45947</v>
      </c>
      <c r="B658" s="17" t="s">
        <v>15</v>
      </c>
      <c r="C658" s="23">
        <f>G662+Q662</f>
        <v>56</v>
      </c>
      <c r="D658" s="23"/>
      <c r="E658" s="23">
        <f t="shared" si="128"/>
        <v>-6965</v>
      </c>
      <c r="G658" s="304">
        <v>0</v>
      </c>
      <c r="H658" s="259"/>
      <c r="I658" s="260"/>
      <c r="J658" s="261"/>
      <c r="K658" s="262"/>
      <c r="L658" s="263">
        <f t="shared" si="129"/>
        <v>-129</v>
      </c>
      <c r="M658" s="263">
        <f t="shared" si="130"/>
        <v>0</v>
      </c>
      <c r="O658" s="52"/>
      <c r="Q658" s="19">
        <v>40</v>
      </c>
      <c r="R658" s="62">
        <f t="shared" si="132"/>
        <v>40</v>
      </c>
      <c r="S658" s="20"/>
      <c r="T658" s="21"/>
      <c r="U658" s="42"/>
      <c r="V658" s="23">
        <f t="shared" si="118"/>
        <v>-688</v>
      </c>
      <c r="W658" s="23">
        <f t="shared" si="120"/>
        <v>0</v>
      </c>
      <c r="Y658" s="1">
        <f>AVERAGE(Q655:Q658)</f>
        <v>42</v>
      </c>
    </row>
    <row r="659" spans="1:25" s="12" customFormat="1">
      <c r="A659" s="95">
        <v>45948</v>
      </c>
      <c r="B659" s="25" t="s">
        <v>16</v>
      </c>
      <c r="C659" s="29"/>
      <c r="D659" s="29"/>
      <c r="E659" s="29">
        <f t="shared" si="128"/>
        <v>-6965</v>
      </c>
      <c r="G659" s="304">
        <v>0</v>
      </c>
      <c r="H659" s="259"/>
      <c r="I659" s="260"/>
      <c r="J659" s="261"/>
      <c r="K659" s="262"/>
      <c r="L659" s="263">
        <f t="shared" si="129"/>
        <v>-129</v>
      </c>
      <c r="M659" s="263">
        <f t="shared" si="130"/>
        <v>0</v>
      </c>
      <c r="O659" s="54"/>
      <c r="Q659" s="64"/>
      <c r="R659" s="63"/>
      <c r="S659" s="27"/>
      <c r="T659" s="28"/>
      <c r="U659" s="43"/>
      <c r="V659" s="29">
        <f t="shared" si="118"/>
        <v>-688</v>
      </c>
      <c r="W659" s="29">
        <f t="shared" si="120"/>
        <v>0</v>
      </c>
      <c r="Y659" s="11"/>
    </row>
    <row r="660" spans="1:25" s="12" customFormat="1">
      <c r="A660" s="95">
        <v>45949</v>
      </c>
      <c r="B660" s="25" t="s">
        <v>17</v>
      </c>
      <c r="C660" s="29"/>
      <c r="D660" s="29"/>
      <c r="E660" s="29">
        <f t="shared" si="128"/>
        <v>-6965</v>
      </c>
      <c r="G660" s="304">
        <v>0</v>
      </c>
      <c r="H660" s="259"/>
      <c r="I660" s="260"/>
      <c r="J660" s="261"/>
      <c r="K660" s="262"/>
      <c r="L660" s="263">
        <f t="shared" si="129"/>
        <v>-129</v>
      </c>
      <c r="M660" s="263">
        <f t="shared" si="130"/>
        <v>0</v>
      </c>
      <c r="O660" s="54"/>
      <c r="Q660" s="64"/>
      <c r="R660" s="63"/>
      <c r="S660" s="27"/>
      <c r="T660" s="28"/>
      <c r="U660" s="43"/>
      <c r="V660" s="29">
        <f t="shared" si="118"/>
        <v>-688</v>
      </c>
      <c r="W660" s="29">
        <f t="shared" si="120"/>
        <v>0</v>
      </c>
      <c r="Y660" s="11"/>
    </row>
    <row r="661" spans="1:25">
      <c r="A661" s="96">
        <v>45950</v>
      </c>
      <c r="B661" s="17" t="s">
        <v>18</v>
      </c>
      <c r="C661" s="23">
        <f>G663+Q663</f>
        <v>56</v>
      </c>
      <c r="D661" s="23"/>
      <c r="E661" s="23">
        <f t="shared" si="128"/>
        <v>-7021</v>
      </c>
      <c r="G661" s="304">
        <v>0</v>
      </c>
      <c r="H661" s="259"/>
      <c r="I661" s="260"/>
      <c r="J661" s="261"/>
      <c r="K661" s="262"/>
      <c r="L661" s="263">
        <f t="shared" si="129"/>
        <v>-129</v>
      </c>
      <c r="M661" s="263">
        <f t="shared" si="130"/>
        <v>0</v>
      </c>
      <c r="O661" s="52"/>
      <c r="Q661" s="19">
        <v>32</v>
      </c>
      <c r="R661" s="62">
        <f t="shared" ref="R661:R665" si="133">IF($C659&lt;&gt;"",$C659+S661,IF($C657&lt;&gt;"",$C657+S661,IF($C656&lt;&gt;"",$C656+S661,IF($C655&lt;&gt;"",$C655+S661,IF($C654&lt;&gt;"",$C654+S661,IF($C653&lt;&gt;"",$C653+S661))))))</f>
        <v>32</v>
      </c>
      <c r="S661" s="20"/>
      <c r="T661" s="21"/>
      <c r="U661" s="42"/>
      <c r="V661" s="23">
        <f t="shared" si="118"/>
        <v>-720</v>
      </c>
      <c r="W661" s="23">
        <f t="shared" si="120"/>
        <v>0</v>
      </c>
    </row>
    <row r="662" spans="1:25">
      <c r="A662" s="96">
        <v>45951</v>
      </c>
      <c r="B662" s="17" t="s">
        <v>19</v>
      </c>
      <c r="C662" s="23">
        <f t="shared" ref="C662:C663" si="134">G664+Q664</f>
        <v>40</v>
      </c>
      <c r="D662" s="23"/>
      <c r="E662" s="23">
        <f t="shared" si="128"/>
        <v>-7061</v>
      </c>
      <c r="G662" s="304">
        <v>0</v>
      </c>
      <c r="H662" s="259"/>
      <c r="I662" s="260"/>
      <c r="J662" s="261"/>
      <c r="K662" s="262"/>
      <c r="L662" s="263">
        <f t="shared" si="129"/>
        <v>-129</v>
      </c>
      <c r="M662" s="263">
        <f t="shared" si="130"/>
        <v>0</v>
      </c>
      <c r="O662" s="52"/>
      <c r="Q662" s="19">
        <v>56</v>
      </c>
      <c r="R662" s="62">
        <f t="shared" si="133"/>
        <v>56</v>
      </c>
      <c r="S662" s="20"/>
      <c r="T662" s="21"/>
      <c r="U662" s="42"/>
      <c r="V662" s="23">
        <f t="shared" si="118"/>
        <v>-776</v>
      </c>
      <c r="W662" s="23">
        <f t="shared" si="120"/>
        <v>0</v>
      </c>
    </row>
    <row r="663" spans="1:25">
      <c r="A663" s="96">
        <v>45952</v>
      </c>
      <c r="B663" s="17" t="s">
        <v>20</v>
      </c>
      <c r="C663" s="23">
        <f t="shared" si="134"/>
        <v>56</v>
      </c>
      <c r="D663" s="23"/>
      <c r="E663" s="23">
        <f t="shared" si="128"/>
        <v>-7117</v>
      </c>
      <c r="G663" s="304">
        <v>0</v>
      </c>
      <c r="H663" s="259"/>
      <c r="I663" s="260"/>
      <c r="J663" s="261"/>
      <c r="K663" s="262"/>
      <c r="L663" s="263">
        <f t="shared" si="129"/>
        <v>-129</v>
      </c>
      <c r="M663" s="263">
        <f t="shared" si="130"/>
        <v>0</v>
      </c>
      <c r="O663" s="52"/>
      <c r="Q663" s="19">
        <v>56</v>
      </c>
      <c r="R663" s="62">
        <f t="shared" si="133"/>
        <v>56</v>
      </c>
      <c r="S663" s="20"/>
      <c r="T663" s="21"/>
      <c r="U663" s="42"/>
      <c r="V663" s="23">
        <f t="shared" si="118"/>
        <v>-832</v>
      </c>
      <c r="W663" s="23">
        <f t="shared" si="120"/>
        <v>0</v>
      </c>
    </row>
    <row r="664" spans="1:25">
      <c r="A664" s="96">
        <v>45953</v>
      </c>
      <c r="B664" s="17" t="s">
        <v>14</v>
      </c>
      <c r="C664" s="23">
        <f>G668+Q668</f>
        <v>48</v>
      </c>
      <c r="D664" s="23"/>
      <c r="E664" s="23">
        <f t="shared" si="128"/>
        <v>-7165</v>
      </c>
      <c r="G664" s="304">
        <v>0</v>
      </c>
      <c r="H664" s="259"/>
      <c r="I664" s="260"/>
      <c r="J664" s="261"/>
      <c r="K664" s="262"/>
      <c r="L664" s="263">
        <f t="shared" si="129"/>
        <v>-129</v>
      </c>
      <c r="M664" s="263">
        <f t="shared" si="130"/>
        <v>0</v>
      </c>
      <c r="O664" s="52"/>
      <c r="Q664" s="19">
        <v>40</v>
      </c>
      <c r="R664" s="62">
        <f t="shared" si="133"/>
        <v>40</v>
      </c>
      <c r="S664" s="20"/>
      <c r="T664" s="21"/>
      <c r="U664" s="42"/>
      <c r="V664" s="23">
        <f t="shared" si="118"/>
        <v>-872</v>
      </c>
      <c r="W664" s="23">
        <f t="shared" si="120"/>
        <v>0</v>
      </c>
    </row>
    <row r="665" spans="1:25">
      <c r="A665" s="96">
        <v>45954</v>
      </c>
      <c r="B665" s="17" t="s">
        <v>15</v>
      </c>
      <c r="C665" s="23">
        <f>G669+Q669</f>
        <v>40</v>
      </c>
      <c r="D665" s="23"/>
      <c r="E665" s="23">
        <f t="shared" si="128"/>
        <v>-7205</v>
      </c>
      <c r="G665" s="304">
        <v>0</v>
      </c>
      <c r="H665" s="259"/>
      <c r="I665" s="260"/>
      <c r="J665" s="261"/>
      <c r="K665" s="262"/>
      <c r="L665" s="263">
        <f t="shared" si="129"/>
        <v>-129</v>
      </c>
      <c r="M665" s="263">
        <f t="shared" si="130"/>
        <v>0</v>
      </c>
      <c r="O665" s="52"/>
      <c r="Q665" s="19">
        <v>56</v>
      </c>
      <c r="R665" s="62">
        <f t="shared" si="133"/>
        <v>56</v>
      </c>
      <c r="S665" s="20"/>
      <c r="T665" s="21"/>
      <c r="U665" s="42"/>
      <c r="V665" s="23">
        <f t="shared" si="118"/>
        <v>-928</v>
      </c>
      <c r="W665" s="23">
        <f t="shared" si="120"/>
        <v>0</v>
      </c>
      <c r="Y665" s="1">
        <f>AVERAGE(Q661:Q665)</f>
        <v>48</v>
      </c>
    </row>
    <row r="666" spans="1:25" s="12" customFormat="1">
      <c r="A666" s="95">
        <v>45955</v>
      </c>
      <c r="B666" s="25" t="s">
        <v>16</v>
      </c>
      <c r="C666" s="29"/>
      <c r="D666" s="29"/>
      <c r="E666" s="29">
        <f t="shared" si="128"/>
        <v>-7205</v>
      </c>
      <c r="G666" s="304">
        <v>0</v>
      </c>
      <c r="H666" s="259"/>
      <c r="I666" s="260"/>
      <c r="J666" s="261"/>
      <c r="K666" s="262"/>
      <c r="L666" s="263">
        <f t="shared" si="129"/>
        <v>-129</v>
      </c>
      <c r="M666" s="263">
        <f t="shared" si="130"/>
        <v>0</v>
      </c>
      <c r="O666" s="54"/>
      <c r="Q666" s="64"/>
      <c r="R666" s="63"/>
      <c r="S666" s="27"/>
      <c r="T666" s="28"/>
      <c r="U666" s="43"/>
      <c r="V666" s="29">
        <f t="shared" si="118"/>
        <v>-928</v>
      </c>
      <c r="W666" s="29">
        <f t="shared" si="120"/>
        <v>0</v>
      </c>
      <c r="Y666" s="11"/>
    </row>
    <row r="667" spans="1:25" s="12" customFormat="1">
      <c r="A667" s="95">
        <v>45956</v>
      </c>
      <c r="B667" s="25" t="s">
        <v>17</v>
      </c>
      <c r="C667" s="29"/>
      <c r="D667" s="29"/>
      <c r="E667" s="29">
        <f t="shared" si="128"/>
        <v>-7205</v>
      </c>
      <c r="G667" s="304">
        <v>0</v>
      </c>
      <c r="H667" s="259"/>
      <c r="I667" s="260"/>
      <c r="J667" s="261"/>
      <c r="K667" s="262"/>
      <c r="L667" s="263">
        <f t="shared" si="129"/>
        <v>-129</v>
      </c>
      <c r="M667" s="263">
        <f t="shared" si="130"/>
        <v>0</v>
      </c>
      <c r="O667" s="54"/>
      <c r="Q667" s="64"/>
      <c r="R667" s="63"/>
      <c r="S667" s="27"/>
      <c r="T667" s="28"/>
      <c r="U667" s="43"/>
      <c r="V667" s="29">
        <f t="shared" si="118"/>
        <v>-928</v>
      </c>
      <c r="W667" s="29">
        <f t="shared" si="120"/>
        <v>0</v>
      </c>
      <c r="Y667" s="11"/>
    </row>
    <row r="668" spans="1:25">
      <c r="A668" s="96">
        <v>45957</v>
      </c>
      <c r="B668" s="17" t="s">
        <v>18</v>
      </c>
      <c r="C668" s="23">
        <f>G670+Q670</f>
        <v>40</v>
      </c>
      <c r="D668" s="23"/>
      <c r="E668" s="23">
        <f t="shared" si="128"/>
        <v>-7245</v>
      </c>
      <c r="G668" s="304">
        <v>0</v>
      </c>
      <c r="H668" s="259"/>
      <c r="I668" s="260"/>
      <c r="J668" s="261"/>
      <c r="K668" s="262"/>
      <c r="L668" s="263">
        <f t="shared" si="129"/>
        <v>-129</v>
      </c>
      <c r="M668" s="263">
        <f t="shared" si="130"/>
        <v>0</v>
      </c>
      <c r="O668" s="52"/>
      <c r="Q668" s="19">
        <v>48</v>
      </c>
      <c r="R668" s="62">
        <f t="shared" ref="R668:R672" si="135">IF($C666&lt;&gt;"",$C666+S668,IF($C664&lt;&gt;"",$C664+S668,IF($C663&lt;&gt;"",$C663+S668,IF($C662&lt;&gt;"",$C662+S668,IF($C661&lt;&gt;"",$C661+S668,IF($C660&lt;&gt;"",$C660+S668))))))</f>
        <v>48</v>
      </c>
      <c r="S668" s="20"/>
      <c r="T668" s="21"/>
      <c r="U668" s="42"/>
      <c r="V668" s="23">
        <f t="shared" si="118"/>
        <v>-976</v>
      </c>
      <c r="W668" s="23">
        <f t="shared" si="120"/>
        <v>0</v>
      </c>
    </row>
    <row r="669" spans="1:25">
      <c r="A669" s="96">
        <v>45958</v>
      </c>
      <c r="B669" s="17" t="s">
        <v>19</v>
      </c>
      <c r="C669" s="23">
        <f t="shared" ref="C669:C670" si="136">G671+Q671</f>
        <v>48</v>
      </c>
      <c r="D669" s="23"/>
      <c r="E669" s="23">
        <f t="shared" si="128"/>
        <v>-7293</v>
      </c>
      <c r="G669" s="304">
        <v>0</v>
      </c>
      <c r="H669" s="259"/>
      <c r="I669" s="260"/>
      <c r="J669" s="261"/>
      <c r="K669" s="262"/>
      <c r="L669" s="263">
        <f t="shared" si="129"/>
        <v>-129</v>
      </c>
      <c r="M669" s="263">
        <f t="shared" si="130"/>
        <v>0</v>
      </c>
      <c r="O669" s="52"/>
      <c r="Q669" s="19">
        <v>40</v>
      </c>
      <c r="R669" s="62">
        <f t="shared" si="135"/>
        <v>40</v>
      </c>
      <c r="S669" s="20"/>
      <c r="T669" s="21"/>
      <c r="U669" s="42"/>
      <c r="V669" s="23">
        <f t="shared" si="118"/>
        <v>-1016</v>
      </c>
      <c r="W669" s="23">
        <f t="shared" si="120"/>
        <v>0</v>
      </c>
    </row>
    <row r="670" spans="1:25">
      <c r="A670" s="96">
        <v>45959</v>
      </c>
      <c r="B670" s="17" t="s">
        <v>20</v>
      </c>
      <c r="C670" s="23">
        <f t="shared" si="136"/>
        <v>40</v>
      </c>
      <c r="D670" s="23"/>
      <c r="E670" s="23">
        <f t="shared" si="128"/>
        <v>-7333</v>
      </c>
      <c r="G670" s="304">
        <v>0</v>
      </c>
      <c r="H670" s="259"/>
      <c r="I670" s="260"/>
      <c r="J670" s="261"/>
      <c r="K670" s="262"/>
      <c r="L670" s="263">
        <f t="shared" si="129"/>
        <v>-129</v>
      </c>
      <c r="M670" s="263">
        <f t="shared" si="130"/>
        <v>0</v>
      </c>
      <c r="O670" s="52"/>
      <c r="Q670" s="19">
        <v>40</v>
      </c>
      <c r="R670" s="62">
        <f t="shared" si="135"/>
        <v>40</v>
      </c>
      <c r="S670" s="20"/>
      <c r="T670" s="21"/>
      <c r="U670" s="42"/>
      <c r="V670" s="23">
        <f t="shared" si="118"/>
        <v>-1056</v>
      </c>
      <c r="W670" s="23">
        <f t="shared" si="120"/>
        <v>0</v>
      </c>
    </row>
    <row r="671" spans="1:25">
      <c r="A671" s="96">
        <v>45960</v>
      </c>
      <c r="B671" s="17" t="s">
        <v>14</v>
      </c>
      <c r="C671" s="23">
        <f>G676+Q676</f>
        <v>40</v>
      </c>
      <c r="D671" s="23"/>
      <c r="E671" s="23">
        <f t="shared" si="128"/>
        <v>-7373</v>
      </c>
      <c r="G671" s="304">
        <v>0</v>
      </c>
      <c r="H671" s="259"/>
      <c r="I671" s="260"/>
      <c r="J671" s="261"/>
      <c r="K671" s="262"/>
      <c r="L671" s="263">
        <f t="shared" si="129"/>
        <v>-129</v>
      </c>
      <c r="M671" s="263">
        <f t="shared" si="130"/>
        <v>0</v>
      </c>
      <c r="O671" s="52"/>
      <c r="Q671" s="19">
        <v>48</v>
      </c>
      <c r="R671" s="62">
        <f t="shared" si="135"/>
        <v>48</v>
      </c>
      <c r="S671" s="20"/>
      <c r="T671" s="21"/>
      <c r="U671" s="42"/>
      <c r="V671" s="23">
        <f t="shared" si="118"/>
        <v>-1104</v>
      </c>
      <c r="W671" s="23">
        <f t="shared" si="120"/>
        <v>0</v>
      </c>
    </row>
    <row r="672" spans="1:25">
      <c r="A672" s="96">
        <v>45961</v>
      </c>
      <c r="B672" s="17" t="s">
        <v>15</v>
      </c>
      <c r="C672" s="23">
        <f>G677+Q677</f>
        <v>40</v>
      </c>
      <c r="D672" s="23"/>
      <c r="E672" s="23">
        <f t="shared" si="128"/>
        <v>-7413</v>
      </c>
      <c r="G672" s="304">
        <v>0</v>
      </c>
      <c r="H672" s="259"/>
      <c r="I672" s="260"/>
      <c r="J672" s="261"/>
      <c r="K672" s="262"/>
      <c r="L672" s="263">
        <f t="shared" si="129"/>
        <v>-129</v>
      </c>
      <c r="M672" s="263">
        <f t="shared" si="130"/>
        <v>0</v>
      </c>
      <c r="O672" s="52"/>
      <c r="Q672" s="19">
        <v>40</v>
      </c>
      <c r="R672" s="62">
        <f t="shared" si="135"/>
        <v>40</v>
      </c>
      <c r="S672" s="20"/>
      <c r="T672" s="21"/>
      <c r="U672" s="42"/>
      <c r="V672" s="23">
        <f t="shared" si="118"/>
        <v>-1144</v>
      </c>
      <c r="W672" s="23">
        <f t="shared" si="120"/>
        <v>0</v>
      </c>
      <c r="Y672" s="1">
        <f>AVERAGE(Q668:Q672)</f>
        <v>43.2</v>
      </c>
    </row>
    <row r="673" spans="1:25" s="12" customFormat="1">
      <c r="A673" s="95">
        <v>45962</v>
      </c>
      <c r="B673" s="25" t="s">
        <v>16</v>
      </c>
      <c r="C673" s="29"/>
      <c r="D673" s="29"/>
      <c r="E673" s="29">
        <f t="shared" si="128"/>
        <v>-7413</v>
      </c>
      <c r="G673" s="304">
        <v>0</v>
      </c>
      <c r="H673" s="259"/>
      <c r="I673" s="260"/>
      <c r="J673" s="261"/>
      <c r="K673" s="262"/>
      <c r="L673" s="263">
        <f t="shared" si="129"/>
        <v>-129</v>
      </c>
      <c r="M673" s="263">
        <f t="shared" si="130"/>
        <v>0</v>
      </c>
      <c r="O673" s="54"/>
      <c r="Q673" s="64"/>
      <c r="R673" s="63"/>
      <c r="S673" s="27"/>
      <c r="T673" s="28"/>
      <c r="U673" s="43"/>
      <c r="V673" s="29">
        <f t="shared" si="118"/>
        <v>-1144</v>
      </c>
      <c r="W673" s="29">
        <f t="shared" si="120"/>
        <v>0</v>
      </c>
      <c r="Y673" s="11"/>
    </row>
    <row r="674" spans="1:25" s="12" customFormat="1">
      <c r="A674" s="95">
        <v>45963</v>
      </c>
      <c r="B674" s="25" t="s">
        <v>17</v>
      </c>
      <c r="C674" s="29"/>
      <c r="D674" s="29"/>
      <c r="E674" s="29">
        <f t="shared" si="128"/>
        <v>-7413</v>
      </c>
      <c r="G674" s="304">
        <v>0</v>
      </c>
      <c r="H674" s="259"/>
      <c r="I674" s="260"/>
      <c r="J674" s="261"/>
      <c r="K674" s="262"/>
      <c r="L674" s="263">
        <f t="shared" si="129"/>
        <v>-129</v>
      </c>
      <c r="M674" s="263">
        <f t="shared" si="130"/>
        <v>0</v>
      </c>
      <c r="O674" s="54"/>
      <c r="Q674" s="64"/>
      <c r="R674" s="63"/>
      <c r="S674" s="27"/>
      <c r="T674" s="28"/>
      <c r="U674" s="43"/>
      <c r="V674" s="29">
        <f t="shared" si="118"/>
        <v>-1144</v>
      </c>
      <c r="W674" s="29">
        <f t="shared" si="120"/>
        <v>0</v>
      </c>
      <c r="Y674" s="11"/>
    </row>
    <row r="675" spans="1:25" s="12" customFormat="1">
      <c r="A675" s="95">
        <v>45964</v>
      </c>
      <c r="B675" s="25" t="s">
        <v>18</v>
      </c>
      <c r="C675" s="29"/>
      <c r="D675" s="29"/>
      <c r="E675" s="29">
        <f t="shared" si="128"/>
        <v>-7413</v>
      </c>
      <c r="G675" s="304"/>
      <c r="H675" s="259"/>
      <c r="I675" s="260"/>
      <c r="J675" s="261"/>
      <c r="K675" s="262"/>
      <c r="L675" s="263">
        <f t="shared" si="129"/>
        <v>-129</v>
      </c>
      <c r="M675" s="263">
        <f t="shared" si="130"/>
        <v>0</v>
      </c>
      <c r="O675" s="54"/>
      <c r="Q675" s="64"/>
      <c r="R675" s="63"/>
      <c r="S675" s="27"/>
      <c r="T675" s="28"/>
      <c r="U675" s="43"/>
      <c r="V675" s="29">
        <f t="shared" si="118"/>
        <v>-1144</v>
      </c>
      <c r="W675" s="29">
        <f t="shared" si="120"/>
        <v>0</v>
      </c>
      <c r="Y675" s="11"/>
    </row>
    <row r="676" spans="1:25">
      <c r="A676" s="96">
        <v>45965</v>
      </c>
      <c r="B676" s="17" t="s">
        <v>19</v>
      </c>
      <c r="C676" s="23">
        <f>G678+Q678</f>
        <v>48</v>
      </c>
      <c r="D676" s="23"/>
      <c r="E676" s="23">
        <f t="shared" ref="E676:E707" si="137">E675-C676+D676</f>
        <v>-7461</v>
      </c>
      <c r="G676" s="304">
        <v>0</v>
      </c>
      <c r="H676" s="259"/>
      <c r="I676" s="260"/>
      <c r="J676" s="261"/>
      <c r="K676" s="262"/>
      <c r="L676" s="263">
        <f t="shared" ref="L676:L707" si="138">L675-G676+K676</f>
        <v>-129</v>
      </c>
      <c r="M676" s="263">
        <f t="shared" ref="M676:M707" si="139">M675-G676+H676</f>
        <v>0</v>
      </c>
      <c r="O676" s="52"/>
      <c r="Q676" s="19">
        <v>40</v>
      </c>
      <c r="R676" s="62">
        <f t="shared" ref="R676:R679" si="140">IF($C674&lt;&gt;"",$C674+S676,IF($C672&lt;&gt;"",$C672+S676,IF($C671&lt;&gt;"",$C671+S676,IF($C670&lt;&gt;"",$C670+S676,IF($C669&lt;&gt;"",$C669+S676,IF($C668&lt;&gt;"",$C668+S676))))))</f>
        <v>40</v>
      </c>
      <c r="S676" s="20"/>
      <c r="T676" s="21"/>
      <c r="U676" s="42"/>
      <c r="V676" s="23">
        <f t="shared" ref="V676:V707" si="141">V675-Q676+U676</f>
        <v>-1184</v>
      </c>
      <c r="W676" s="23">
        <f t="shared" ref="W676:W707" si="142">W675-Q676+R676</f>
        <v>0</v>
      </c>
    </row>
    <row r="677" spans="1:25">
      <c r="A677" s="96">
        <v>45966</v>
      </c>
      <c r="B677" s="17" t="s">
        <v>20</v>
      </c>
      <c r="C677" s="23">
        <f t="shared" ref="C677" si="143">G679+Q679</f>
        <v>40</v>
      </c>
      <c r="D677" s="23"/>
      <c r="E677" s="23">
        <f t="shared" si="137"/>
        <v>-7501</v>
      </c>
      <c r="G677" s="304">
        <v>0</v>
      </c>
      <c r="H677" s="259"/>
      <c r="I677" s="260"/>
      <c r="J677" s="261"/>
      <c r="K677" s="262"/>
      <c r="L677" s="263">
        <f t="shared" si="138"/>
        <v>-129</v>
      </c>
      <c r="M677" s="263">
        <f t="shared" si="139"/>
        <v>0</v>
      </c>
      <c r="O677" s="52"/>
      <c r="Q677" s="19">
        <v>40</v>
      </c>
      <c r="R677" s="62">
        <f t="shared" si="140"/>
        <v>40</v>
      </c>
      <c r="S677" s="20"/>
      <c r="T677" s="21"/>
      <c r="U677" s="42"/>
      <c r="V677" s="23">
        <f t="shared" si="141"/>
        <v>-1224</v>
      </c>
      <c r="W677" s="23">
        <f t="shared" si="142"/>
        <v>0</v>
      </c>
    </row>
    <row r="678" spans="1:25">
      <c r="A678" s="96">
        <v>45967</v>
      </c>
      <c r="B678" s="17" t="s">
        <v>14</v>
      </c>
      <c r="C678" s="23">
        <f>G682+Q682</f>
        <v>40</v>
      </c>
      <c r="D678" s="23"/>
      <c r="E678" s="23">
        <f t="shared" si="137"/>
        <v>-7541</v>
      </c>
      <c r="G678" s="304">
        <v>0</v>
      </c>
      <c r="H678" s="259"/>
      <c r="I678" s="260"/>
      <c r="J678" s="261"/>
      <c r="K678" s="262"/>
      <c r="L678" s="263">
        <f t="shared" si="138"/>
        <v>-129</v>
      </c>
      <c r="M678" s="263">
        <f t="shared" si="139"/>
        <v>0</v>
      </c>
      <c r="O678" s="52"/>
      <c r="Q678" s="19">
        <v>48</v>
      </c>
      <c r="R678" s="62">
        <f t="shared" si="140"/>
        <v>48</v>
      </c>
      <c r="S678" s="20"/>
      <c r="T678" s="21"/>
      <c r="U678" s="42"/>
      <c r="V678" s="23">
        <f t="shared" si="141"/>
        <v>-1272</v>
      </c>
      <c r="W678" s="23">
        <f t="shared" si="142"/>
        <v>0</v>
      </c>
    </row>
    <row r="679" spans="1:25">
      <c r="A679" s="96">
        <v>45968</v>
      </c>
      <c r="B679" s="17" t="s">
        <v>15</v>
      </c>
      <c r="C679" s="23">
        <f>G683+Q683</f>
        <v>40</v>
      </c>
      <c r="D679" s="23"/>
      <c r="E679" s="23">
        <f t="shared" si="137"/>
        <v>-7581</v>
      </c>
      <c r="G679" s="304">
        <v>0</v>
      </c>
      <c r="H679" s="259"/>
      <c r="I679" s="260"/>
      <c r="J679" s="261"/>
      <c r="K679" s="262"/>
      <c r="L679" s="263">
        <f t="shared" si="138"/>
        <v>-129</v>
      </c>
      <c r="M679" s="263">
        <f t="shared" si="139"/>
        <v>0</v>
      </c>
      <c r="O679" s="52"/>
      <c r="Q679" s="19">
        <v>40</v>
      </c>
      <c r="R679" s="62">
        <f t="shared" si="140"/>
        <v>40</v>
      </c>
      <c r="S679" s="20"/>
      <c r="T679" s="21"/>
      <c r="U679" s="42"/>
      <c r="V679" s="23">
        <f t="shared" si="141"/>
        <v>-1312</v>
      </c>
      <c r="W679" s="23">
        <f t="shared" si="142"/>
        <v>0</v>
      </c>
    </row>
    <row r="680" spans="1:25" s="12" customFormat="1">
      <c r="A680" s="95">
        <v>45969</v>
      </c>
      <c r="B680" s="25" t="s">
        <v>16</v>
      </c>
      <c r="C680" s="29"/>
      <c r="D680" s="29"/>
      <c r="E680" s="29">
        <f t="shared" si="137"/>
        <v>-7581</v>
      </c>
      <c r="G680" s="304"/>
      <c r="H680" s="259"/>
      <c r="I680" s="260"/>
      <c r="J680" s="261"/>
      <c r="K680" s="262"/>
      <c r="L680" s="263">
        <f t="shared" si="138"/>
        <v>-129</v>
      </c>
      <c r="M680" s="263">
        <f t="shared" si="139"/>
        <v>0</v>
      </c>
      <c r="O680" s="54"/>
      <c r="Q680" s="64"/>
      <c r="R680" s="63"/>
      <c r="S680" s="27"/>
      <c r="T680" s="28"/>
      <c r="U680" s="43"/>
      <c r="V680" s="29">
        <f t="shared" si="141"/>
        <v>-1312</v>
      </c>
      <c r="W680" s="29">
        <f t="shared" si="142"/>
        <v>0</v>
      </c>
      <c r="Y680" s="11"/>
    </row>
    <row r="681" spans="1:25" s="12" customFormat="1">
      <c r="A681" s="95">
        <v>45970</v>
      </c>
      <c r="B681" s="25" t="s">
        <v>17</v>
      </c>
      <c r="C681" s="29"/>
      <c r="D681" s="29"/>
      <c r="E681" s="29">
        <f t="shared" si="137"/>
        <v>-7581</v>
      </c>
      <c r="G681" s="304"/>
      <c r="H681" s="259"/>
      <c r="I681" s="260"/>
      <c r="J681" s="261"/>
      <c r="K681" s="262"/>
      <c r="L681" s="263">
        <f t="shared" si="138"/>
        <v>-129</v>
      </c>
      <c r="M681" s="263">
        <f t="shared" si="139"/>
        <v>0</v>
      </c>
      <c r="O681" s="54"/>
      <c r="Q681" s="64"/>
      <c r="R681" s="63"/>
      <c r="S681" s="27"/>
      <c r="T681" s="28"/>
      <c r="U681" s="43"/>
      <c r="V681" s="29">
        <f t="shared" si="141"/>
        <v>-1312</v>
      </c>
      <c r="W681" s="29">
        <f t="shared" si="142"/>
        <v>0</v>
      </c>
      <c r="Y681" s="11"/>
    </row>
    <row r="682" spans="1:25">
      <c r="A682" s="96">
        <v>45971</v>
      </c>
      <c r="B682" s="17" t="s">
        <v>18</v>
      </c>
      <c r="C682" s="23">
        <f>G684+Q684</f>
        <v>40</v>
      </c>
      <c r="D682" s="23"/>
      <c r="E682" s="23">
        <f t="shared" si="137"/>
        <v>-7621</v>
      </c>
      <c r="G682" s="304">
        <v>0</v>
      </c>
      <c r="H682" s="259"/>
      <c r="I682" s="260"/>
      <c r="J682" s="261"/>
      <c r="K682" s="262"/>
      <c r="L682" s="263">
        <f t="shared" si="138"/>
        <v>-129</v>
      </c>
      <c r="M682" s="263">
        <f t="shared" si="139"/>
        <v>0</v>
      </c>
      <c r="O682" s="52"/>
      <c r="Q682" s="19">
        <v>40</v>
      </c>
      <c r="R682" s="62">
        <f t="shared" ref="R682:R686" si="144">IF($C680&lt;&gt;"",$C680+S682,IF($C678&lt;&gt;"",$C678+S682,IF($C677&lt;&gt;"",$C677+S682,IF($C676&lt;&gt;"",$C676+S682,IF($C675&lt;&gt;"",$C675+S682,IF($C674&lt;&gt;"",$C674+S682))))))</f>
        <v>40</v>
      </c>
      <c r="S682" s="20"/>
      <c r="T682" s="21"/>
      <c r="U682" s="42"/>
      <c r="V682" s="23">
        <f t="shared" si="141"/>
        <v>-1352</v>
      </c>
      <c r="W682" s="23">
        <f t="shared" si="142"/>
        <v>0</v>
      </c>
    </row>
    <row r="683" spans="1:25">
      <c r="A683" s="96">
        <v>45972</v>
      </c>
      <c r="B683" s="17" t="s">
        <v>19</v>
      </c>
      <c r="C683" s="23">
        <f t="shared" ref="C683:C684" si="145">G685+Q685</f>
        <v>48</v>
      </c>
      <c r="D683" s="23"/>
      <c r="E683" s="23">
        <f t="shared" si="137"/>
        <v>-7669</v>
      </c>
      <c r="G683" s="304">
        <v>0</v>
      </c>
      <c r="H683" s="259"/>
      <c r="I683" s="260"/>
      <c r="J683" s="261"/>
      <c r="K683" s="262"/>
      <c r="L683" s="263">
        <f t="shared" si="138"/>
        <v>-129</v>
      </c>
      <c r="M683" s="263">
        <f t="shared" si="139"/>
        <v>0</v>
      </c>
      <c r="O683" s="52"/>
      <c r="Q683" s="19">
        <v>40</v>
      </c>
      <c r="R683" s="62">
        <f t="shared" si="144"/>
        <v>40</v>
      </c>
      <c r="S683" s="20"/>
      <c r="T683" s="21"/>
      <c r="U683" s="42"/>
      <c r="V683" s="23">
        <f t="shared" si="141"/>
        <v>-1392</v>
      </c>
      <c r="W683" s="23">
        <f t="shared" si="142"/>
        <v>0</v>
      </c>
    </row>
    <row r="684" spans="1:25">
      <c r="A684" s="96">
        <v>45973</v>
      </c>
      <c r="B684" s="17" t="s">
        <v>20</v>
      </c>
      <c r="C684" s="23">
        <f t="shared" si="145"/>
        <v>48</v>
      </c>
      <c r="D684" s="23"/>
      <c r="E684" s="23">
        <f t="shared" si="137"/>
        <v>-7717</v>
      </c>
      <c r="G684" s="304">
        <v>0</v>
      </c>
      <c r="H684" s="259"/>
      <c r="I684" s="260"/>
      <c r="J684" s="261"/>
      <c r="K684" s="262"/>
      <c r="L684" s="263">
        <f t="shared" si="138"/>
        <v>-129</v>
      </c>
      <c r="M684" s="263">
        <f t="shared" si="139"/>
        <v>0</v>
      </c>
      <c r="O684" s="52"/>
      <c r="Q684" s="19">
        <v>40</v>
      </c>
      <c r="R684" s="62">
        <f t="shared" si="144"/>
        <v>40</v>
      </c>
      <c r="S684" s="20"/>
      <c r="T684" s="21"/>
      <c r="U684" s="42"/>
      <c r="V684" s="23">
        <f t="shared" si="141"/>
        <v>-1432</v>
      </c>
      <c r="W684" s="23">
        <f t="shared" si="142"/>
        <v>0</v>
      </c>
    </row>
    <row r="685" spans="1:25">
      <c r="A685" s="96">
        <v>45974</v>
      </c>
      <c r="B685" s="17" t="s">
        <v>14</v>
      </c>
      <c r="C685" s="23">
        <f>G690+Q690</f>
        <v>56</v>
      </c>
      <c r="D685" s="23"/>
      <c r="E685" s="23">
        <f t="shared" si="137"/>
        <v>-7773</v>
      </c>
      <c r="G685" s="304">
        <v>0</v>
      </c>
      <c r="H685" s="259"/>
      <c r="I685" s="260"/>
      <c r="J685" s="261"/>
      <c r="K685" s="262"/>
      <c r="L685" s="263">
        <f t="shared" si="138"/>
        <v>-129</v>
      </c>
      <c r="M685" s="263">
        <f t="shared" si="139"/>
        <v>0</v>
      </c>
      <c r="O685" s="52"/>
      <c r="Q685" s="19">
        <v>48</v>
      </c>
      <c r="R685" s="62">
        <f t="shared" si="144"/>
        <v>48</v>
      </c>
      <c r="S685" s="20"/>
      <c r="T685" s="21"/>
      <c r="U685" s="42"/>
      <c r="V685" s="23">
        <f t="shared" si="141"/>
        <v>-1480</v>
      </c>
      <c r="W685" s="23">
        <f t="shared" si="142"/>
        <v>0</v>
      </c>
    </row>
    <row r="686" spans="1:25">
      <c r="A686" s="96">
        <v>45975</v>
      </c>
      <c r="B686" s="17" t="s">
        <v>15</v>
      </c>
      <c r="C686" s="23">
        <f>G691+Q691</f>
        <v>56</v>
      </c>
      <c r="D686" s="23"/>
      <c r="E686" s="23">
        <f t="shared" si="137"/>
        <v>-7829</v>
      </c>
      <c r="G686" s="304">
        <v>0</v>
      </c>
      <c r="H686" s="259"/>
      <c r="I686" s="260"/>
      <c r="J686" s="261"/>
      <c r="K686" s="262"/>
      <c r="L686" s="263">
        <f t="shared" si="138"/>
        <v>-129</v>
      </c>
      <c r="M686" s="263">
        <f t="shared" si="139"/>
        <v>0</v>
      </c>
      <c r="O686" s="52"/>
      <c r="Q686" s="19">
        <v>48</v>
      </c>
      <c r="R686" s="62">
        <f t="shared" si="144"/>
        <v>48</v>
      </c>
      <c r="S686" s="20"/>
      <c r="T686" s="21"/>
      <c r="U686" s="42"/>
      <c r="V686" s="23">
        <f t="shared" si="141"/>
        <v>-1528</v>
      </c>
      <c r="W686" s="23">
        <f t="shared" si="142"/>
        <v>0</v>
      </c>
    </row>
    <row r="687" spans="1:25" s="12" customFormat="1">
      <c r="A687" s="95">
        <v>45976</v>
      </c>
      <c r="B687" s="25" t="s">
        <v>16</v>
      </c>
      <c r="C687" s="29"/>
      <c r="D687" s="29"/>
      <c r="E687" s="29">
        <f t="shared" si="137"/>
        <v>-7829</v>
      </c>
      <c r="G687" s="304"/>
      <c r="H687" s="259"/>
      <c r="I687" s="260"/>
      <c r="J687" s="261"/>
      <c r="K687" s="262"/>
      <c r="L687" s="263">
        <f t="shared" si="138"/>
        <v>-129</v>
      </c>
      <c r="M687" s="263">
        <f t="shared" si="139"/>
        <v>0</v>
      </c>
      <c r="O687" s="54"/>
      <c r="Q687" s="64"/>
      <c r="R687" s="63"/>
      <c r="S687" s="27"/>
      <c r="T687" s="28"/>
      <c r="U687" s="43"/>
      <c r="V687" s="29">
        <f t="shared" si="141"/>
        <v>-1528</v>
      </c>
      <c r="W687" s="29">
        <f t="shared" si="142"/>
        <v>0</v>
      </c>
      <c r="Y687" s="11"/>
    </row>
    <row r="688" spans="1:25" s="12" customFormat="1">
      <c r="A688" s="95">
        <v>45977</v>
      </c>
      <c r="B688" s="25" t="s">
        <v>17</v>
      </c>
      <c r="C688" s="29"/>
      <c r="D688" s="29"/>
      <c r="E688" s="29">
        <f t="shared" si="137"/>
        <v>-7829</v>
      </c>
      <c r="G688" s="304"/>
      <c r="H688" s="259"/>
      <c r="I688" s="260"/>
      <c r="J688" s="261"/>
      <c r="K688" s="262"/>
      <c r="L688" s="263">
        <f t="shared" si="138"/>
        <v>-129</v>
      </c>
      <c r="M688" s="263">
        <f t="shared" si="139"/>
        <v>0</v>
      </c>
      <c r="O688" s="54"/>
      <c r="Q688" s="64"/>
      <c r="R688" s="63"/>
      <c r="S688" s="27"/>
      <c r="T688" s="28"/>
      <c r="U688" s="43"/>
      <c r="V688" s="29">
        <f t="shared" si="141"/>
        <v>-1528</v>
      </c>
      <c r="W688" s="29">
        <f t="shared" si="142"/>
        <v>0</v>
      </c>
      <c r="Y688" s="11"/>
    </row>
    <row r="689" spans="1:25">
      <c r="A689" s="96">
        <v>45978</v>
      </c>
      <c r="B689" s="17" t="s">
        <v>18</v>
      </c>
      <c r="C689" s="23">
        <f>G691+Q691</f>
        <v>56</v>
      </c>
      <c r="D689" s="23"/>
      <c r="E689" s="23">
        <f t="shared" si="137"/>
        <v>-7885</v>
      </c>
      <c r="G689" s="304">
        <v>0</v>
      </c>
      <c r="H689" s="259"/>
      <c r="I689" s="260"/>
      <c r="J689" s="261"/>
      <c r="K689" s="262"/>
      <c r="L689" s="263">
        <f t="shared" si="138"/>
        <v>-129</v>
      </c>
      <c r="M689" s="263">
        <f t="shared" si="139"/>
        <v>0</v>
      </c>
      <c r="O689" s="52"/>
      <c r="Q689" s="19">
        <v>40</v>
      </c>
      <c r="R689" s="62">
        <f t="shared" ref="R689:R693" si="146">IF($C687&lt;&gt;"",$C687+S689,IF($C685&lt;&gt;"",$C685+S689,IF($C684&lt;&gt;"",$C684+S689,IF($C683&lt;&gt;"",$C683+S689,IF($C682&lt;&gt;"",$C682+S689,IF($C681&lt;&gt;"",$C681+S689))))))</f>
        <v>56</v>
      </c>
      <c r="S689" s="20"/>
      <c r="T689" s="21"/>
      <c r="U689" s="42"/>
      <c r="V689" s="23">
        <f t="shared" si="141"/>
        <v>-1568</v>
      </c>
      <c r="W689" s="23">
        <f t="shared" si="142"/>
        <v>16</v>
      </c>
    </row>
    <row r="690" spans="1:25">
      <c r="A690" s="96">
        <v>45979</v>
      </c>
      <c r="B690" s="17" t="s">
        <v>19</v>
      </c>
      <c r="C690" s="23">
        <f t="shared" ref="C690:C691" si="147">G692+Q692</f>
        <v>64</v>
      </c>
      <c r="D690" s="23"/>
      <c r="E690" s="23">
        <f t="shared" si="137"/>
        <v>-7949</v>
      </c>
      <c r="G690" s="304">
        <v>0</v>
      </c>
      <c r="H690" s="259"/>
      <c r="I690" s="260"/>
      <c r="J690" s="261"/>
      <c r="K690" s="262"/>
      <c r="L690" s="263">
        <f t="shared" si="138"/>
        <v>-129</v>
      </c>
      <c r="M690" s="263">
        <f t="shared" si="139"/>
        <v>0</v>
      </c>
      <c r="O690" s="52"/>
      <c r="Q690" s="19">
        <v>56</v>
      </c>
      <c r="R690" s="62">
        <f t="shared" si="146"/>
        <v>56</v>
      </c>
      <c r="S690" s="20"/>
      <c r="T690" s="21"/>
      <c r="U690" s="42"/>
      <c r="V690" s="23">
        <f t="shared" si="141"/>
        <v>-1624</v>
      </c>
      <c r="W690" s="23">
        <f t="shared" si="142"/>
        <v>16</v>
      </c>
    </row>
    <row r="691" spans="1:25">
      <c r="A691" s="96">
        <v>45980</v>
      </c>
      <c r="B691" s="17" t="s">
        <v>20</v>
      </c>
      <c r="C691" s="23">
        <f t="shared" si="147"/>
        <v>0</v>
      </c>
      <c r="D691" s="23"/>
      <c r="E691" s="23">
        <f t="shared" si="137"/>
        <v>-7949</v>
      </c>
      <c r="G691" s="304">
        <v>0</v>
      </c>
      <c r="H691" s="259"/>
      <c r="I691" s="260"/>
      <c r="J691" s="261"/>
      <c r="K691" s="262"/>
      <c r="L691" s="263">
        <f t="shared" si="138"/>
        <v>-129</v>
      </c>
      <c r="M691" s="263">
        <f t="shared" si="139"/>
        <v>0</v>
      </c>
      <c r="O691" s="52"/>
      <c r="Q691" s="19">
        <v>56</v>
      </c>
      <c r="R691" s="62">
        <f t="shared" si="146"/>
        <v>56</v>
      </c>
      <c r="S691" s="20"/>
      <c r="T691" s="21"/>
      <c r="U691" s="42"/>
      <c r="V691" s="23">
        <f t="shared" si="141"/>
        <v>-1680</v>
      </c>
      <c r="W691" s="23">
        <f t="shared" si="142"/>
        <v>16</v>
      </c>
    </row>
    <row r="692" spans="1:25">
      <c r="A692" s="96">
        <v>45981</v>
      </c>
      <c r="B692" s="17" t="s">
        <v>14</v>
      </c>
      <c r="C692" s="23">
        <f>G696+Q696</f>
        <v>24</v>
      </c>
      <c r="D692" s="23"/>
      <c r="E692" s="23">
        <f t="shared" si="137"/>
        <v>-7973</v>
      </c>
      <c r="G692" s="304">
        <v>0</v>
      </c>
      <c r="H692" s="259"/>
      <c r="I692" s="260"/>
      <c r="J692" s="261"/>
      <c r="K692" s="262"/>
      <c r="L692" s="263">
        <f t="shared" si="138"/>
        <v>-129</v>
      </c>
      <c r="M692" s="263">
        <f t="shared" si="139"/>
        <v>0</v>
      </c>
      <c r="O692" s="52"/>
      <c r="Q692" s="19">
        <v>64</v>
      </c>
      <c r="R692" s="62">
        <f t="shared" si="146"/>
        <v>64</v>
      </c>
      <c r="S692" s="20"/>
      <c r="T692" s="21"/>
      <c r="U692" s="42"/>
      <c r="V692" s="23">
        <f t="shared" si="141"/>
        <v>-1744</v>
      </c>
      <c r="W692" s="23">
        <f t="shared" si="142"/>
        <v>16</v>
      </c>
    </row>
    <row r="693" spans="1:25">
      <c r="A693" s="96">
        <v>45982</v>
      </c>
      <c r="B693" s="17" t="s">
        <v>15</v>
      </c>
      <c r="C693" s="23">
        <f>G697+Q697</f>
        <v>40</v>
      </c>
      <c r="D693" s="23"/>
      <c r="E693" s="23">
        <f t="shared" si="137"/>
        <v>-8013</v>
      </c>
      <c r="G693" s="304">
        <v>0</v>
      </c>
      <c r="H693" s="259"/>
      <c r="I693" s="260"/>
      <c r="J693" s="261"/>
      <c r="K693" s="262"/>
      <c r="L693" s="263">
        <f t="shared" si="138"/>
        <v>-129</v>
      </c>
      <c r="M693" s="263">
        <f t="shared" si="139"/>
        <v>0</v>
      </c>
      <c r="O693" s="52"/>
      <c r="Q693" s="19">
        <v>0</v>
      </c>
      <c r="R693" s="62">
        <f t="shared" si="146"/>
        <v>0</v>
      </c>
      <c r="S693" s="20"/>
      <c r="T693" s="21"/>
      <c r="U693" s="42"/>
      <c r="V693" s="23">
        <f t="shared" si="141"/>
        <v>-1744</v>
      </c>
      <c r="W693" s="23">
        <f t="shared" si="142"/>
        <v>16</v>
      </c>
    </row>
    <row r="694" spans="1:25" s="12" customFormat="1">
      <c r="A694" s="95">
        <v>45983</v>
      </c>
      <c r="B694" s="25" t="s">
        <v>16</v>
      </c>
      <c r="C694" s="29"/>
      <c r="D694" s="29"/>
      <c r="E694" s="29">
        <f t="shared" si="137"/>
        <v>-8013</v>
      </c>
      <c r="G694" s="304"/>
      <c r="H694" s="259"/>
      <c r="I694" s="260"/>
      <c r="J694" s="261"/>
      <c r="K694" s="262"/>
      <c r="L694" s="263">
        <f t="shared" si="138"/>
        <v>-129</v>
      </c>
      <c r="M694" s="263">
        <f t="shared" si="139"/>
        <v>0</v>
      </c>
      <c r="O694" s="54"/>
      <c r="Q694" s="64"/>
      <c r="R694" s="63"/>
      <c r="S694" s="27"/>
      <c r="T694" s="28"/>
      <c r="U694" s="43"/>
      <c r="V694" s="29">
        <f t="shared" si="141"/>
        <v>-1744</v>
      </c>
      <c r="W694" s="29">
        <f t="shared" si="142"/>
        <v>16</v>
      </c>
      <c r="Y694" s="11"/>
    </row>
    <row r="695" spans="1:25" s="12" customFormat="1">
      <c r="A695" s="95">
        <v>45984</v>
      </c>
      <c r="B695" s="25" t="s">
        <v>17</v>
      </c>
      <c r="C695" s="29"/>
      <c r="D695" s="29"/>
      <c r="E695" s="29">
        <f t="shared" si="137"/>
        <v>-8013</v>
      </c>
      <c r="G695" s="304"/>
      <c r="H695" s="259"/>
      <c r="I695" s="260"/>
      <c r="J695" s="261"/>
      <c r="K695" s="262"/>
      <c r="L695" s="263">
        <f t="shared" si="138"/>
        <v>-129</v>
      </c>
      <c r="M695" s="263">
        <f t="shared" si="139"/>
        <v>0</v>
      </c>
      <c r="O695" s="54"/>
      <c r="Q695" s="64"/>
      <c r="R695" s="63"/>
      <c r="S695" s="27"/>
      <c r="T695" s="28"/>
      <c r="U695" s="43"/>
      <c r="V695" s="29">
        <f t="shared" si="141"/>
        <v>-1744</v>
      </c>
      <c r="W695" s="29">
        <f t="shared" si="142"/>
        <v>16</v>
      </c>
      <c r="Y695" s="11"/>
    </row>
    <row r="696" spans="1:25">
      <c r="A696" s="96">
        <v>45985</v>
      </c>
      <c r="B696" s="17" t="s">
        <v>18</v>
      </c>
      <c r="C696" s="23">
        <f>G698+Q698</f>
        <v>40</v>
      </c>
      <c r="D696" s="23"/>
      <c r="E696" s="23">
        <f t="shared" si="137"/>
        <v>-8053</v>
      </c>
      <c r="G696" s="304">
        <v>0</v>
      </c>
      <c r="H696" s="259"/>
      <c r="I696" s="260"/>
      <c r="J696" s="261"/>
      <c r="K696" s="262"/>
      <c r="L696" s="263">
        <f t="shared" si="138"/>
        <v>-129</v>
      </c>
      <c r="M696" s="263">
        <f t="shared" si="139"/>
        <v>0</v>
      </c>
      <c r="O696" s="52"/>
      <c r="Q696" s="19">
        <v>24</v>
      </c>
      <c r="R696" s="62">
        <f t="shared" ref="R696:R700" si="148">IF($C694&lt;&gt;"",$C694+S696,IF($C692&lt;&gt;"",$C692+S696,IF($C691&lt;&gt;"",$C691+S696,IF($C690&lt;&gt;"",$C690+S696,IF($C689&lt;&gt;"",$C689+S696,IF($C688&lt;&gt;"",$C688+S696))))))</f>
        <v>24</v>
      </c>
      <c r="S696" s="20"/>
      <c r="T696" s="21"/>
      <c r="U696" s="42"/>
      <c r="V696" s="23">
        <f t="shared" si="141"/>
        <v>-1768</v>
      </c>
      <c r="W696" s="23">
        <f t="shared" si="142"/>
        <v>16</v>
      </c>
    </row>
    <row r="697" spans="1:25">
      <c r="A697" s="96">
        <v>45986</v>
      </c>
      <c r="B697" s="17" t="s">
        <v>19</v>
      </c>
      <c r="C697" s="23">
        <f>G699+Q699</f>
        <v>48</v>
      </c>
      <c r="D697" s="23"/>
      <c r="E697" s="23">
        <f t="shared" si="137"/>
        <v>-8101</v>
      </c>
      <c r="G697" s="304">
        <v>0</v>
      </c>
      <c r="H697" s="259"/>
      <c r="I697" s="260"/>
      <c r="J697" s="261"/>
      <c r="K697" s="262"/>
      <c r="L697" s="263">
        <f t="shared" si="138"/>
        <v>-129</v>
      </c>
      <c r="M697" s="263">
        <f t="shared" si="139"/>
        <v>0</v>
      </c>
      <c r="O697" s="52"/>
      <c r="Q697" s="19">
        <v>40</v>
      </c>
      <c r="R697" s="62">
        <f t="shared" si="148"/>
        <v>40</v>
      </c>
      <c r="S697" s="20"/>
      <c r="T697" s="21"/>
      <c r="U697" s="42"/>
      <c r="V697" s="23">
        <f t="shared" si="141"/>
        <v>-1808</v>
      </c>
      <c r="W697" s="23">
        <f t="shared" si="142"/>
        <v>16</v>
      </c>
    </row>
    <row r="698" spans="1:25">
      <c r="A698" s="96">
        <v>45987</v>
      </c>
      <c r="B698" s="17" t="s">
        <v>20</v>
      </c>
      <c r="C698" s="23">
        <f>G700+Q700</f>
        <v>0</v>
      </c>
      <c r="D698" s="23"/>
      <c r="E698" s="23">
        <f t="shared" si="137"/>
        <v>-8101</v>
      </c>
      <c r="G698" s="304">
        <v>0</v>
      </c>
      <c r="H698" s="259"/>
      <c r="I698" s="260"/>
      <c r="J698" s="261"/>
      <c r="K698" s="262"/>
      <c r="L698" s="263">
        <f t="shared" si="138"/>
        <v>-129</v>
      </c>
      <c r="M698" s="263">
        <f t="shared" si="139"/>
        <v>0</v>
      </c>
      <c r="O698" s="52"/>
      <c r="Q698" s="19">
        <v>40</v>
      </c>
      <c r="R698" s="62">
        <f t="shared" si="148"/>
        <v>40</v>
      </c>
      <c r="S698" s="20"/>
      <c r="T698" s="21"/>
      <c r="U698" s="42"/>
      <c r="V698" s="23">
        <f t="shared" si="141"/>
        <v>-1848</v>
      </c>
      <c r="W698" s="23">
        <f t="shared" si="142"/>
        <v>16</v>
      </c>
    </row>
    <row r="699" spans="1:25">
      <c r="A699" s="96">
        <v>45988</v>
      </c>
      <c r="B699" s="17" t="s">
        <v>14</v>
      </c>
      <c r="C699" s="23">
        <f>G703+Q703</f>
        <v>0</v>
      </c>
      <c r="D699" s="23"/>
      <c r="E699" s="23">
        <f t="shared" si="137"/>
        <v>-8101</v>
      </c>
      <c r="G699" s="304">
        <v>0</v>
      </c>
      <c r="H699" s="259"/>
      <c r="I699" s="260"/>
      <c r="J699" s="261"/>
      <c r="K699" s="262"/>
      <c r="L699" s="263">
        <f t="shared" si="138"/>
        <v>-129</v>
      </c>
      <c r="M699" s="263">
        <f t="shared" si="139"/>
        <v>0</v>
      </c>
      <c r="O699" s="52"/>
      <c r="Q699" s="19">
        <v>48</v>
      </c>
      <c r="R699" s="62">
        <f t="shared" si="148"/>
        <v>48</v>
      </c>
      <c r="S699" s="20"/>
      <c r="T699" s="21"/>
      <c r="U699" s="42"/>
      <c r="V699" s="23">
        <f t="shared" si="141"/>
        <v>-1896</v>
      </c>
      <c r="W699" s="23">
        <f t="shared" si="142"/>
        <v>16</v>
      </c>
    </row>
    <row r="700" spans="1:25">
      <c r="A700" s="96">
        <v>45989</v>
      </c>
      <c r="B700" s="17" t="s">
        <v>15</v>
      </c>
      <c r="C700" s="23">
        <f>G704+Q704</f>
        <v>0</v>
      </c>
      <c r="D700" s="23"/>
      <c r="E700" s="23">
        <f t="shared" si="137"/>
        <v>-8101</v>
      </c>
      <c r="G700" s="304">
        <v>0</v>
      </c>
      <c r="H700" s="259"/>
      <c r="I700" s="260"/>
      <c r="J700" s="261"/>
      <c r="K700" s="262"/>
      <c r="L700" s="263">
        <f t="shared" si="138"/>
        <v>-129</v>
      </c>
      <c r="M700" s="263">
        <f t="shared" si="139"/>
        <v>0</v>
      </c>
      <c r="O700" s="52"/>
      <c r="Q700" s="19">
        <v>0</v>
      </c>
      <c r="R700" s="62">
        <f t="shared" si="148"/>
        <v>0</v>
      </c>
      <c r="S700" s="20"/>
      <c r="T700" s="21"/>
      <c r="U700" s="42"/>
      <c r="V700" s="23">
        <f t="shared" si="141"/>
        <v>-1896</v>
      </c>
      <c r="W700" s="23">
        <f t="shared" si="142"/>
        <v>16</v>
      </c>
    </row>
    <row r="701" spans="1:25" s="12" customFormat="1">
      <c r="A701" s="95">
        <v>45990</v>
      </c>
      <c r="B701" s="25" t="s">
        <v>16</v>
      </c>
      <c r="C701" s="29"/>
      <c r="D701" s="29"/>
      <c r="E701" s="29">
        <f t="shared" si="137"/>
        <v>-8101</v>
      </c>
      <c r="G701" s="304"/>
      <c r="H701" s="259"/>
      <c r="I701" s="260"/>
      <c r="J701" s="261"/>
      <c r="K701" s="262"/>
      <c r="L701" s="263">
        <f t="shared" si="138"/>
        <v>-129</v>
      </c>
      <c r="M701" s="263">
        <f t="shared" si="139"/>
        <v>0</v>
      </c>
      <c r="O701" s="54"/>
      <c r="Q701" s="64"/>
      <c r="R701" s="63"/>
      <c r="S701" s="27"/>
      <c r="T701" s="28"/>
      <c r="U701" s="43"/>
      <c r="V701" s="29">
        <f t="shared" si="141"/>
        <v>-1896</v>
      </c>
      <c r="W701" s="29">
        <f t="shared" si="142"/>
        <v>16</v>
      </c>
      <c r="Y701" s="11"/>
    </row>
    <row r="702" spans="1:25" s="12" customFormat="1">
      <c r="A702" s="95">
        <v>45991</v>
      </c>
      <c r="B702" s="25" t="s">
        <v>17</v>
      </c>
      <c r="C702" s="29"/>
      <c r="D702" s="29"/>
      <c r="E702" s="29">
        <f t="shared" si="137"/>
        <v>-8101</v>
      </c>
      <c r="G702" s="304"/>
      <c r="H702" s="259"/>
      <c r="I702" s="260"/>
      <c r="J702" s="261"/>
      <c r="K702" s="262"/>
      <c r="L702" s="263">
        <f t="shared" si="138"/>
        <v>-129</v>
      </c>
      <c r="M702" s="263">
        <f t="shared" si="139"/>
        <v>0</v>
      </c>
      <c r="O702" s="54"/>
      <c r="Q702" s="64"/>
      <c r="R702" s="63"/>
      <c r="S702" s="27"/>
      <c r="T702" s="28"/>
      <c r="U702" s="43"/>
      <c r="V702" s="29">
        <f t="shared" si="141"/>
        <v>-1896</v>
      </c>
      <c r="W702" s="29">
        <f t="shared" si="142"/>
        <v>16</v>
      </c>
      <c r="Y702" s="11"/>
    </row>
    <row r="703" spans="1:25">
      <c r="A703" s="96">
        <v>45992</v>
      </c>
      <c r="B703" s="17" t="s">
        <v>18</v>
      </c>
      <c r="C703" s="23">
        <f>G705+Q705</f>
        <v>0</v>
      </c>
      <c r="D703" s="23"/>
      <c r="E703" s="23">
        <f t="shared" si="137"/>
        <v>-8101</v>
      </c>
      <c r="G703" s="304"/>
      <c r="H703" s="259"/>
      <c r="I703" s="260"/>
      <c r="J703" s="261"/>
      <c r="K703" s="262"/>
      <c r="L703" s="263">
        <f t="shared" si="138"/>
        <v>-129</v>
      </c>
      <c r="M703" s="263">
        <f t="shared" si="139"/>
        <v>0</v>
      </c>
      <c r="O703" s="52"/>
      <c r="Q703" s="19"/>
      <c r="R703" s="62">
        <f t="shared" ref="R703:R707" si="149">IF($C701&lt;&gt;"",$C701+S703,IF($C699&lt;&gt;"",$C699+S703,IF($C698&lt;&gt;"",$C698+S703,IF($C697&lt;&gt;"",$C697+S703,IF($C696&lt;&gt;"",$C696+S703,IF($C695&lt;&gt;"",$C695+S703))))))</f>
        <v>0</v>
      </c>
      <c r="S703" s="20"/>
      <c r="T703" s="21"/>
      <c r="U703" s="42"/>
      <c r="V703" s="23">
        <f t="shared" si="141"/>
        <v>-1896</v>
      </c>
      <c r="W703" s="23">
        <f t="shared" si="142"/>
        <v>16</v>
      </c>
    </row>
    <row r="704" spans="1:25">
      <c r="A704" s="96">
        <v>45993</v>
      </c>
      <c r="B704" s="17" t="s">
        <v>19</v>
      </c>
      <c r="C704" s="23">
        <f t="shared" ref="C704:C705" si="150">G706+Q706</f>
        <v>0</v>
      </c>
      <c r="D704" s="23"/>
      <c r="E704" s="23">
        <f t="shared" si="137"/>
        <v>-8101</v>
      </c>
      <c r="G704" s="304"/>
      <c r="H704" s="259"/>
      <c r="I704" s="260"/>
      <c r="J704" s="261"/>
      <c r="K704" s="262"/>
      <c r="L704" s="263">
        <f t="shared" si="138"/>
        <v>-129</v>
      </c>
      <c r="M704" s="263">
        <f t="shared" si="139"/>
        <v>0</v>
      </c>
      <c r="O704" s="52"/>
      <c r="Q704" s="19"/>
      <c r="R704" s="62">
        <f t="shared" si="149"/>
        <v>0</v>
      </c>
      <c r="S704" s="20"/>
      <c r="T704" s="21"/>
      <c r="U704" s="42"/>
      <c r="V704" s="23">
        <f t="shared" si="141"/>
        <v>-1896</v>
      </c>
      <c r="W704" s="23">
        <f t="shared" si="142"/>
        <v>16</v>
      </c>
    </row>
    <row r="705" spans="1:23">
      <c r="A705" s="96">
        <v>45994</v>
      </c>
      <c r="B705" s="17" t="s">
        <v>20</v>
      </c>
      <c r="C705" s="23">
        <f t="shared" si="150"/>
        <v>0</v>
      </c>
      <c r="D705" s="23"/>
      <c r="E705" s="23">
        <f t="shared" si="137"/>
        <v>-8101</v>
      </c>
      <c r="G705" s="304"/>
      <c r="H705" s="259"/>
      <c r="I705" s="260"/>
      <c r="J705" s="261"/>
      <c r="K705" s="262"/>
      <c r="L705" s="263">
        <f t="shared" si="138"/>
        <v>-129</v>
      </c>
      <c r="M705" s="263">
        <f t="shared" si="139"/>
        <v>0</v>
      </c>
      <c r="O705" s="52"/>
      <c r="Q705" s="19"/>
      <c r="R705" s="62">
        <f t="shared" si="149"/>
        <v>0</v>
      </c>
      <c r="S705" s="20"/>
      <c r="T705" s="21"/>
      <c r="U705" s="42"/>
      <c r="V705" s="23">
        <f t="shared" si="141"/>
        <v>-1896</v>
      </c>
      <c r="W705" s="23">
        <f t="shared" si="142"/>
        <v>16</v>
      </c>
    </row>
    <row r="706" spans="1:23">
      <c r="A706" s="96">
        <v>45995</v>
      </c>
      <c r="B706" s="17" t="s">
        <v>14</v>
      </c>
      <c r="C706" s="23">
        <f>G711+Q711</f>
        <v>0</v>
      </c>
      <c r="D706" s="23"/>
      <c r="E706" s="23">
        <f t="shared" si="137"/>
        <v>-8101</v>
      </c>
      <c r="G706" s="304"/>
      <c r="H706" s="259"/>
      <c r="I706" s="260"/>
      <c r="J706" s="261"/>
      <c r="K706" s="262"/>
      <c r="L706" s="263">
        <f t="shared" si="138"/>
        <v>-129</v>
      </c>
      <c r="M706" s="263">
        <f t="shared" si="139"/>
        <v>0</v>
      </c>
      <c r="O706" s="52"/>
      <c r="Q706" s="19"/>
      <c r="R706" s="62">
        <f t="shared" si="149"/>
        <v>0</v>
      </c>
      <c r="S706" s="20"/>
      <c r="T706" s="21"/>
      <c r="U706" s="42"/>
      <c r="V706" s="23">
        <f t="shared" si="141"/>
        <v>-1896</v>
      </c>
      <c r="W706" s="23">
        <f t="shared" si="142"/>
        <v>16</v>
      </c>
    </row>
    <row r="707" spans="1:23">
      <c r="A707" s="96">
        <v>45996</v>
      </c>
      <c r="B707" s="17" t="s">
        <v>15</v>
      </c>
      <c r="C707" s="23">
        <f>G712+Q712</f>
        <v>0</v>
      </c>
      <c r="D707" s="23"/>
      <c r="E707" s="23">
        <f t="shared" si="137"/>
        <v>-8101</v>
      </c>
      <c r="G707" s="304"/>
      <c r="H707" s="259"/>
      <c r="I707" s="260"/>
      <c r="J707" s="261"/>
      <c r="K707" s="262"/>
      <c r="L707" s="263">
        <f t="shared" si="138"/>
        <v>-129</v>
      </c>
      <c r="M707" s="263">
        <f t="shared" si="139"/>
        <v>0</v>
      </c>
      <c r="O707" s="52"/>
      <c r="Q707" s="19"/>
      <c r="R707" s="62">
        <f t="shared" si="149"/>
        <v>0</v>
      </c>
      <c r="S707" s="20"/>
      <c r="T707" s="21"/>
      <c r="U707" s="42"/>
      <c r="V707" s="23">
        <f t="shared" si="141"/>
        <v>-1896</v>
      </c>
      <c r="W707" s="23">
        <f t="shared" si="142"/>
        <v>16</v>
      </c>
    </row>
    <row r="708" spans="1:23">
      <c r="A708" s="96"/>
      <c r="B708" s="17"/>
      <c r="C708" s="23"/>
      <c r="D708" s="23"/>
      <c r="E708" s="23"/>
      <c r="G708" s="304"/>
      <c r="H708" s="259"/>
      <c r="I708" s="260"/>
      <c r="J708" s="261"/>
      <c r="K708" s="262"/>
      <c r="L708" s="263"/>
      <c r="M708" s="263"/>
      <c r="O708" s="52"/>
      <c r="Q708" s="19"/>
      <c r="R708" s="62"/>
      <c r="S708" s="20"/>
      <c r="T708" s="21"/>
      <c r="U708" s="42"/>
      <c r="V708" s="23"/>
      <c r="W708" s="23"/>
    </row>
    <row r="710" spans="1:23">
      <c r="D710" s="1" t="s">
        <v>48</v>
      </c>
    </row>
    <row r="711" spans="1:23">
      <c r="A711" s="2" t="s">
        <v>44</v>
      </c>
      <c r="B711" s="1">
        <v>22</v>
      </c>
      <c r="C711" s="208">
        <v>976</v>
      </c>
      <c r="D711" s="210">
        <f t="shared" ref="D711:D717" si="151">C711/B711</f>
        <v>44.363636363636367</v>
      </c>
    </row>
    <row r="712" spans="1:23">
      <c r="A712" s="2" t="s">
        <v>45</v>
      </c>
      <c r="B712" s="1">
        <v>22</v>
      </c>
      <c r="C712">
        <v>1136</v>
      </c>
      <c r="D712" s="210">
        <f t="shared" si="151"/>
        <v>51.636363636363633</v>
      </c>
    </row>
    <row r="713" spans="1:23">
      <c r="A713" s="2" t="s">
        <v>46</v>
      </c>
      <c r="B713" s="1">
        <v>21</v>
      </c>
      <c r="C713">
        <v>736</v>
      </c>
      <c r="D713" s="210">
        <f t="shared" si="151"/>
        <v>35.047619047619051</v>
      </c>
    </row>
    <row r="714" spans="1:23">
      <c r="A714" s="2" t="s">
        <v>47</v>
      </c>
      <c r="B714" s="1">
        <v>20</v>
      </c>
      <c r="C714" s="208">
        <v>600</v>
      </c>
      <c r="D714" s="210">
        <f t="shared" si="151"/>
        <v>30</v>
      </c>
    </row>
    <row r="715" spans="1:23">
      <c r="A715" s="2" t="s">
        <v>71</v>
      </c>
      <c r="B715" s="1">
        <v>20</v>
      </c>
      <c r="C715" s="208">
        <v>824</v>
      </c>
      <c r="D715" s="210">
        <f t="shared" si="151"/>
        <v>41.2</v>
      </c>
    </row>
    <row r="716" spans="1:23">
      <c r="A716" s="2" t="s">
        <v>72</v>
      </c>
      <c r="B716" s="1">
        <v>21</v>
      </c>
      <c r="C716" s="208">
        <v>984</v>
      </c>
      <c r="D716" s="210">
        <f t="shared" si="151"/>
        <v>46.857142857142854</v>
      </c>
    </row>
    <row r="717" spans="1:23">
      <c r="A717" s="2" t="s">
        <v>73</v>
      </c>
      <c r="B717" s="1">
        <v>22</v>
      </c>
      <c r="C717" s="208">
        <v>1064</v>
      </c>
      <c r="D717" s="210">
        <f t="shared" si="151"/>
        <v>48.363636363636367</v>
      </c>
    </row>
    <row r="718" spans="1:23">
      <c r="A718" s="2" t="s">
        <v>74</v>
      </c>
      <c r="B718" s="1">
        <v>19</v>
      </c>
      <c r="C718" s="208">
        <v>1000</v>
      </c>
      <c r="D718" s="210">
        <f t="shared" ref="D718" si="152">C718/B718</f>
        <v>52.631578947368418</v>
      </c>
    </row>
    <row r="719" spans="1:23">
      <c r="A719" s="2" t="s">
        <v>75</v>
      </c>
      <c r="B719" s="1">
        <v>19</v>
      </c>
      <c r="C719" s="208">
        <v>760</v>
      </c>
      <c r="D719" s="210">
        <f t="shared" ref="D719:D720" si="153">C719/B719</f>
        <v>40</v>
      </c>
    </row>
    <row r="720" spans="1:23">
      <c r="A720" s="2" t="s">
        <v>76</v>
      </c>
      <c r="B720" s="1">
        <v>21</v>
      </c>
      <c r="C720" s="208">
        <v>1168</v>
      </c>
      <c r="D720" s="210">
        <f t="shared" si="153"/>
        <v>55.61904761904762</v>
      </c>
    </row>
    <row r="721" spans="3:4">
      <c r="C721" s="208"/>
      <c r="D721" s="210"/>
    </row>
  </sheetData>
  <customSheetViews>
    <customSheetView guid="{0F97D042-C15F-481A-A24D-94F15C0648A1}" scale="84" fitToPage="1" hiddenRows="1">
      <pane xSplit="1" ySplit="504" topLeftCell="B510" activePane="bottomRight" state="frozenSplit"/>
      <selection pane="bottomRight" activeCell="K536" sqref="K536"/>
      <pageMargins left="0.25" right="0.25" top="0.75" bottom="0.75" header="0.3" footer="0.3"/>
      <pageSetup paperSize="9" scale="42" orientation="landscape" r:id="rId1"/>
    </customSheetView>
    <customSheetView guid="{67AA7247-9969-44D1-A312-CE29558EF448}" scale="84" fitToPage="1" hiddenRows="1">
      <pane xSplit="2" ySplit="12" topLeftCell="C164" activePane="bottomRight" state="frozenSplit"/>
      <selection pane="bottomRight" activeCell="K17" sqref="K17"/>
      <pageMargins left="0.25" right="0.25" top="0.75" bottom="0.75" header="0.3" footer="0.3"/>
      <pageSetup paperSize="9" scale="42" orientation="landscape" r:id="rId2"/>
    </customSheetView>
    <customSheetView guid="{71D64ACB-0C5A-4845-B610-45B8D3A5CAD0}" scale="84" fitToPage="1" hiddenRows="1">
      <pane xSplit="2" ySplit="12" topLeftCell="C14" activePane="bottomRight" state="frozenSplit"/>
      <selection pane="bottomRight" activeCell="K17" sqref="K17"/>
      <pageMargins left="0.25" right="0.25" top="0.75" bottom="0.75" header="0.3" footer="0.3"/>
      <pageSetup paperSize="9" scale="42" orientation="landscape" r:id="rId3"/>
    </customSheetView>
    <customSheetView guid="{7E11D236-C3AC-4177-91D6-AE97935356F8}" scale="84" fitToPage="1" hiddenRows="1">
      <pane xSplit="2" ySplit="12" topLeftCell="C14" activePane="bottomRight" state="frozenSplit"/>
      <selection pane="bottomRight" activeCell="K17" sqref="K17"/>
      <pageMargins left="0.25" right="0.25" top="0.75" bottom="0.75" header="0.3" footer="0.3"/>
      <pageSetup paperSize="9" scale="42" orientation="landscape" r:id="rId4"/>
    </customSheetView>
    <customSheetView guid="{DF7FFCE6-325C-4337-ACE2-63AB5F5E5D7C}" scale="84" fitToPage="1" hiddenRows="1" topLeftCell="A477">
      <selection activeCell="K382" sqref="K382"/>
      <pageMargins left="0.25" right="0.25" top="0.75" bottom="0.75" header="0.3" footer="0.3"/>
      <pageSetup paperSize="9" scale="42" orientation="landscape" r:id="rId5"/>
    </customSheetView>
    <customSheetView guid="{0F0ED987-057D-4D51-B464-C7C0C85EB14F}" scale="85" fitToPage="1" hiddenRows="1">
      <pane xSplit="2" ySplit="167" topLeftCell="C169" activePane="bottomRight" state="frozenSplit"/>
      <selection pane="bottomRight" activeCell="R185" sqref="R185"/>
      <pageMargins left="0.25" right="0.25" top="0.75" bottom="0.75" header="0.3" footer="0.3"/>
      <pageSetup paperSize="9" scale="42" orientation="landscape" r:id="rId6"/>
    </customSheetView>
    <customSheetView guid="{D886DC16-62E0-4EAA-A787-2FA2A24DFCFE}" scale="84" fitToPage="1" hiddenRows="1">
      <pane xSplit="1.2424242424242424" ySplit="592" topLeftCell="B603" activePane="bottomRight" state="frozenSplit"/>
      <selection pane="bottomRight" activeCell="K623" sqref="K623"/>
      <pageMargins left="0.25" right="0.25" top="0.75" bottom="0.75" header="0.3" footer="0.3"/>
      <pageSetup paperSize="9" scale="42" orientation="landscape" r:id="rId7"/>
    </customSheetView>
    <customSheetView guid="{811078A9-B23B-425F-A62A-22C4D8EF8733}" scale="84" fitToPage="1" hiddenRows="1">
      <pane xSplit="1.505050505050505" ySplit="294" topLeftCell="B486" activePane="bottomRight" state="frozenSplit"/>
      <selection pane="bottomRight" activeCell="H495" sqref="H495:H555"/>
      <pageMargins left="0.25" right="0.25" top="0.75" bottom="0.75" header="0.3" footer="0.3"/>
      <pageSetup paperSize="9" scale="42" orientation="landscape" r:id="rId8"/>
    </customSheetView>
    <customSheetView guid="{7F9E5EBC-BEB4-4E3F-8F40-CA3D4F534F5B}" scale="85" fitToPage="1" hiddenRows="1">
      <pane xSplit="2" ySplit="624" topLeftCell="C626" activePane="bottomRight" state="frozenSplit"/>
      <selection pane="bottomRight" activeCell="I636" sqref="I636"/>
      <pageMargins left="0.25" right="0.25" top="0.75" bottom="0.75" header="0.3" footer="0.3"/>
      <pageSetup paperSize="9" scale="42" orientation="landscape" r:id="rId9"/>
    </customSheetView>
  </customSheetViews>
  <mergeCells count="2">
    <mergeCell ref="I2:J2"/>
    <mergeCell ref="S2:T2"/>
  </mergeCells>
  <phoneticPr fontId="1"/>
  <pageMargins left="0.25" right="0.25" top="0.75" bottom="0.75" header="0.3" footer="0.3"/>
  <pageSetup paperSize="9" scale="42" orientation="landscape" r:id="rId10"/>
  <drawing r:id="rId11"/>
  <legacy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ステー(ラジエータ)</vt:lpstr>
      <vt:lpstr>欧州向けフレームコンプ(フロント) (末番変更)</vt:lpstr>
      <vt:lpstr>カバーコンプ(エアコン)</vt:lpstr>
      <vt:lpstr>ブラケット(ファン)</vt:lpstr>
      <vt:lpstr>SS23 フレームコンプ(フロント) (末番2)</vt:lpstr>
      <vt:lpstr>SS23 フレームコンプ(フロント) (末番3)</vt:lpstr>
      <vt:lpstr>SS23 カバーコンプ(エアコン)</vt:lpstr>
      <vt:lpstr>'ステー(ラジエータ)'!Print_Area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y-hara</dc:creator>
  <cp:lastModifiedBy>善幸 原</cp:lastModifiedBy>
  <cp:lastPrinted>2024-12-16T04:54:18Z</cp:lastPrinted>
  <dcterms:created xsi:type="dcterms:W3CDTF">2023-06-29T05:26:53Z</dcterms:created>
  <dcterms:modified xsi:type="dcterms:W3CDTF">2025-09-26T02:31:25Z</dcterms:modified>
</cp:coreProperties>
</file>