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1" codeName="{C80E003A-6C80-AF87-3323-10F97C11A349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tomaszfijolek/Downloads/"/>
    </mc:Choice>
  </mc:AlternateContent>
  <xr:revisionPtr revIDLastSave="0" documentId="8_{808883A6-AC32-6042-A627-50C68081C397}" xr6:coauthVersionLast="47" xr6:coauthVersionMax="47" xr10:uidLastSave="{00000000-0000-0000-0000-000000000000}"/>
  <workbookProtection lockWindows="1"/>
  <bookViews>
    <workbookView xWindow="0" yWindow="760" windowWidth="34200" windowHeight="21380" xr2:uid="{00000000-000D-0000-FFFF-FFFF00000000}"/>
  </bookViews>
  <sheets>
    <sheet name="Dachrechner" sheetId="3" r:id="rId1"/>
    <sheet name="Daten" sheetId="1" r:id="rId2"/>
    <sheet name="Erklärung Dachrechner" sheetId="2" r:id="rId3"/>
  </sheets>
  <definedNames>
    <definedName name="_xlnm.Print_Area" localSheetId="0">Dachrechner!$A$1:$P$24</definedName>
    <definedName name="_xlnm.Print_Area" localSheetId="1">Daten!$A$1:$P$24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3" l="1"/>
  <c r="W18" i="3"/>
  <c r="V18" i="3"/>
  <c r="S18" i="3"/>
  <c r="R18" i="3"/>
  <c r="Q18" i="3"/>
  <c r="P18" i="3"/>
  <c r="J18" i="3"/>
  <c r="F18" i="3"/>
  <c r="O18" i="3" s="1"/>
  <c r="T18" i="3" s="1"/>
  <c r="G18" i="3" l="1"/>
  <c r="I18" i="3"/>
  <c r="L18" i="3"/>
  <c r="M18" i="3"/>
  <c r="N18" i="3"/>
  <c r="F23" i="1"/>
  <c r="G12" i="1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S11" i="3"/>
  <c r="A11" i="3"/>
  <c r="U2" i="3"/>
  <c r="G19" i="1"/>
  <c r="G20" i="1"/>
  <c r="G21" i="1"/>
  <c r="G22" i="1"/>
  <c r="G24" i="1"/>
  <c r="G18" i="1"/>
  <c r="D19" i="1" l="1"/>
  <c r="P19" i="1" s="1"/>
  <c r="J19" i="1"/>
  <c r="J20" i="1"/>
  <c r="F20" i="1" s="1"/>
  <c r="L20" i="1" s="1"/>
  <c r="P20" i="1"/>
  <c r="J21" i="1"/>
  <c r="F21" i="1" s="1"/>
  <c r="I21" i="1" s="1"/>
  <c r="L21" i="1" s="1"/>
  <c r="P21" i="1"/>
  <c r="I28" i="1"/>
  <c r="I29" i="1"/>
  <c r="I30" i="1"/>
  <c r="I31" i="1"/>
  <c r="I19" i="1"/>
  <c r="L19" i="1" s="1"/>
  <c r="Q31" i="1"/>
  <c r="O31" i="1"/>
  <c r="T31" i="1" s="1"/>
  <c r="L30" i="1"/>
  <c r="O30" i="1" s="1"/>
  <c r="K31" i="1"/>
  <c r="H31" i="1"/>
  <c r="H30" i="1"/>
  <c r="D31" i="1"/>
  <c r="P31" i="1" s="1"/>
  <c r="L31" i="1"/>
  <c r="R31" i="1"/>
  <c r="S31" i="1"/>
  <c r="W31" i="1"/>
  <c r="R29" i="1"/>
  <c r="O29" i="1"/>
  <c r="T29" i="1" s="1"/>
  <c r="L28" i="1"/>
  <c r="O28" i="1" s="1"/>
  <c r="J29" i="1"/>
  <c r="K29" i="1" s="1"/>
  <c r="H29" i="1"/>
  <c r="L29" i="1"/>
  <c r="Q29" i="1" s="1"/>
  <c r="S29" i="1"/>
  <c r="W29" i="1"/>
  <c r="D29" i="1"/>
  <c r="P29" i="1" s="1"/>
  <c r="O19" i="1" l="1"/>
  <c r="Q19" i="1" s="1"/>
  <c r="R19" i="1" s="1"/>
  <c r="Q21" i="1"/>
  <c r="R21" i="1" s="1"/>
  <c r="O21" i="1"/>
  <c r="R20" i="1"/>
  <c r="O20" i="1"/>
  <c r="M20" i="1"/>
  <c r="Q20" i="1"/>
  <c r="N20" i="1"/>
  <c r="D28" i="1"/>
  <c r="P28" i="1" s="1"/>
  <c r="D30" i="1"/>
  <c r="P30" i="1" s="1"/>
  <c r="W21" i="1" l="1"/>
  <c r="V21" i="1"/>
  <c r="S21" i="1"/>
  <c r="S19" i="1"/>
  <c r="V19" i="1"/>
  <c r="H28" i="1"/>
  <c r="K30" i="1"/>
  <c r="J28" i="1"/>
  <c r="K28" i="1" s="1"/>
  <c r="Q30" i="1"/>
  <c r="T28" i="1"/>
  <c r="T30" i="1"/>
  <c r="S30" i="1"/>
  <c r="W30" i="1" s="1"/>
  <c r="S28" i="1"/>
  <c r="W28" i="1" s="1"/>
  <c r="Q28" i="1"/>
  <c r="P27" i="1"/>
  <c r="K27" i="1"/>
  <c r="L27" i="1" s="1"/>
  <c r="I27" i="1" s="1"/>
  <c r="J27" i="1"/>
  <c r="B27" i="1"/>
  <c r="S27" i="1" s="1"/>
  <c r="W27" i="1" s="1"/>
  <c r="T19" i="1" l="1"/>
  <c r="W19" i="1"/>
  <c r="Q27" i="1"/>
  <c r="R27" i="1" s="1"/>
  <c r="O27" i="1"/>
  <c r="T27" i="1" s="1"/>
  <c r="S18" i="1"/>
  <c r="E12" i="1"/>
  <c r="AB26" i="1"/>
  <c r="H12" i="1" s="1"/>
  <c r="W20" i="1"/>
  <c r="W22" i="1"/>
  <c r="W23" i="1"/>
  <c r="W24" i="1"/>
  <c r="V20" i="1"/>
  <c r="V22" i="1"/>
  <c r="V23" i="1"/>
  <c r="V24" i="1"/>
  <c r="S20" i="1"/>
  <c r="S22" i="1"/>
  <c r="S23" i="1"/>
  <c r="S24" i="1"/>
  <c r="T21" i="1" l="1"/>
  <c r="P26" i="1"/>
  <c r="J26" i="1"/>
  <c r="I26" i="1" s="1"/>
  <c r="P25" i="1"/>
  <c r="J25" i="1"/>
  <c r="B26" i="1"/>
  <c r="S26" i="1" s="1"/>
  <c r="W26" i="1" s="1"/>
  <c r="B25" i="1"/>
  <c r="S25" i="1" s="1"/>
  <c r="W25" i="1" s="1"/>
  <c r="P24" i="1"/>
  <c r="L25" i="1" l="1"/>
  <c r="O26" i="1"/>
  <c r="T26" i="1" s="1"/>
  <c r="H26" i="1"/>
  <c r="H25" i="1"/>
  <c r="L26" i="1"/>
  <c r="Q26" i="1" s="1"/>
  <c r="R26" i="1" s="1"/>
  <c r="P23" i="1"/>
  <c r="J23" i="1"/>
  <c r="O25" i="1" l="1"/>
  <c r="T25" i="1" s="1"/>
  <c r="I25" i="1"/>
  <c r="Q25" i="1"/>
  <c r="R25" i="1" s="1"/>
  <c r="I23" i="1" l="1"/>
  <c r="G23" i="1"/>
  <c r="L23" i="1"/>
  <c r="Q23" i="1"/>
  <c r="O23" i="1"/>
  <c r="T23" i="1" s="1"/>
  <c r="R23" i="1"/>
  <c r="P22" i="1"/>
  <c r="J24" i="1" l="1"/>
  <c r="F24" i="1" s="1"/>
  <c r="I24" i="1" s="1"/>
  <c r="J22" i="1"/>
  <c r="F22" i="1" s="1"/>
  <c r="I22" i="1" s="1"/>
  <c r="J18" i="1"/>
  <c r="D18" i="1" l="1"/>
  <c r="V18" i="1" s="1"/>
  <c r="W18" i="1"/>
  <c r="O24" i="1"/>
  <c r="T24" i="1" s="1"/>
  <c r="R24" i="1"/>
  <c r="Q24" i="1"/>
  <c r="L24" i="1"/>
  <c r="O22" i="1"/>
  <c r="T22" i="1" s="1"/>
  <c r="Q22" i="1"/>
  <c r="L22" i="1"/>
  <c r="T20" i="1"/>
  <c r="I20" i="1"/>
  <c r="I18" i="1"/>
  <c r="A11" i="1"/>
  <c r="AB2" i="1"/>
  <c r="AB4" i="1"/>
  <c r="B12" i="1" s="1"/>
  <c r="P18" i="1" l="1"/>
  <c r="R22" i="1"/>
  <c r="Q18" i="1"/>
  <c r="R18" i="1" s="1"/>
  <c r="O18" i="1"/>
  <c r="T18" i="1" s="1"/>
  <c r="L18" i="1"/>
  <c r="AB5" i="1"/>
  <c r="AB6" i="1" l="1"/>
  <c r="D12" i="1" s="1"/>
  <c r="C12" i="1"/>
  <c r="AB7" i="1" l="1"/>
  <c r="AB8" i="1" l="1"/>
  <c r="AB9" i="1" s="1"/>
  <c r="AB10" i="1" s="1"/>
  <c r="AB11" i="1" s="1"/>
  <c r="AB12" i="1" s="1"/>
  <c r="AB13" i="1" s="1"/>
  <c r="AB14" i="1" s="1"/>
  <c r="AB15" i="1" s="1"/>
  <c r="AB16" i="1" s="1"/>
  <c r="AB17" i="1" s="1"/>
  <c r="AB18" i="1" s="1"/>
  <c r="AB19" i="1" s="1"/>
  <c r="AB20" i="1" s="1"/>
  <c r="AB21" i="1" s="1"/>
  <c r="AB22" i="1" s="1"/>
  <c r="AB23" i="1" s="1"/>
  <c r="AB24" i="1" s="1"/>
  <c r="U2" i="1" s="1"/>
  <c r="F12" i="1"/>
  <c r="K12" i="1" l="1"/>
  <c r="I12" i="1"/>
  <c r="J12" i="1" l="1"/>
  <c r="L12" i="1" l="1"/>
  <c r="M12" i="1" l="1"/>
  <c r="N12" i="1" l="1"/>
  <c r="O12" i="1" l="1"/>
  <c r="P12" i="1" l="1"/>
  <c r="S12" i="1" l="1"/>
  <c r="T12" i="1" l="1"/>
  <c r="U12" i="1" l="1"/>
  <c r="V12" i="1" l="1"/>
  <c r="Q12" i="1" l="1"/>
  <c r="W12" i="1"/>
  <c r="R12" i="1" l="1"/>
  <c r="S11" i="1" l="1"/>
</calcChain>
</file>

<file path=xl/sharedStrings.xml><?xml version="1.0" encoding="utf-8"?>
<sst xmlns="http://schemas.openxmlformats.org/spreadsheetml/2006/main" count="201" uniqueCount="102">
  <si>
    <t>Type</t>
  </si>
  <si>
    <t>Berekening diepte en hoogte veranda</t>
  </si>
  <si>
    <t>spie hoogte gootzijde</t>
  </si>
  <si>
    <t>spie hoogte muurzijde</t>
  </si>
  <si>
    <t>CSt</t>
  </si>
  <si>
    <t>Sprache</t>
  </si>
  <si>
    <t>GER</t>
  </si>
  <si>
    <t>NED</t>
  </si>
  <si>
    <t>ENG</t>
  </si>
  <si>
    <t>Kozijnhoogte gootzijde [mm]</t>
  </si>
  <si>
    <t>Kozijn breedte [mm]</t>
  </si>
  <si>
    <t>Kozijnhoogte woning zijde [mm]</t>
  </si>
  <si>
    <t>Bestelltiefe [mm]</t>
  </si>
  <si>
    <t>Fensterhöhe Rinnenseite [mm]</t>
  </si>
  <si>
    <t>Fensterbreite [mm]</t>
  </si>
  <si>
    <t>Keilhöhe Rinnenseite [mm]</t>
  </si>
  <si>
    <t>Keilhöhe Hausseite [mm]</t>
  </si>
  <si>
    <t>Fensterhöhe Hausseite [mm]</t>
  </si>
  <si>
    <t>order depth [mm]</t>
  </si>
  <si>
    <t>window height gutter side [mm]</t>
  </si>
  <si>
    <t>window width [mm]</t>
  </si>
  <si>
    <t>wedge height gutter side [mm]</t>
  </si>
  <si>
    <t>wedge height house side [mm]</t>
  </si>
  <si>
    <t>window height house side [mm]</t>
  </si>
  <si>
    <t>wall mount to front edge of post [mm] (D4)</t>
  </si>
  <si>
    <t>freestand to front edge of post [mm] (D5)</t>
  </si>
  <si>
    <t>Berechnung der Höhe und Tiefe einer Veranda</t>
  </si>
  <si>
    <t>calculation of depth and height of veranda</t>
  </si>
  <si>
    <t>Berechnung der Fensterelemente</t>
  </si>
  <si>
    <t>calculation of window elements</t>
  </si>
  <si>
    <t>Berekening van de kozijnen</t>
  </si>
  <si>
    <t>-</t>
  </si>
  <si>
    <t>Language</t>
  </si>
  <si>
    <t>taal</t>
  </si>
  <si>
    <t>Besteldiepte [mm]</t>
  </si>
  <si>
    <t>Hoogte - onderkant goot - [mm] (H3)</t>
  </si>
  <si>
    <t>Hoogte - onderkant muurprofiel - [mm] (H1)</t>
  </si>
  <si>
    <t>Höhe -  Unterkante Rinne [mm] (H3)</t>
  </si>
  <si>
    <t>Höhe -  Unterkante Wandprofil [mm] (H1)</t>
  </si>
  <si>
    <t>Lengte - dakliggers midden [mm] (S1)</t>
  </si>
  <si>
    <t>Lengte - dakliggers buiten [mm] (S1)</t>
  </si>
  <si>
    <t>Diepte - met standaard goot [mm] (D3)</t>
  </si>
  <si>
    <t>Diepte - tussen staander en woning [mm] (D2)</t>
  </si>
  <si>
    <t>Hoogte - bovenkant muurprofiel [mm] (H2)</t>
  </si>
  <si>
    <t>Höhe - Oberkante Wandprofil [mm] (H2)</t>
  </si>
  <si>
    <t>Diepte - goot rond [mm] (D3)</t>
  </si>
  <si>
    <t>Diepte - goot klassiek [mm] (D3)</t>
  </si>
  <si>
    <t>height - lower edge gutter [mm] (H3)</t>
  </si>
  <si>
    <t>height - of lower edge of wall profile [mm] (H1)</t>
  </si>
  <si>
    <t>depth - with standard gutter [mm] (D3)</t>
  </si>
  <si>
    <t>depth - with decorative cover round [mm] (D3)</t>
  </si>
  <si>
    <t>depth - with decorative cover classic [mm] (D3)</t>
  </si>
  <si>
    <t>depth - between house and post [mm] (D2)</t>
  </si>
  <si>
    <t>height - of top edge of wall profile [mm] (H2)</t>
  </si>
  <si>
    <t>30.06.'22</t>
  </si>
  <si>
    <t>Diepte - van muur tot en met staander  [mm] (D4)</t>
  </si>
  <si>
    <t>Diepte - van vrijstaand tot en met staander [mm] (D5)</t>
  </si>
  <si>
    <t>Länge - Sparren Mitte [mm] (S1)</t>
  </si>
  <si>
    <t>Länge - Sparren Außen [mm] (S1)</t>
  </si>
  <si>
    <t>length - middle rafter  [mm] (S1)</t>
  </si>
  <si>
    <t>length - outer rafter [mm] (S1)</t>
  </si>
  <si>
    <t>Sprache über Dropdown im gelben Feld einstellbar</t>
  </si>
  <si>
    <t>(Deutsch / Niederländisch / Englisch)</t>
  </si>
  <si>
    <t>Parameter des zu kalkulierenden Daches über gelbe Felder eingeben</t>
  </si>
  <si>
    <r>
      <t>Helling glas Ultraline [°] (</t>
    </r>
    <r>
      <rPr>
        <sz val="11"/>
        <color theme="1"/>
        <rFont val="Calibri"/>
        <family val="2"/>
      </rPr>
      <t>β</t>
    </r>
    <r>
      <rPr>
        <sz val="11"/>
        <color theme="1"/>
        <rFont val="Calibri"/>
        <family val="2"/>
        <scheme val="minor"/>
      </rPr>
      <t>)</t>
    </r>
  </si>
  <si>
    <t>Neigung Glas Ultraline [°] (β)</t>
  </si>
  <si>
    <t>inclination glas Ultraline[°] (β)</t>
  </si>
  <si>
    <r>
      <t>Helling [°] (</t>
    </r>
    <r>
      <rPr>
        <sz val="11"/>
        <color theme="1"/>
        <rFont val="Calibri"/>
        <family val="2"/>
      </rPr>
      <t>α</t>
    </r>
    <r>
      <rPr>
        <sz val="7.7"/>
        <color theme="1"/>
        <rFont val="Calibri"/>
        <family val="2"/>
      </rPr>
      <t>)</t>
    </r>
  </si>
  <si>
    <t>Neigung [°] (α)</t>
  </si>
  <si>
    <t>inclination [°] (α)</t>
  </si>
  <si>
    <t>Dakoverstek [mm] (U1)</t>
  </si>
  <si>
    <t>Dachüberstand [mm] (U1)</t>
  </si>
  <si>
    <t>roof overhang [mm] (U1)</t>
  </si>
  <si>
    <t>Tiefe - Hinterkante Wandanschluss bis Mitte Pfosten [mm] (D1)</t>
  </si>
  <si>
    <t>Depth - rear edge of wall connection to center of mullion [mm] (D1)</t>
  </si>
  <si>
    <t>Diepte - achterrand muuraansluiting tot hart staander [mm] (D1)</t>
  </si>
  <si>
    <t>Tiefe - Hinterkante Wandanschluss bis Rinne Standard [mm] (D3)</t>
  </si>
  <si>
    <t>Tiefe - Hinterkante Wandanschluss bis Zierleiste rund [mm] (D3)</t>
  </si>
  <si>
    <t>Tiefe - Hinterkante Wandanschluss bis Zierleiste klassik [mm] (D3)</t>
  </si>
  <si>
    <t>Tiefe - Hinterkante Wandanschluss bis Innenkante Pfosten [mm] (D2)</t>
  </si>
  <si>
    <t>Hinterkante Wandanschluss bis Außenkante Pfosten [mm] (D4)</t>
  </si>
  <si>
    <t>Hinterkante Wandanschluss bis Außenkante Pfosten [mm] (D5)</t>
  </si>
  <si>
    <t>Gelbe Zellen manuell ausfüllen!</t>
  </si>
  <si>
    <t>21.05.'25</t>
  </si>
  <si>
    <t>TFl</t>
  </si>
  <si>
    <t>Neigung [mm/m]</t>
  </si>
  <si>
    <t>Helling [mm/m]</t>
  </si>
  <si>
    <t>inclination [mm/m]</t>
  </si>
  <si>
    <t>Trendstyle</t>
  </si>
  <si>
    <t>Orangestyle</t>
  </si>
  <si>
    <t>Orangestyle+</t>
  </si>
  <si>
    <t>Trendstyle+</t>
  </si>
  <si>
    <t>Topstyle</t>
  </si>
  <si>
    <t>Toplstyle XL</t>
  </si>
  <si>
    <t>Designstyle</t>
  </si>
  <si>
    <t>Ultrastyle Classic</t>
  </si>
  <si>
    <t>Ultrastyle Style</t>
  </si>
  <si>
    <t>Ultrastyle Compact</t>
  </si>
  <si>
    <t>Skystyle</t>
  </si>
  <si>
    <t>Skystyle Freistand</t>
  </si>
  <si>
    <t>Carport</t>
  </si>
  <si>
    <t>Carport Freistand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</si>
</sst>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7.7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2" fillId="2" borderId="6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0" fillId="3" borderId="8" xfId="0" applyFill="1" applyBorder="1"/>
    <xf numFmtId="0" fontId="1" fillId="3" borderId="9" xfId="0" applyFont="1" applyFill="1" applyBorder="1"/>
    <xf numFmtId="1" fontId="0" fillId="3" borderId="0" xfId="0" applyNumberFormat="1" applyFill="1" applyAlignment="1">
      <alignment horizontal="center"/>
    </xf>
    <xf numFmtId="0" fontId="2" fillId="2" borderId="7" xfId="0" applyFont="1" applyFill="1" applyBorder="1" applyAlignment="1" applyProtection="1">
      <alignment horizontal="center" vertical="center"/>
      <protection locked="0"/>
    </xf>
    <xf numFmtId="1" fontId="2" fillId="3" borderId="0" xfId="0" applyNumberFormat="1" applyFont="1" applyFill="1" applyAlignment="1" applyProtection="1">
      <alignment horizontal="center" vertical="center"/>
      <protection hidden="1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1" fontId="2" fillId="2" borderId="15" xfId="0" applyNumberFormat="1" applyFont="1" applyFill="1" applyBorder="1" applyAlignment="1" applyProtection="1">
      <alignment horizontal="center" vertical="center"/>
      <protection locked="0"/>
    </xf>
    <xf numFmtId="1" fontId="2" fillId="3" borderId="15" xfId="0" applyNumberFormat="1" applyFont="1" applyFill="1" applyBorder="1" applyAlignment="1" applyProtection="1">
      <alignment horizontal="center" vertical="center"/>
      <protection hidden="1"/>
    </xf>
    <xf numFmtId="1" fontId="2" fillId="3" borderId="16" xfId="0" applyNumberFormat="1" applyFont="1" applyFill="1" applyBorder="1" applyAlignment="1" applyProtection="1">
      <alignment horizontal="center" vertical="center"/>
      <protection hidden="1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1" fontId="2" fillId="3" borderId="19" xfId="0" applyNumberFormat="1" applyFont="1" applyFill="1" applyBorder="1" applyAlignment="1" applyProtection="1">
      <alignment horizontal="center" vertical="center"/>
      <protection hidden="1"/>
    </xf>
    <xf numFmtId="1" fontId="2" fillId="4" borderId="15" xfId="0" applyNumberFormat="1" applyFont="1" applyFill="1" applyBorder="1" applyAlignment="1" applyProtection="1">
      <alignment horizontal="center" vertical="center"/>
      <protection hidden="1"/>
    </xf>
    <xf numFmtId="0" fontId="0" fillId="3" borderId="29" xfId="0" applyFill="1" applyBorder="1"/>
    <xf numFmtId="0" fontId="0" fillId="5" borderId="27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1" fontId="2" fillId="0" borderId="7" xfId="0" applyNumberFormat="1" applyFont="1" applyBorder="1" applyAlignment="1">
      <alignment horizontal="center" vertical="center"/>
    </xf>
    <xf numFmtId="1" fontId="2" fillId="3" borderId="34" xfId="0" applyNumberFormat="1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textRotation="90" wrapText="1"/>
    </xf>
    <xf numFmtId="1" fontId="1" fillId="3" borderId="0" xfId="0" applyNumberFormat="1" applyFont="1" applyFill="1" applyAlignment="1" applyProtection="1">
      <alignment horizontal="center" vertical="center"/>
      <protection hidden="1"/>
    </xf>
    <xf numFmtId="1" fontId="5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1" fontId="2" fillId="0" borderId="7" xfId="0" applyNumberFormat="1" applyFont="1" applyBorder="1" applyAlignment="1" applyProtection="1">
      <alignment horizontal="center" vertical="center"/>
      <protection hidden="1"/>
    </xf>
    <xf numFmtId="0" fontId="0" fillId="3" borderId="0" xfId="0" applyFill="1" applyAlignment="1">
      <alignment horizontal="center"/>
    </xf>
    <xf numFmtId="1" fontId="2" fillId="0" borderId="15" xfId="0" applyNumberFormat="1" applyFont="1" applyBorder="1" applyAlignment="1" applyProtection="1">
      <alignment horizontal="center" vertical="center"/>
      <protection hidden="1"/>
    </xf>
    <xf numFmtId="1" fontId="2" fillId="0" borderId="34" xfId="0" applyNumberFormat="1" applyFont="1" applyBorder="1" applyAlignment="1" applyProtection="1">
      <alignment horizontal="center" vertical="center"/>
      <protection hidden="1"/>
    </xf>
    <xf numFmtId="1" fontId="2" fillId="0" borderId="16" xfId="0" applyNumberFormat="1" applyFont="1" applyBorder="1" applyAlignment="1" applyProtection="1">
      <alignment horizontal="center" vertical="center"/>
      <protection hidden="1"/>
    </xf>
    <xf numFmtId="1" fontId="1" fillId="0" borderId="0" xfId="0" applyNumberFormat="1" applyFont="1" applyAlignment="1" applyProtection="1">
      <alignment horizontal="center" vertical="center"/>
      <protection hidden="1"/>
    </xf>
    <xf numFmtId="0" fontId="2" fillId="0" borderId="15" xfId="0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horizontal="center" vertical="center"/>
    </xf>
    <xf numFmtId="0" fontId="0" fillId="2" borderId="28" xfId="0" applyFill="1" applyBorder="1" applyAlignment="1" applyProtection="1">
      <alignment horizontal="center" vertical="center"/>
      <protection locked="0"/>
    </xf>
    <xf numFmtId="1" fontId="2" fillId="0" borderId="35" xfId="0" applyNumberFormat="1" applyFont="1" applyBorder="1" applyAlignment="1" applyProtection="1">
      <alignment horizontal="center" vertical="center"/>
      <protection hidden="1"/>
    </xf>
    <xf numFmtId="1" fontId="2" fillId="0" borderId="33" xfId="0" applyNumberFormat="1" applyFont="1" applyBorder="1" applyAlignment="1" applyProtection="1">
      <alignment horizontal="center" vertical="center"/>
      <protection hidden="1"/>
    </xf>
    <xf numFmtId="2" fontId="2" fillId="3" borderId="15" xfId="0" applyNumberFormat="1" applyFont="1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20" xfId="0" applyFill="1" applyBorder="1"/>
    <xf numFmtId="0" fontId="0" fillId="3" borderId="4" xfId="0" applyFill="1" applyBorder="1"/>
    <xf numFmtId="0" fontId="0" fillId="0" borderId="0" xfId="0" applyAlignment="1">
      <alignment horizontal="left" vertical="center"/>
    </xf>
    <xf numFmtId="1" fontId="2" fillId="0" borderId="42" xfId="0" applyNumberFormat="1" applyFont="1" applyBorder="1" applyAlignment="1" applyProtection="1">
      <alignment horizontal="center" vertical="center"/>
      <protection hidden="1"/>
    </xf>
    <xf numFmtId="1" fontId="2" fillId="0" borderId="19" xfId="0" applyNumberFormat="1" applyFont="1" applyBorder="1" applyAlignment="1" applyProtection="1">
      <alignment horizontal="center" vertical="center"/>
      <protection hidden="1"/>
    </xf>
    <xf numFmtId="0" fontId="2" fillId="2" borderId="45" xfId="0" applyFont="1" applyFill="1" applyBorder="1" applyAlignment="1" applyProtection="1">
      <alignment horizontal="center" vertical="center"/>
      <protection locked="0"/>
    </xf>
    <xf numFmtId="1" fontId="2" fillId="3" borderId="45" xfId="0" applyNumberFormat="1" applyFont="1" applyFill="1" applyBorder="1" applyAlignment="1" applyProtection="1">
      <alignment horizontal="center" vertical="center"/>
      <protection hidden="1"/>
    </xf>
    <xf numFmtId="1" fontId="2" fillId="3" borderId="46" xfId="0" applyNumberFormat="1" applyFont="1" applyFill="1" applyBorder="1" applyAlignment="1" applyProtection="1">
      <alignment horizontal="center" vertical="center"/>
      <protection hidden="1"/>
    </xf>
    <xf numFmtId="1" fontId="2" fillId="0" borderId="48" xfId="0" applyNumberFormat="1" applyFont="1" applyBorder="1" applyAlignment="1" applyProtection="1">
      <alignment horizontal="center" vertical="center"/>
      <protection hidden="1"/>
    </xf>
    <xf numFmtId="1" fontId="2" fillId="0" borderId="45" xfId="0" applyNumberFormat="1" applyFont="1" applyBorder="1" applyAlignment="1" applyProtection="1">
      <alignment horizontal="center" vertical="center"/>
      <protection hidden="1"/>
    </xf>
    <xf numFmtId="1" fontId="2" fillId="0" borderId="47" xfId="0" applyNumberFormat="1" applyFont="1" applyBorder="1" applyAlignment="1" applyProtection="1">
      <alignment horizontal="center" vertical="center"/>
      <protection hidden="1"/>
    </xf>
    <xf numFmtId="1" fontId="10" fillId="3" borderId="47" xfId="0" applyNumberFormat="1" applyFont="1" applyFill="1" applyBorder="1" applyAlignment="1" applyProtection="1">
      <alignment horizontal="center" vertical="center"/>
      <protection hidden="1"/>
    </xf>
    <xf numFmtId="0" fontId="2" fillId="2" borderId="49" xfId="0" applyFont="1" applyFill="1" applyBorder="1" applyAlignment="1" applyProtection="1">
      <alignment horizontal="center" vertical="center"/>
      <protection locked="0"/>
    </xf>
    <xf numFmtId="0" fontId="2" fillId="2" borderId="43" xfId="0" applyFont="1" applyFill="1" applyBorder="1" applyAlignment="1" applyProtection="1">
      <alignment horizontal="center" vertical="center"/>
      <protection locked="0"/>
    </xf>
    <xf numFmtId="2" fontId="1" fillId="3" borderId="0" xfId="0" applyNumberFormat="1" applyFont="1" applyFill="1" applyAlignment="1" applyProtection="1">
      <alignment horizontal="center" vertical="center"/>
      <protection hidden="1"/>
    </xf>
    <xf numFmtId="1" fontId="10" fillId="0" borderId="35" xfId="0" applyNumberFormat="1" applyFont="1" applyBorder="1" applyAlignment="1" applyProtection="1">
      <alignment horizontal="center" vertical="center"/>
      <protection hidden="1"/>
    </xf>
    <xf numFmtId="1" fontId="10" fillId="3" borderId="16" xfId="0" applyNumberFormat="1" applyFont="1" applyFill="1" applyBorder="1" applyAlignment="1" applyProtection="1">
      <alignment horizontal="center" vertical="center"/>
      <protection hidden="1"/>
    </xf>
    <xf numFmtId="1" fontId="10" fillId="0" borderId="15" xfId="0" applyNumberFormat="1" applyFont="1" applyBorder="1" applyAlignment="1" applyProtection="1">
      <alignment horizontal="center" vertical="center"/>
      <protection hidden="1"/>
    </xf>
    <xf numFmtId="1" fontId="10" fillId="0" borderId="16" xfId="0" applyNumberFormat="1" applyFont="1" applyBorder="1" applyAlignment="1" applyProtection="1">
      <alignment horizontal="center" vertical="center"/>
      <protection hidden="1"/>
    </xf>
    <xf numFmtId="1" fontId="10" fillId="3" borderId="56" xfId="0" applyNumberFormat="1" applyFont="1" applyFill="1" applyBorder="1" applyAlignment="1" applyProtection="1">
      <alignment horizontal="center" vertical="center"/>
      <protection hidden="1"/>
    </xf>
    <xf numFmtId="1" fontId="2" fillId="0" borderId="45" xfId="0" applyNumberFormat="1" applyFont="1" applyBorder="1" applyAlignment="1">
      <alignment horizontal="center" vertical="center"/>
    </xf>
    <xf numFmtId="1" fontId="2" fillId="2" borderId="44" xfId="0" applyNumberFormat="1" applyFont="1" applyFill="1" applyBorder="1" applyAlignment="1" applyProtection="1">
      <alignment horizontal="center" vertical="center"/>
      <protection locked="0"/>
    </xf>
    <xf numFmtId="1" fontId="2" fillId="2" borderId="18" xfId="0" applyNumberFormat="1" applyFont="1" applyFill="1" applyBorder="1" applyAlignment="1" applyProtection="1">
      <alignment horizontal="center" vertical="center"/>
      <protection locked="0"/>
    </xf>
    <xf numFmtId="1" fontId="10" fillId="0" borderId="7" xfId="0" applyNumberFormat="1" applyFont="1" applyBorder="1" applyAlignment="1" applyProtection="1">
      <alignment horizontal="center" vertical="center"/>
      <protection hidden="1"/>
    </xf>
    <xf numFmtId="1" fontId="10" fillId="0" borderId="15" xfId="0" applyNumberFormat="1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1" fontId="10" fillId="0" borderId="43" xfId="0" applyNumberFormat="1" applyFont="1" applyBorder="1" applyAlignment="1" applyProtection="1">
      <alignment horizontal="center" vertical="center"/>
      <protection hidden="1"/>
    </xf>
    <xf numFmtId="1" fontId="10" fillId="0" borderId="51" xfId="0" applyNumberFormat="1" applyFont="1" applyBorder="1" applyAlignment="1" applyProtection="1">
      <alignment horizontal="center" vertical="center"/>
      <protection hidden="1"/>
    </xf>
    <xf numFmtId="1" fontId="10" fillId="0" borderId="50" xfId="0" applyNumberFormat="1" applyFont="1" applyBorder="1" applyAlignment="1" applyProtection="1">
      <alignment horizontal="center" vertical="center"/>
      <protection hidden="1"/>
    </xf>
    <xf numFmtId="2" fontId="10" fillId="3" borderId="15" xfId="0" applyNumberFormat="1" applyFont="1" applyFill="1" applyBorder="1" applyAlignment="1" applyProtection="1">
      <alignment horizontal="center" vertical="center"/>
      <protection hidden="1"/>
    </xf>
    <xf numFmtId="1" fontId="10" fillId="3" borderId="45" xfId="0" applyNumberFormat="1" applyFont="1" applyFill="1" applyBorder="1" applyAlignment="1" applyProtection="1">
      <alignment horizontal="center" vertical="center"/>
      <protection hidden="1"/>
    </xf>
    <xf numFmtId="1" fontId="10" fillId="3" borderId="15" xfId="0" applyNumberFormat="1" applyFont="1" applyFill="1" applyBorder="1" applyAlignment="1" applyProtection="1">
      <alignment horizontal="center" vertical="center"/>
      <protection hidden="1"/>
    </xf>
    <xf numFmtId="1" fontId="10" fillId="3" borderId="46" xfId="0" applyNumberFormat="1" applyFont="1" applyFill="1" applyBorder="1" applyAlignment="1" applyProtection="1">
      <alignment horizontal="center" vertical="center"/>
      <protection hidden="1"/>
    </xf>
    <xf numFmtId="1" fontId="10" fillId="0" borderId="48" xfId="0" applyNumberFormat="1" applyFont="1" applyBorder="1" applyAlignment="1" applyProtection="1">
      <alignment horizontal="center" vertical="center"/>
      <protection hidden="1"/>
    </xf>
    <xf numFmtId="1" fontId="10" fillId="0" borderId="45" xfId="0" applyNumberFormat="1" applyFont="1" applyBorder="1" applyAlignment="1" applyProtection="1">
      <alignment horizontal="center" vertical="center"/>
      <protection hidden="1"/>
    </xf>
    <xf numFmtId="1" fontId="10" fillId="0" borderId="47" xfId="0" applyNumberFormat="1" applyFont="1" applyBorder="1" applyAlignment="1" applyProtection="1">
      <alignment horizontal="center" vertical="center"/>
      <protection hidden="1"/>
    </xf>
    <xf numFmtId="1" fontId="10" fillId="0" borderId="15" xfId="0" applyNumberFormat="1" applyFont="1" applyBorder="1" applyAlignment="1" applyProtection="1">
      <alignment horizontal="center" vertical="center"/>
      <protection locked="0"/>
    </xf>
    <xf numFmtId="1" fontId="10" fillId="3" borderId="34" xfId="0" applyNumberFormat="1" applyFont="1" applyFill="1" applyBorder="1" applyAlignment="1" applyProtection="1">
      <alignment horizontal="center" vertical="center"/>
      <protection hidden="1"/>
    </xf>
    <xf numFmtId="0" fontId="10" fillId="3" borderId="13" xfId="0" applyFont="1" applyFill="1" applyBorder="1"/>
    <xf numFmtId="0" fontId="10" fillId="3" borderId="17" xfId="0" applyFont="1" applyFill="1" applyBorder="1"/>
    <xf numFmtId="0" fontId="10" fillId="3" borderId="9" xfId="0" applyFont="1" applyFill="1" applyBorder="1"/>
    <xf numFmtId="0" fontId="2" fillId="3" borderId="18" xfId="0" applyFont="1" applyFill="1" applyBorder="1" applyAlignment="1" applyProtection="1">
      <alignment horizontal="center" vertical="center"/>
      <protection locked="0"/>
    </xf>
    <xf numFmtId="0" fontId="2" fillId="3" borderId="15" xfId="0" applyFont="1" applyFill="1" applyBorder="1" applyAlignment="1" applyProtection="1">
      <alignment horizontal="center" vertical="center"/>
      <protection locked="0"/>
    </xf>
    <xf numFmtId="0" fontId="2" fillId="3" borderId="15" xfId="0" applyFont="1" applyFill="1" applyBorder="1" applyAlignment="1">
      <alignment horizontal="center" vertical="center"/>
    </xf>
    <xf numFmtId="1" fontId="10" fillId="3" borderId="35" xfId="0" applyNumberFormat="1" applyFont="1" applyFill="1" applyBorder="1" applyAlignment="1" applyProtection="1">
      <alignment horizontal="center" vertical="center"/>
      <protection hidden="1"/>
    </xf>
    <xf numFmtId="0" fontId="11" fillId="3" borderId="15" xfId="0" applyFont="1" applyFill="1" applyBorder="1" applyAlignment="1">
      <alignment horizontal="center" vertical="center"/>
    </xf>
    <xf numFmtId="0" fontId="2" fillId="3" borderId="54" xfId="0" applyFont="1" applyFill="1" applyBorder="1" applyAlignment="1" applyProtection="1">
      <alignment horizontal="center" vertical="center"/>
      <protection locked="0"/>
    </xf>
    <xf numFmtId="0" fontId="2" fillId="3" borderId="52" xfId="0" applyFont="1" applyFill="1" applyBorder="1" applyAlignment="1" applyProtection="1">
      <alignment horizontal="center" vertical="center"/>
      <protection locked="0"/>
    </xf>
    <xf numFmtId="1" fontId="10" fillId="3" borderId="11" xfId="0" applyNumberFormat="1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2" fontId="10" fillId="3" borderId="11" xfId="0" applyNumberFormat="1" applyFont="1" applyFill="1" applyBorder="1" applyAlignment="1" applyProtection="1">
      <alignment horizontal="center" vertical="center"/>
      <protection hidden="1"/>
    </xf>
    <xf numFmtId="1" fontId="10" fillId="3" borderId="11" xfId="0" applyNumberFormat="1" applyFont="1" applyFill="1" applyBorder="1" applyAlignment="1" applyProtection="1">
      <alignment horizontal="center" vertical="center"/>
      <protection hidden="1"/>
    </xf>
    <xf numFmtId="1" fontId="10" fillId="3" borderId="52" xfId="0" applyNumberFormat="1" applyFont="1" applyFill="1" applyBorder="1" applyAlignment="1" applyProtection="1">
      <alignment horizontal="center" vertical="center"/>
      <protection hidden="1"/>
    </xf>
    <xf numFmtId="1" fontId="10" fillId="3" borderId="55" xfId="0" applyNumberFormat="1" applyFont="1" applyFill="1" applyBorder="1" applyAlignment="1" applyProtection="1">
      <alignment horizontal="center" vertical="center"/>
      <protection hidden="1"/>
    </xf>
    <xf numFmtId="1" fontId="10" fillId="3" borderId="57" xfId="0" applyNumberFormat="1" applyFont="1" applyFill="1" applyBorder="1" applyAlignment="1" applyProtection="1">
      <alignment horizontal="center" vertical="center"/>
      <protection hidden="1"/>
    </xf>
    <xf numFmtId="1" fontId="11" fillId="3" borderId="52" xfId="0" applyNumberFormat="1" applyFont="1" applyFill="1" applyBorder="1" applyAlignment="1" applyProtection="1">
      <alignment horizontal="center" vertical="center"/>
      <protection hidden="1"/>
    </xf>
    <xf numFmtId="0" fontId="10" fillId="3" borderId="10" xfId="0" applyFont="1" applyFill="1" applyBorder="1"/>
    <xf numFmtId="164" fontId="10" fillId="0" borderId="7" xfId="0" applyNumberFormat="1" applyFont="1" applyBorder="1" applyAlignment="1" applyProtection="1">
      <alignment horizontal="center" vertical="center"/>
      <protection hidden="1"/>
    </xf>
    <xf numFmtId="164" fontId="2" fillId="3" borderId="15" xfId="0" applyNumberFormat="1" applyFont="1" applyFill="1" applyBorder="1" applyAlignment="1" applyProtection="1">
      <alignment horizontal="center" vertical="center"/>
      <protection hidden="1"/>
    </xf>
    <xf numFmtId="164" fontId="10" fillId="3" borderId="15" xfId="0" applyNumberFormat="1" applyFont="1" applyFill="1" applyBorder="1" applyAlignment="1" applyProtection="1">
      <alignment horizontal="center" vertical="center"/>
      <protection hidden="1"/>
    </xf>
    <xf numFmtId="164" fontId="10" fillId="0" borderId="15" xfId="0" applyNumberFormat="1" applyFont="1" applyBorder="1" applyAlignment="1" applyProtection="1">
      <alignment horizontal="center" vertical="center"/>
      <protection locked="0"/>
    </xf>
    <xf numFmtId="164" fontId="10" fillId="3" borderId="52" xfId="0" applyNumberFormat="1" applyFont="1" applyFill="1" applyBorder="1" applyAlignment="1" applyProtection="1">
      <alignment horizontal="center" vertical="center"/>
      <protection hidden="1"/>
    </xf>
    <xf numFmtId="164" fontId="2" fillId="0" borderId="43" xfId="0" applyNumberFormat="1" applyFont="1" applyBorder="1" applyAlignment="1" applyProtection="1">
      <alignment horizontal="center" vertical="center"/>
      <protection hidden="1"/>
    </xf>
    <xf numFmtId="164" fontId="10" fillId="0" borderId="15" xfId="0" applyNumberFormat="1" applyFont="1" applyBorder="1" applyAlignment="1" applyProtection="1">
      <alignment horizontal="center" vertical="center"/>
      <protection hidden="1"/>
    </xf>
    <xf numFmtId="164" fontId="2" fillId="0" borderId="15" xfId="0" applyNumberFormat="1" applyFont="1" applyBorder="1" applyAlignment="1" applyProtection="1">
      <alignment horizontal="center" vertical="center"/>
      <protection hidden="1"/>
    </xf>
    <xf numFmtId="164" fontId="2" fillId="3" borderId="45" xfId="0" applyNumberFormat="1" applyFont="1" applyFill="1" applyBorder="1" applyAlignment="1" applyProtection="1">
      <alignment horizontal="center" vertical="center"/>
      <protection hidden="1"/>
    </xf>
    <xf numFmtId="164" fontId="10" fillId="3" borderId="45" xfId="0" applyNumberFormat="1" applyFont="1" applyFill="1" applyBorder="1" applyAlignment="1" applyProtection="1">
      <alignment horizontal="center" vertical="center"/>
      <protection hidden="1"/>
    </xf>
    <xf numFmtId="0" fontId="13" fillId="3" borderId="10" xfId="0" applyFont="1" applyFill="1" applyBorder="1" applyAlignment="1" applyProtection="1">
      <alignment vertical="center" wrapText="1"/>
      <protection locked="0"/>
    </xf>
    <xf numFmtId="0" fontId="12" fillId="3" borderId="8" xfId="0" applyFont="1" applyFill="1" applyBorder="1" applyAlignment="1">
      <alignment horizontal="center" vertical="center"/>
    </xf>
    <xf numFmtId="1" fontId="2" fillId="4" borderId="62" xfId="0" applyNumberFormat="1" applyFont="1" applyFill="1" applyBorder="1" applyAlignment="1" applyProtection="1">
      <alignment horizontal="center" vertical="center"/>
      <protection hidden="1"/>
    </xf>
    <xf numFmtId="0" fontId="0" fillId="5" borderId="27" xfId="0" applyFill="1" applyBorder="1" applyAlignment="1" applyProtection="1">
      <alignment horizontal="center" vertical="center"/>
      <protection locked="0"/>
    </xf>
    <xf numFmtId="0" fontId="2" fillId="2" borderId="62" xfId="0" applyFont="1" applyFill="1" applyBorder="1" applyAlignment="1" applyProtection="1">
      <alignment horizontal="center" vertical="center"/>
      <protection locked="0"/>
    </xf>
    <xf numFmtId="164" fontId="2" fillId="0" borderId="62" xfId="0" applyNumberFormat="1" applyFont="1" applyBorder="1" applyAlignment="1" applyProtection="1">
      <alignment horizontal="center" vertical="center"/>
      <protection hidden="1"/>
    </xf>
    <xf numFmtId="164" fontId="10" fillId="0" borderId="62" xfId="0" applyNumberFormat="1" applyFont="1" applyBorder="1" applyAlignment="1" applyProtection="1">
      <alignment horizontal="center" vertical="center"/>
      <protection hidden="1"/>
    </xf>
    <xf numFmtId="1" fontId="2" fillId="0" borderId="62" xfId="0" applyNumberFormat="1" applyFont="1" applyBorder="1" applyAlignment="1" applyProtection="1">
      <alignment horizontal="center" vertical="center"/>
      <protection hidden="1"/>
    </xf>
    <xf numFmtId="1" fontId="2" fillId="0" borderId="63" xfId="0" applyNumberFormat="1" applyFont="1" applyBorder="1" applyAlignment="1" applyProtection="1">
      <alignment horizontal="center" vertical="center"/>
      <protection hidden="1"/>
    </xf>
    <xf numFmtId="1" fontId="2" fillId="0" borderId="64" xfId="0" applyNumberFormat="1" applyFont="1" applyBorder="1" applyAlignment="1" applyProtection="1">
      <alignment horizontal="center" vertical="center"/>
      <protection hidden="1"/>
    </xf>
    <xf numFmtId="1" fontId="10" fillId="0" borderId="65" xfId="0" applyNumberFormat="1" applyFont="1" applyBorder="1" applyAlignment="1" applyProtection="1">
      <alignment horizontal="center" vertical="center"/>
      <protection hidden="1"/>
    </xf>
    <xf numFmtId="1" fontId="10" fillId="0" borderId="62" xfId="0" applyNumberFormat="1" applyFont="1" applyBorder="1" applyAlignment="1" applyProtection="1">
      <alignment horizontal="center" vertical="center"/>
      <protection hidden="1"/>
    </xf>
    <xf numFmtId="1" fontId="10" fillId="0" borderId="64" xfId="0" applyNumberFormat="1" applyFont="1" applyBorder="1" applyAlignment="1" applyProtection="1">
      <alignment horizontal="center" vertical="center"/>
      <protection hidden="1"/>
    </xf>
    <xf numFmtId="0" fontId="2" fillId="2" borderId="61" xfId="0" applyFont="1" applyFill="1" applyBorder="1" applyAlignment="1" applyProtection="1">
      <alignment horizontal="center" vertical="center"/>
      <protection locked="0"/>
    </xf>
    <xf numFmtId="0" fontId="10" fillId="0" borderId="62" xfId="0" applyFont="1" applyBorder="1" applyAlignment="1">
      <alignment horizontal="center" vertical="center"/>
    </xf>
    <xf numFmtId="0" fontId="9" fillId="6" borderId="23" xfId="0" applyFont="1" applyFill="1" applyBorder="1" applyAlignment="1">
      <alignment horizontal="center" textRotation="90" wrapText="1"/>
    </xf>
    <xf numFmtId="0" fontId="9" fillId="6" borderId="12" xfId="0" applyFont="1" applyFill="1" applyBorder="1" applyAlignment="1">
      <alignment horizontal="center" textRotation="90" wrapText="1"/>
    </xf>
    <xf numFmtId="0" fontId="9" fillId="6" borderId="5" xfId="0" applyFont="1" applyFill="1" applyBorder="1" applyAlignment="1">
      <alignment horizontal="center" textRotation="90" wrapText="1"/>
    </xf>
    <xf numFmtId="0" fontId="9" fillId="6" borderId="58" xfId="0" applyFont="1" applyFill="1" applyBorder="1" applyAlignment="1">
      <alignment horizontal="center" textRotation="90" wrapText="1"/>
    </xf>
    <xf numFmtId="0" fontId="1" fillId="5" borderId="23" xfId="0" applyFont="1" applyFill="1" applyBorder="1" applyAlignment="1">
      <alignment horizontal="center" textRotation="90" wrapText="1"/>
    </xf>
    <xf numFmtId="0" fontId="1" fillId="5" borderId="12" xfId="0" applyFont="1" applyFill="1" applyBorder="1" applyAlignment="1">
      <alignment horizontal="center" textRotation="90" wrapText="1"/>
    </xf>
    <xf numFmtId="0" fontId="1" fillId="5" borderId="5" xfId="0" applyFont="1" applyFill="1" applyBorder="1" applyAlignment="1">
      <alignment horizontal="center" textRotation="90" wrapText="1"/>
    </xf>
    <xf numFmtId="0" fontId="1" fillId="5" borderId="58" xfId="0" applyFont="1" applyFill="1" applyBorder="1" applyAlignment="1">
      <alignment horizontal="center" textRotation="90" wrapText="1"/>
    </xf>
    <xf numFmtId="0" fontId="9" fillId="6" borderId="53" xfId="0" applyFont="1" applyFill="1" applyBorder="1" applyAlignment="1">
      <alignment horizontal="center" textRotation="90" wrapText="1"/>
    </xf>
    <xf numFmtId="0" fontId="9" fillId="6" borderId="31" xfId="0" applyFont="1" applyFill="1" applyBorder="1" applyAlignment="1">
      <alignment horizontal="center" textRotation="90" wrapText="1"/>
    </xf>
    <xf numFmtId="0" fontId="9" fillId="6" borderId="32" xfId="0" applyFont="1" applyFill="1" applyBorder="1" applyAlignment="1">
      <alignment horizontal="center" textRotation="90" wrapText="1"/>
    </xf>
    <xf numFmtId="0" fontId="9" fillId="6" borderId="59" xfId="0" applyFont="1" applyFill="1" applyBorder="1" applyAlignment="1">
      <alignment horizontal="center" textRotation="90" wrapText="1"/>
    </xf>
    <xf numFmtId="0" fontId="9" fillId="6" borderId="24" xfId="0" applyFont="1" applyFill="1" applyBorder="1" applyAlignment="1">
      <alignment horizontal="center" textRotation="90" wrapText="1"/>
    </xf>
    <xf numFmtId="0" fontId="9" fillId="6" borderId="27" xfId="0" applyFont="1" applyFill="1" applyBorder="1" applyAlignment="1">
      <alignment horizontal="center" textRotation="90" wrapText="1"/>
    </xf>
    <xf numFmtId="0" fontId="9" fillId="6" borderId="30" xfId="0" applyFont="1" applyFill="1" applyBorder="1" applyAlignment="1">
      <alignment horizontal="center" textRotation="90" wrapText="1"/>
    </xf>
    <xf numFmtId="0" fontId="9" fillId="6" borderId="60" xfId="0" applyFont="1" applyFill="1" applyBorder="1" applyAlignment="1">
      <alignment horizontal="center" textRotation="90" wrapText="1"/>
    </xf>
    <xf numFmtId="0" fontId="1" fillId="3" borderId="29" xfId="0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 textRotation="90" wrapText="1"/>
    </xf>
    <xf numFmtId="0" fontId="1" fillId="7" borderId="23" xfId="0" applyFont="1" applyFill="1" applyBorder="1" applyAlignment="1">
      <alignment horizontal="center" textRotation="90" wrapText="1"/>
    </xf>
    <xf numFmtId="0" fontId="1" fillId="7" borderId="12" xfId="0" applyFont="1" applyFill="1" applyBorder="1" applyAlignment="1">
      <alignment horizontal="center" textRotation="90" wrapText="1"/>
    </xf>
    <xf numFmtId="0" fontId="1" fillId="7" borderId="5" xfId="0" applyFont="1" applyFill="1" applyBorder="1" applyAlignment="1">
      <alignment horizontal="center" textRotation="90" wrapText="1"/>
    </xf>
    <xf numFmtId="0" fontId="1" fillId="7" borderId="58" xfId="0" applyFont="1" applyFill="1" applyBorder="1" applyAlignment="1">
      <alignment horizontal="center" textRotation="90" wrapText="1"/>
    </xf>
    <xf numFmtId="14" fontId="0" fillId="5" borderId="41" xfId="0" applyNumberFormat="1" applyFill="1" applyBorder="1" applyAlignment="1" applyProtection="1">
      <alignment horizontal="center" vertical="center"/>
      <protection locked="0"/>
    </xf>
    <xf numFmtId="14" fontId="0" fillId="5" borderId="31" xfId="0" applyNumberFormat="1" applyFill="1" applyBorder="1" applyAlignment="1" applyProtection="1">
      <alignment horizontal="center" vertical="center"/>
      <protection locked="0"/>
    </xf>
    <xf numFmtId="0" fontId="0" fillId="5" borderId="39" xfId="0" applyFill="1" applyBorder="1" applyAlignment="1" applyProtection="1">
      <alignment horizontal="center" vertical="center"/>
      <protection locked="0"/>
    </xf>
    <xf numFmtId="0" fontId="0" fillId="5" borderId="40" xfId="0" applyFill="1" applyBorder="1" applyAlignment="1" applyProtection="1">
      <alignment horizontal="center" vertical="center"/>
      <protection locked="0"/>
    </xf>
    <xf numFmtId="0" fontId="6" fillId="3" borderId="3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textRotation="90" wrapText="1"/>
    </xf>
    <xf numFmtId="0" fontId="1" fillId="3" borderId="12" xfId="0" applyFont="1" applyFill="1" applyBorder="1" applyAlignment="1">
      <alignment horizontal="center" textRotation="90" wrapText="1"/>
    </xf>
    <xf numFmtId="0" fontId="1" fillId="3" borderId="5" xfId="0" applyFont="1" applyFill="1" applyBorder="1" applyAlignment="1">
      <alignment horizontal="center" textRotation="90" wrapText="1"/>
    </xf>
    <xf numFmtId="0" fontId="1" fillId="3" borderId="58" xfId="0" applyFont="1" applyFill="1" applyBorder="1" applyAlignment="1">
      <alignment horizontal="center" textRotation="90" wrapText="1"/>
    </xf>
    <xf numFmtId="0" fontId="1" fillId="9" borderId="23" xfId="0" applyFont="1" applyFill="1" applyBorder="1" applyAlignment="1">
      <alignment horizontal="center" textRotation="90" wrapText="1"/>
    </xf>
    <xf numFmtId="0" fontId="1" fillId="9" borderId="12" xfId="0" applyFont="1" applyFill="1" applyBorder="1" applyAlignment="1">
      <alignment horizontal="center" textRotation="90" wrapText="1"/>
    </xf>
    <xf numFmtId="0" fontId="1" fillId="9" borderId="5" xfId="0" applyFont="1" applyFill="1" applyBorder="1" applyAlignment="1">
      <alignment horizontal="center" textRotation="90" wrapText="1"/>
    </xf>
    <xf numFmtId="0" fontId="1" fillId="9" borderId="58" xfId="0" applyFont="1" applyFill="1" applyBorder="1" applyAlignment="1">
      <alignment horizontal="center" textRotation="90" wrapText="1"/>
    </xf>
    <xf numFmtId="0" fontId="1" fillId="8" borderId="23" xfId="0" applyFont="1" applyFill="1" applyBorder="1" applyAlignment="1">
      <alignment horizontal="center" textRotation="90" wrapText="1"/>
    </xf>
    <xf numFmtId="0" fontId="1" fillId="8" borderId="12" xfId="0" applyFont="1" applyFill="1" applyBorder="1" applyAlignment="1">
      <alignment horizontal="center" textRotation="90" wrapText="1"/>
    </xf>
    <xf numFmtId="0" fontId="1" fillId="8" borderId="5" xfId="0" applyFont="1" applyFill="1" applyBorder="1" applyAlignment="1">
      <alignment horizontal="center" textRotation="90" wrapText="1"/>
    </xf>
    <xf numFmtId="0" fontId="1" fillId="8" borderId="58" xfId="0" applyFont="1" applyFill="1" applyBorder="1" applyAlignment="1">
      <alignment horizontal="center" textRotation="90" wrapText="1"/>
    </xf>
    <xf numFmtId="0" fontId="1" fillId="3" borderId="23" xfId="0" applyFont="1" applyFill="1" applyBorder="1" applyAlignment="1">
      <alignment horizontal="center" textRotation="90" wrapText="1"/>
    </xf>
    <xf numFmtId="0" fontId="1" fillId="3" borderId="25" xfId="0" applyFont="1" applyFill="1" applyBorder="1" applyAlignment="1">
      <alignment horizontal="center" textRotation="90" wrapText="1"/>
    </xf>
    <xf numFmtId="0" fontId="1" fillId="3" borderId="24" xfId="0" applyFont="1" applyFill="1" applyBorder="1" applyAlignment="1">
      <alignment horizontal="center" textRotation="90" wrapText="1"/>
    </xf>
    <xf numFmtId="0" fontId="1" fillId="3" borderId="26" xfId="0" applyFont="1" applyFill="1" applyBorder="1" applyAlignment="1">
      <alignment horizontal="center" textRotation="90" wrapText="1"/>
    </xf>
    <xf numFmtId="14" fontId="0" fillId="5" borderId="41" xfId="0" applyNumberFormat="1" applyFill="1" applyBorder="1" applyAlignment="1">
      <alignment horizontal="center" vertical="center"/>
    </xf>
    <xf numFmtId="14" fontId="0" fillId="5" borderId="31" xfId="0" applyNumberFormat="1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1" fillId="3" borderId="0" xfId="0" applyFont="1" applyFill="1" applyAlignment="1">
      <alignment horizontal="center" textRotation="90" wrapText="1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F66CC"/>
      <color rgb="FF009F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5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1059089</xdr:colOff>
      <xdr:row>5</xdr:row>
      <xdr:rowOff>44224</xdr:rowOff>
    </xdr:from>
    <xdr:to>
      <xdr:col>2</xdr:col>
      <xdr:colOff>333942</xdr:colOff>
      <xdr:row>5</xdr:row>
      <xdr:rowOff>44224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8280B86A-7B62-41BA-9595-2EFA874E82CE}"/>
            </a:ext>
          </a:extLst>
        </xdr:cNvPr>
        <xdr:cNvCxnSpPr/>
      </xdr:nvCxnSpPr>
      <xdr:spPr>
        <a:xfrm>
          <a:off x="1059089" y="1949224"/>
          <a:ext cx="1770403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2400</xdr:colOff>
      <xdr:row>0</xdr:row>
      <xdr:rowOff>102397</xdr:rowOff>
    </xdr:from>
    <xdr:to>
      <xdr:col>9</xdr:col>
      <xdr:colOff>466043</xdr:colOff>
      <xdr:row>9</xdr:row>
      <xdr:rowOff>335808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8D98573-9C6E-444D-BD26-39713FC93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950" y="102397"/>
          <a:ext cx="5140418" cy="3656061"/>
        </a:xfrm>
        <a:prstGeom prst="rect">
          <a:avLst/>
        </a:prstGeom>
      </xdr:spPr>
    </xdr:pic>
    <xdr:clientData/>
  </xdr:twoCellAnchor>
  <xdr:twoCellAnchor editAs="oneCell">
    <xdr:from>
      <xdr:col>11</xdr:col>
      <xdr:colOff>335642</xdr:colOff>
      <xdr:row>0</xdr:row>
      <xdr:rowOff>99786</xdr:rowOff>
    </xdr:from>
    <xdr:to>
      <xdr:col>20</xdr:col>
      <xdr:colOff>235715</xdr:colOff>
      <xdr:row>9</xdr:row>
      <xdr:rowOff>334736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785D3B8C-6577-410F-8735-1FF3E4350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8992" y="99786"/>
          <a:ext cx="5135647" cy="3657600"/>
        </a:xfrm>
        <a:prstGeom prst="rect">
          <a:avLst/>
        </a:prstGeom>
      </xdr:spPr>
    </xdr:pic>
    <xdr:clientData/>
  </xdr:twoCellAnchor>
  <xdr:twoCellAnchor editAs="oneCell">
    <xdr:from>
      <xdr:col>0</xdr:col>
      <xdr:colOff>1351643</xdr:colOff>
      <xdr:row>3</xdr:row>
      <xdr:rowOff>290286</xdr:rowOff>
    </xdr:from>
    <xdr:to>
      <xdr:col>0</xdr:col>
      <xdr:colOff>1916548</xdr:colOff>
      <xdr:row>4</xdr:row>
      <xdr:rowOff>322293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6A11638E-5298-43E1-B3B9-D677CFDF9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5F5F5"/>
            </a:clrFrom>
            <a:clrTo>
              <a:srgbClr val="F5F5F5">
                <a:alpha val="0"/>
              </a:srgbClr>
            </a:clrTo>
          </a:clrChange>
        </a:blip>
        <a:stretch>
          <a:fillRect/>
        </a:stretch>
      </xdr:blipFill>
      <xdr:spPr>
        <a:xfrm rot="20964620">
          <a:off x="1351643" y="1433286"/>
          <a:ext cx="563728" cy="413007"/>
        </a:xfrm>
        <a:prstGeom prst="rect">
          <a:avLst/>
        </a:prstGeom>
      </xdr:spPr>
    </xdr:pic>
    <xdr:clientData/>
  </xdr:twoCellAnchor>
  <xdr:twoCellAnchor editAs="oneCell">
    <xdr:from>
      <xdr:col>0</xdr:col>
      <xdr:colOff>145143</xdr:colOff>
      <xdr:row>0</xdr:row>
      <xdr:rowOff>108857</xdr:rowOff>
    </xdr:from>
    <xdr:to>
      <xdr:col>2</xdr:col>
      <xdr:colOff>544286</xdr:colOff>
      <xdr:row>2</xdr:row>
      <xdr:rowOff>177381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77C4DB48-2474-0B02-D3B6-8B4F6FADE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143" y="108857"/>
          <a:ext cx="3410857" cy="830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102392</xdr:colOff>
      <xdr:row>0</xdr:row>
      <xdr:rowOff>123826</xdr:rowOff>
    </xdr:from>
    <xdr:to>
      <xdr:col>1</xdr:col>
      <xdr:colOff>86606</xdr:colOff>
      <xdr:row>2</xdr:row>
      <xdr:rowOff>234829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21D61055-E77D-8B19-D768-3631C875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2392" y="123826"/>
          <a:ext cx="1984037" cy="873003"/>
        </a:xfrm>
        <a:prstGeom prst="rect">
          <a:avLst/>
        </a:prstGeom>
      </xdr:spPr>
    </xdr:pic>
    <xdr:clientData/>
  </xdr:twoCellAnchor>
  <xdr:twoCellAnchor>
    <xdr:from>
      <xdr:col>0</xdr:col>
      <xdr:colOff>1059089</xdr:colOff>
      <xdr:row>5</xdr:row>
      <xdr:rowOff>44224</xdr:rowOff>
    </xdr:from>
    <xdr:to>
      <xdr:col>2</xdr:col>
      <xdr:colOff>333942</xdr:colOff>
      <xdr:row>5</xdr:row>
      <xdr:rowOff>44224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5DF5D160-9B3C-B31C-5E55-BA5724C6DA16}"/>
            </a:ext>
          </a:extLst>
        </xdr:cNvPr>
        <xdr:cNvCxnSpPr/>
      </xdr:nvCxnSpPr>
      <xdr:spPr>
        <a:xfrm>
          <a:off x="1059089" y="1949224"/>
          <a:ext cx="1370353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2400</xdr:colOff>
      <xdr:row>0</xdr:row>
      <xdr:rowOff>102397</xdr:rowOff>
    </xdr:from>
    <xdr:to>
      <xdr:col>9</xdr:col>
      <xdr:colOff>466043</xdr:colOff>
      <xdr:row>9</xdr:row>
      <xdr:rowOff>329458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17B202D-4304-A0B8-8353-41EDAC4B4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1312" y="102397"/>
          <a:ext cx="5147702" cy="3656061"/>
        </a:xfrm>
        <a:prstGeom prst="rect">
          <a:avLst/>
        </a:prstGeom>
      </xdr:spPr>
    </xdr:pic>
    <xdr:clientData/>
  </xdr:twoCellAnchor>
  <xdr:twoCellAnchor editAs="oneCell">
    <xdr:from>
      <xdr:col>11</xdr:col>
      <xdr:colOff>335642</xdr:colOff>
      <xdr:row>0</xdr:row>
      <xdr:rowOff>99786</xdr:rowOff>
    </xdr:from>
    <xdr:to>
      <xdr:col>20</xdr:col>
      <xdr:colOff>242065</xdr:colOff>
      <xdr:row>9</xdr:row>
      <xdr:rowOff>328386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1CF846C-2080-4298-BD29-5E06C0D60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5642" y="99786"/>
          <a:ext cx="5376493" cy="3657600"/>
        </a:xfrm>
        <a:prstGeom prst="rect">
          <a:avLst/>
        </a:prstGeom>
      </xdr:spPr>
    </xdr:pic>
    <xdr:clientData/>
  </xdr:twoCellAnchor>
  <xdr:twoCellAnchor editAs="oneCell">
    <xdr:from>
      <xdr:col>0</xdr:col>
      <xdr:colOff>1351643</xdr:colOff>
      <xdr:row>3</xdr:row>
      <xdr:rowOff>290286</xdr:rowOff>
    </xdr:from>
    <xdr:to>
      <xdr:col>1</xdr:col>
      <xdr:colOff>846</xdr:colOff>
      <xdr:row>4</xdr:row>
      <xdr:rowOff>322293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F60F0A07-C373-4AD0-A948-14C75F6BC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5F5F5"/>
            </a:clrFrom>
            <a:clrTo>
              <a:srgbClr val="F5F5F5">
                <a:alpha val="0"/>
              </a:srgbClr>
            </a:clrTo>
          </a:clrChange>
        </a:blip>
        <a:stretch>
          <a:fillRect/>
        </a:stretch>
      </xdr:blipFill>
      <xdr:spPr>
        <a:xfrm rot="20964620">
          <a:off x="1351643" y="1433286"/>
          <a:ext cx="618770" cy="4130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676275</xdr:colOff>
      <xdr:row>2</xdr:row>
      <xdr:rowOff>114300</xdr:rowOff>
    </xdr:from>
    <xdr:to>
      <xdr:col>4</xdr:col>
      <xdr:colOff>85725</xdr:colOff>
      <xdr:row>4</xdr:row>
      <xdr:rowOff>104775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2283F0AE-7100-3BC2-E40C-8C48FBC64032}"/>
            </a:ext>
          </a:extLst>
        </xdr:cNvPr>
        <xdr:cNvSpPr/>
      </xdr:nvSpPr>
      <xdr:spPr>
        <a:xfrm>
          <a:off x="2200275" y="504825"/>
          <a:ext cx="933450" cy="3810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1</xdr:col>
      <xdr:colOff>19050</xdr:colOff>
      <xdr:row>9</xdr:row>
      <xdr:rowOff>76200</xdr:rowOff>
    </xdr:from>
    <xdr:to>
      <xdr:col>4</xdr:col>
      <xdr:colOff>352098</xdr:colOff>
      <xdr:row>20</xdr:row>
      <xdr:rowOff>114033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E2190A95-B544-3542-DEF4-59891FD8E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" y="1809750"/>
          <a:ext cx="2619048" cy="21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01B14-B1DA-4939-A65D-B875227AD817}">
  <sheetPr codeName="Tabelle1">
    <pageSetUpPr fitToPage="1"/>
  </sheetPr>
  <dimension ref="A1:Y100"/>
  <sheetViews>
    <sheetView windowProtection="1" tabSelected="1" zoomScale="120" zoomScaleNormal="120" zoomScaleSheetLayoutView="85" workbookViewId="0">
      <selection activeCell="AF32" sqref="AF32:AK38"/>
    </sheetView>
  </sheetViews>
  <sheetFormatPr baseColWidth="10" defaultColWidth="9.1640625" defaultRowHeight="15" x14ac:dyDescent="0.2"/>
  <cols>
    <col min="1" max="1" width="30.83203125" customWidth="1"/>
    <col min="2" max="3" width="8.6640625" customWidth="1"/>
    <col min="4" max="4" width="17.83203125" customWidth="1"/>
    <col min="5" max="23" width="8.6640625" customWidth="1"/>
    <col min="25" max="25" width="14.83203125" bestFit="1" customWidth="1"/>
  </cols>
  <sheetData>
    <row r="1" spans="1:25" s="2" customFormat="1" ht="30" customHeight="1" x14ac:dyDescent="0.2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152">
        <v>45800</v>
      </c>
      <c r="V1" s="153"/>
      <c r="W1" s="118" t="s">
        <v>84</v>
      </c>
    </row>
    <row r="2" spans="1:25" s="2" customFormat="1" ht="30" customHeight="1" thickBot="1" x14ac:dyDescent="0.25">
      <c r="A2" s="47"/>
      <c r="U2" s="154" t="str">
        <f>HLOOKUP(W2,Daten!$AC$1:$AE$24,Daten!AB24,0)</f>
        <v>Sprache</v>
      </c>
      <c r="V2" s="155"/>
      <c r="W2" s="36" t="s">
        <v>6</v>
      </c>
    </row>
    <row r="3" spans="1:25" s="2" customFormat="1" ht="30" customHeight="1" x14ac:dyDescent="0.2">
      <c r="A3" s="47"/>
      <c r="U3" s="46"/>
      <c r="V3" s="46"/>
      <c r="W3" s="48"/>
    </row>
    <row r="4" spans="1:25" s="2" customFormat="1" ht="30" customHeight="1" x14ac:dyDescent="0.2">
      <c r="A4" s="47"/>
      <c r="W4" s="49"/>
    </row>
    <row r="5" spans="1:25" s="2" customFormat="1" ht="30" customHeight="1" x14ac:dyDescent="0.2">
      <c r="A5" s="47"/>
      <c r="W5" s="49"/>
    </row>
    <row r="6" spans="1:25" s="2" customFormat="1" ht="30" customHeight="1" x14ac:dyDescent="0.2">
      <c r="A6" s="47"/>
      <c r="W6" s="49"/>
    </row>
    <row r="7" spans="1:25" s="2" customFormat="1" ht="30" customHeight="1" x14ac:dyDescent="0.2">
      <c r="A7" s="47"/>
      <c r="W7" s="49"/>
    </row>
    <row r="8" spans="1:25" s="2" customFormat="1" ht="30" customHeight="1" x14ac:dyDescent="0.2">
      <c r="A8" s="47"/>
      <c r="W8" s="49"/>
    </row>
    <row r="9" spans="1:25" s="2" customFormat="1" ht="30" customHeight="1" x14ac:dyDescent="0.2">
      <c r="A9" s="40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43"/>
    </row>
    <row r="10" spans="1:25" s="2" customFormat="1" ht="30" customHeight="1" thickBot="1" x14ac:dyDescent="0.25">
      <c r="A10" s="41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4"/>
    </row>
    <row r="11" spans="1:25" s="2" customFormat="1" ht="30" customHeight="1" thickBot="1" x14ac:dyDescent="0.25">
      <c r="A11" s="156" t="str">
        <f>HLOOKUP(W2,Daten!$AC$1:$AE$22,Daten!AB3,0)</f>
        <v>Berechnung der Höhe und Tiefe einer Veranda</v>
      </c>
      <c r="B11" s="157"/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8"/>
      <c r="S11" s="156" t="str">
        <f>HLOOKUP(W2,Daten!$AC$1:$AE$23,Daten!AB23,0)</f>
        <v>Berechnung der Fensterelemente</v>
      </c>
      <c r="T11" s="157"/>
      <c r="U11" s="157"/>
      <c r="V11" s="157"/>
      <c r="W11" s="158"/>
    </row>
    <row r="12" spans="1:25" s="2" customFormat="1" ht="35.25" customHeight="1" thickBot="1" x14ac:dyDescent="0.25">
      <c r="A12" s="15"/>
      <c r="B12" s="134" t="str">
        <f>HLOOKUP(W2,Daten!$AC$1:$AE$26,Daten!AB4,0)</f>
        <v>Höhe -  Unterkante Rinne [mm] (H3)</v>
      </c>
      <c r="C12" s="159" t="str">
        <f>HLOOKUP(W2,Daten!$AC$1:$AE$22,Daten!AB5,0)</f>
        <v>Bestelltiefe [mm]</v>
      </c>
      <c r="D12" s="134" t="str">
        <f>HLOOKUP(W2,Daten!$AC$1:$AE$26,Daten!AB6,0)</f>
        <v>Höhe -  Unterkante Wandprofil [mm] (H1)</v>
      </c>
      <c r="E12" s="163" t="str">
        <f>HLOOKUP(W2,Daten!$AC$1:$AE$26,Daten!AB25,0)</f>
        <v>Dachüberstand [mm] (U1)</v>
      </c>
      <c r="F12" s="167" t="str">
        <f>HLOOKUP(W2,Daten!$AC$1:$AE$26,Daten!AB7,0)</f>
        <v>Neigung [°] (α)</v>
      </c>
      <c r="G12" s="167" t="str">
        <f>HLOOKUP(W2,Daten!$AC$1:$AE$27,Daten!AB27,0)</f>
        <v>Neigung [mm/m]</v>
      </c>
      <c r="H12" s="167" t="str">
        <f>HLOOKUP(W2,Daten!$AC$1:$AE$26,Daten!AB26,0)</f>
        <v>Neigung Glas Ultraline [°] (β)</v>
      </c>
      <c r="I12" s="130" t="str">
        <f>HLOOKUP(W2,Daten!$AC$1:$AE$22,Daten!AB8,0)</f>
        <v>Tiefe - Hinterkante Wandanschluss bis Mitte Pfosten [mm] (D1)</v>
      </c>
      <c r="J12" s="148" t="str">
        <f>HLOOKUP(W2,Daten!$AC$1:$AE$22,Daten!AB9,0)</f>
        <v>Länge - Sparren Mitte [mm] (S1)</v>
      </c>
      <c r="K12" s="148" t="str">
        <f>HLOOKUP(W2,Daten!$AC$1:$AE$22,Daten!AB10,0)</f>
        <v>Länge - Sparren Außen [mm] (S1)</v>
      </c>
      <c r="L12" s="130" t="str">
        <f>HLOOKUP(W2,Daten!$AC$1:$AE$22,Daten!AB11,0)</f>
        <v>Tiefe - Hinterkante Wandanschluss bis Rinne Standard [mm] (D3)</v>
      </c>
      <c r="M12" s="130" t="str">
        <f>HLOOKUP(W2,Daten!$AC$1:$AE$22,Daten!AB12,0)</f>
        <v>Tiefe - Hinterkante Wandanschluss bis Zierleiste rund [mm] (D3)</v>
      </c>
      <c r="N12" s="130" t="str">
        <f>HLOOKUP(W2,Daten!$AC$1:$AE$22,Daten!AB13,0)</f>
        <v>Tiefe - Hinterkante Wandanschluss bis Zierleiste klassik [mm] (D3)</v>
      </c>
      <c r="O12" s="130" t="str">
        <f>HLOOKUP(W2,Daten!$AC$1:$AE$22,Daten!AB14,0)</f>
        <v>Tiefe - Hinterkante Wandanschluss bis Innenkante Pfosten [mm] (D2)</v>
      </c>
      <c r="P12" s="134" t="str">
        <f>HLOOKUP(W2,Daten!$AC$1:$AE$22,Daten!AB15,0)</f>
        <v>Höhe - Oberkante Wandprofil [mm] (H2)</v>
      </c>
      <c r="Q12" s="138" t="str">
        <f>HLOOKUP(W2,Daten!$AC$1:$AE$22,Daten!AB21,0)</f>
        <v>Hinterkante Wandanschluss bis Außenkante Pfosten [mm] (D4)</v>
      </c>
      <c r="R12" s="142" t="str">
        <f>HLOOKUP(W2,Daten!$AC$1:$AE$22,Daten!AB22,0)</f>
        <v>Hinterkante Wandanschluss bis Außenkante Pfosten [mm] (D5)</v>
      </c>
      <c r="S12" s="146" t="str">
        <f>HLOOKUP(W2,Daten!$AC$1:$AE$22,Daten!AB16,0)</f>
        <v>Fensterhöhe Rinnenseite [mm]</v>
      </c>
      <c r="T12" s="171" t="str">
        <f>HLOOKUP(W2,Daten!$AC$1:$AE$22,Daten!AB17,0)</f>
        <v>Fensterbreite [mm]</v>
      </c>
      <c r="U12" s="171" t="str">
        <f>HLOOKUP(W2,Daten!$AC$1:$AE$22,Daten!AB18,0)</f>
        <v>Keilhöhe Rinnenseite [mm]</v>
      </c>
      <c r="V12" s="171" t="str">
        <f>HLOOKUP(W2,Daten!$AC$1:$AE$22,Daten!AB19,0)</f>
        <v>Keilhöhe Hausseite [mm]</v>
      </c>
      <c r="W12" s="173" t="str">
        <f>HLOOKUP(W2,Daten!$AC$1:$AE$22,Daten!AB20,0)</f>
        <v>Fensterhöhe Hausseite [mm]</v>
      </c>
      <c r="X12" s="23"/>
      <c r="Y12" s="23"/>
    </row>
    <row r="13" spans="1:25" s="2" customFormat="1" ht="35.25" customHeight="1" x14ac:dyDescent="0.2">
      <c r="A13" s="3"/>
      <c r="B13" s="135"/>
      <c r="C13" s="160"/>
      <c r="D13" s="135"/>
      <c r="E13" s="164"/>
      <c r="F13" s="168"/>
      <c r="G13" s="168"/>
      <c r="H13" s="168"/>
      <c r="I13" s="131"/>
      <c r="J13" s="149"/>
      <c r="K13" s="149"/>
      <c r="L13" s="131"/>
      <c r="M13" s="131"/>
      <c r="N13" s="131"/>
      <c r="O13" s="131"/>
      <c r="P13" s="135"/>
      <c r="Q13" s="139"/>
      <c r="R13" s="143"/>
      <c r="S13" s="146"/>
      <c r="T13" s="171"/>
      <c r="U13" s="171"/>
      <c r="V13" s="171"/>
      <c r="W13" s="173"/>
      <c r="X13" s="23"/>
      <c r="Y13" s="23"/>
    </row>
    <row r="14" spans="1:25" s="2" customFormat="1" ht="35.25" customHeight="1" x14ac:dyDescent="0.2">
      <c r="A14" s="3"/>
      <c r="B14" s="136"/>
      <c r="C14" s="161"/>
      <c r="D14" s="136"/>
      <c r="E14" s="165"/>
      <c r="F14" s="169"/>
      <c r="G14" s="169"/>
      <c r="H14" s="169"/>
      <c r="I14" s="132"/>
      <c r="J14" s="150"/>
      <c r="K14" s="150"/>
      <c r="L14" s="132"/>
      <c r="M14" s="132"/>
      <c r="N14" s="132"/>
      <c r="O14" s="132"/>
      <c r="P14" s="136"/>
      <c r="Q14" s="140"/>
      <c r="R14" s="144"/>
      <c r="S14" s="147"/>
      <c r="T14" s="172"/>
      <c r="U14" s="172"/>
      <c r="V14" s="172"/>
      <c r="W14" s="174"/>
      <c r="X14" s="23"/>
      <c r="Y14" s="23"/>
    </row>
    <row r="15" spans="1:25" s="2" customFormat="1" ht="35.25" customHeight="1" x14ac:dyDescent="0.2">
      <c r="A15" s="3"/>
      <c r="B15" s="136"/>
      <c r="C15" s="161"/>
      <c r="D15" s="136"/>
      <c r="E15" s="165"/>
      <c r="F15" s="169"/>
      <c r="G15" s="169"/>
      <c r="H15" s="169"/>
      <c r="I15" s="132"/>
      <c r="J15" s="150"/>
      <c r="K15" s="150"/>
      <c r="L15" s="132"/>
      <c r="M15" s="132"/>
      <c r="N15" s="132"/>
      <c r="O15" s="132"/>
      <c r="P15" s="136"/>
      <c r="Q15" s="140"/>
      <c r="R15" s="144"/>
      <c r="S15" s="147"/>
      <c r="T15" s="172"/>
      <c r="U15" s="172"/>
      <c r="V15" s="172"/>
      <c r="W15" s="174"/>
      <c r="X15" s="23"/>
      <c r="Y15" s="23"/>
    </row>
    <row r="16" spans="1:25" s="2" customFormat="1" ht="35.25" customHeight="1" x14ac:dyDescent="0.2">
      <c r="A16" s="3"/>
      <c r="B16" s="136"/>
      <c r="C16" s="161"/>
      <c r="D16" s="136"/>
      <c r="E16" s="165"/>
      <c r="F16" s="169"/>
      <c r="G16" s="169"/>
      <c r="H16" s="169"/>
      <c r="I16" s="132"/>
      <c r="J16" s="150"/>
      <c r="K16" s="150"/>
      <c r="L16" s="132"/>
      <c r="M16" s="132"/>
      <c r="N16" s="132"/>
      <c r="O16" s="132"/>
      <c r="P16" s="136"/>
      <c r="Q16" s="140"/>
      <c r="R16" s="144"/>
      <c r="S16" s="147"/>
      <c r="T16" s="172"/>
      <c r="U16" s="172"/>
      <c r="V16" s="172"/>
      <c r="W16" s="174"/>
      <c r="X16" s="23"/>
      <c r="Y16" s="23"/>
    </row>
    <row r="17" spans="1:25" s="2" customFormat="1" ht="35.25" customHeight="1" x14ac:dyDescent="0.2">
      <c r="A17" s="116" t="s">
        <v>0</v>
      </c>
      <c r="B17" s="137"/>
      <c r="C17" s="162"/>
      <c r="D17" s="137"/>
      <c r="E17" s="166"/>
      <c r="F17" s="170"/>
      <c r="G17" s="170"/>
      <c r="H17" s="170"/>
      <c r="I17" s="133"/>
      <c r="J17" s="151"/>
      <c r="K17" s="151"/>
      <c r="L17" s="133"/>
      <c r="M17" s="133"/>
      <c r="N17" s="133"/>
      <c r="O17" s="133"/>
      <c r="P17" s="137"/>
      <c r="Q17" s="141"/>
      <c r="R17" s="145"/>
      <c r="S17" s="147"/>
      <c r="T17" s="172"/>
      <c r="U17" s="172"/>
      <c r="V17" s="172"/>
      <c r="W17" s="174"/>
      <c r="X17" s="32"/>
      <c r="Y17" s="24"/>
    </row>
    <row r="18" spans="1:25" s="2" customFormat="1" ht="54.75" customHeight="1" thickBot="1" x14ac:dyDescent="0.25">
      <c r="A18" s="115" t="s">
        <v>93</v>
      </c>
      <c r="B18" s="128">
        <v>2250</v>
      </c>
      <c r="C18" s="119">
        <v>4050</v>
      </c>
      <c r="D18" s="119">
        <v>2700</v>
      </c>
      <c r="E18" s="129" t="s">
        <v>31</v>
      </c>
      <c r="F18" s="120">
        <f>DEGREES(ASIN(((D18+1.6)-(B18+47.5))/(J18+20.4)))</f>
        <v>5.8415739565829989</v>
      </c>
      <c r="G18" s="120">
        <f>TAN(RADIANS(F18))*1000</f>
        <v>102.309438987017</v>
      </c>
      <c r="H18" s="121" t="s">
        <v>31</v>
      </c>
      <c r="I18" s="117">
        <f>COS(RADIANS(F18))*J18+78.4+20.4+33.1</f>
        <v>4061.3881249444503</v>
      </c>
      <c r="J18" s="122">
        <f>C18-100</f>
        <v>3950</v>
      </c>
      <c r="K18" s="122" t="s">
        <v>31</v>
      </c>
      <c r="L18" s="122">
        <f>COS(RADIANS(F18))*J18+78.4+20.4+33.1+112</f>
        <v>4173.3881249444503</v>
      </c>
      <c r="M18" s="122">
        <f>COS(RADIANS(F18))*J18+78.4+20.4+33.1+115.3</f>
        <v>4176.6881249444505</v>
      </c>
      <c r="N18" s="122">
        <f>COS(RADIANS(F18))*J18+78.4+20.4+33.1+157.6</f>
        <v>4218.9881249444506</v>
      </c>
      <c r="O18" s="122">
        <f>COS(RADIANS(F18))*J18+23.4+20.4+33.1</f>
        <v>4006.3881249444503</v>
      </c>
      <c r="P18" s="122">
        <f>D18+162.2</f>
        <v>2862.2</v>
      </c>
      <c r="Q18" s="123">
        <f>COS(RADIANS(F18))*J18+133.4+20.4+33.1</f>
        <v>4116.3881249444503</v>
      </c>
      <c r="R18" s="124">
        <f>COS(RADIANS(F18))*J18+133.4+20.4+33.1+117</f>
        <v>4233.3881249444503</v>
      </c>
      <c r="S18" s="125">
        <f>B18+U18</f>
        <v>2289</v>
      </c>
      <c r="T18" s="126">
        <f>O18</f>
        <v>4006.3881249444503</v>
      </c>
      <c r="U18" s="126">
        <v>39</v>
      </c>
      <c r="V18" s="126">
        <f>D18-B18</f>
        <v>450</v>
      </c>
      <c r="W18" s="127">
        <f>D18</f>
        <v>2700</v>
      </c>
      <c r="X18" s="7"/>
      <c r="Y18" s="24"/>
    </row>
    <row r="19" spans="1:25" s="2" customFormat="1" ht="15" customHeight="1" x14ac:dyDescent="0.2">
      <c r="X19" s="7"/>
      <c r="Y19" s="62"/>
    </row>
    <row r="20" spans="1:25" s="2" customFormat="1" ht="15" customHeight="1" x14ac:dyDescent="0.2">
      <c r="X20" s="7"/>
      <c r="Y20" s="62"/>
    </row>
    <row r="21" spans="1:25" s="2" customFormat="1" ht="15" customHeight="1" x14ac:dyDescent="0.2">
      <c r="A21" s="2" t="s">
        <v>82</v>
      </c>
      <c r="X21" s="7"/>
      <c r="Y21" s="24"/>
    </row>
    <row r="22" spans="1:25" s="2" customFormat="1" ht="15" customHeight="1" x14ac:dyDescent="0.2">
      <c r="X22" s="7"/>
      <c r="Y22" s="24"/>
    </row>
    <row r="23" spans="1:25" s="2" customFormat="1" ht="15" customHeight="1" x14ac:dyDescent="0.2">
      <c r="X23" s="7"/>
      <c r="Y23" s="24"/>
    </row>
    <row r="24" spans="1:25" s="2" customFormat="1" ht="15" customHeight="1" x14ac:dyDescent="0.2">
      <c r="X24" s="7"/>
      <c r="Y24" s="19"/>
    </row>
    <row r="25" spans="1:25" s="2" customFormat="1" ht="15" customHeight="1" x14ac:dyDescent="0.2">
      <c r="X25" s="7"/>
      <c r="Y25" s="19"/>
    </row>
    <row r="26" spans="1:25" s="2" customFormat="1" ht="15" customHeight="1" x14ac:dyDescent="0.2">
      <c r="X26" s="7"/>
      <c r="Y26" s="19"/>
    </row>
    <row r="27" spans="1:25" s="2" customFormat="1" x14ac:dyDescent="0.2"/>
    <row r="28" spans="1:25" s="2" customFormat="1" x14ac:dyDescent="0.2"/>
    <row r="29" spans="1:25" s="2" customFormat="1" x14ac:dyDescent="0.2"/>
    <row r="30" spans="1:25" s="2" customFormat="1" x14ac:dyDescent="0.2"/>
    <row r="31" spans="1:25" s="2" customFormat="1" x14ac:dyDescent="0.2"/>
    <row r="32" spans="1:25" s="2" customFormat="1" x14ac:dyDescent="0.2"/>
    <row r="33" s="2" customFormat="1" x14ac:dyDescent="0.2"/>
    <row r="34" s="2" customFormat="1" x14ac:dyDescent="0.2"/>
    <row r="35" s="2" customFormat="1" x14ac:dyDescent="0.2"/>
    <row r="36" s="2" customFormat="1" x14ac:dyDescent="0.2"/>
    <row r="37" s="2" customFormat="1" x14ac:dyDescent="0.2"/>
    <row r="38" s="2" customFormat="1" x14ac:dyDescent="0.2"/>
    <row r="39" s="2" customFormat="1" x14ac:dyDescent="0.2"/>
    <row r="40" s="2" customFormat="1" x14ac:dyDescent="0.2"/>
    <row r="41" s="2" customFormat="1" x14ac:dyDescent="0.2"/>
    <row r="42" s="2" customFormat="1" x14ac:dyDescent="0.2"/>
    <row r="43" s="2" customFormat="1" x14ac:dyDescent="0.2"/>
    <row r="44" s="2" customFormat="1" x14ac:dyDescent="0.2"/>
    <row r="45" s="2" customFormat="1" x14ac:dyDescent="0.2"/>
    <row r="46" s="2" customFormat="1" x14ac:dyDescent="0.2"/>
    <row r="47" s="2" customFormat="1" x14ac:dyDescent="0.2"/>
    <row r="48" s="2" customFormat="1" x14ac:dyDescent="0.2"/>
    <row r="49" s="2" customFormat="1" x14ac:dyDescent="0.2"/>
    <row r="50" s="2" customFormat="1" x14ac:dyDescent="0.2"/>
    <row r="51" s="2" customFormat="1" x14ac:dyDescent="0.2"/>
    <row r="52" s="2" customFormat="1" x14ac:dyDescent="0.2"/>
    <row r="53" s="2" customFormat="1" x14ac:dyDescent="0.2"/>
    <row r="54" s="2" customFormat="1" x14ac:dyDescent="0.2"/>
    <row r="55" s="2" customFormat="1" x14ac:dyDescent="0.2"/>
    <row r="56" s="2" customFormat="1" x14ac:dyDescent="0.2"/>
    <row r="57" s="2" customFormat="1" x14ac:dyDescent="0.2"/>
    <row r="58" s="2" customFormat="1" x14ac:dyDescent="0.2"/>
    <row r="59" s="2" customFormat="1" x14ac:dyDescent="0.2"/>
    <row r="60" s="2" customFormat="1" x14ac:dyDescent="0.2"/>
    <row r="61" s="2" customFormat="1" x14ac:dyDescent="0.2"/>
    <row r="62" s="2" customFormat="1" x14ac:dyDescent="0.2"/>
    <row r="63" s="2" customFormat="1" x14ac:dyDescent="0.2"/>
    <row r="64" s="2" customFormat="1" x14ac:dyDescent="0.2"/>
    <row r="65" s="2" customFormat="1" x14ac:dyDescent="0.2"/>
    <row r="66" s="2" customFormat="1" x14ac:dyDescent="0.2"/>
    <row r="67" s="2" customFormat="1" x14ac:dyDescent="0.2"/>
    <row r="68" s="2" customFormat="1" x14ac:dyDescent="0.2"/>
    <row r="69" s="2" customFormat="1" x14ac:dyDescent="0.2"/>
    <row r="70" s="2" customFormat="1" x14ac:dyDescent="0.2"/>
    <row r="71" s="2" customFormat="1" x14ac:dyDescent="0.2"/>
    <row r="72" s="2" customFormat="1" x14ac:dyDescent="0.2"/>
    <row r="73" s="2" customFormat="1" x14ac:dyDescent="0.2"/>
    <row r="74" s="2" customFormat="1" x14ac:dyDescent="0.2"/>
    <row r="75" s="2" customFormat="1" x14ac:dyDescent="0.2"/>
    <row r="76" s="2" customFormat="1" x14ac:dyDescent="0.2"/>
    <row r="77" s="2" customFormat="1" x14ac:dyDescent="0.2"/>
    <row r="78" s="2" customFormat="1" x14ac:dyDescent="0.2"/>
    <row r="79" s="2" customFormat="1" x14ac:dyDescent="0.2"/>
    <row r="80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</sheetData>
  <sheetProtection sheet="1" objects="1" scenarios="1" autoFilter="0" pivotTables="0"/>
  <mergeCells count="26">
    <mergeCell ref="U1:V1"/>
    <mergeCell ref="U2:V2"/>
    <mergeCell ref="A11:R11"/>
    <mergeCell ref="S11:W11"/>
    <mergeCell ref="B12:B17"/>
    <mergeCell ref="C12:C17"/>
    <mergeCell ref="D12:D17"/>
    <mergeCell ref="E12:E17"/>
    <mergeCell ref="F12:F17"/>
    <mergeCell ref="H12:H17"/>
    <mergeCell ref="U12:U17"/>
    <mergeCell ref="V12:V17"/>
    <mergeCell ref="W12:W17"/>
    <mergeCell ref="G12:G17"/>
    <mergeCell ref="T12:T17"/>
    <mergeCell ref="I12:I17"/>
    <mergeCell ref="J12:J17"/>
    <mergeCell ref="K12:K17"/>
    <mergeCell ref="L12:L17"/>
    <mergeCell ref="M12:M17"/>
    <mergeCell ref="N12:N17"/>
    <mergeCell ref="O12:O17"/>
    <mergeCell ref="P12:P17"/>
    <mergeCell ref="Q12:Q17"/>
    <mergeCell ref="R12:R17"/>
    <mergeCell ref="S12:S17"/>
  </mergeCells>
  <pageMargins left="0.7" right="0.7" top="0.75" bottom="0.75" header="0.3" footer="0.3"/>
  <pageSetup paperSize="9" scale="74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2AA6647-33D6-472A-B7B9-08841B77288D}">
          <x14:formula1>
            <xm:f>Daten!$A$18:$A$34</xm:f>
          </x14:formula1>
          <xm:sqref>A18</xm:sqref>
        </x14:dataValidation>
        <x14:dataValidation type="list" allowBlank="1" showInputMessage="1" showErrorMessage="1" xr:uid="{5E5220A3-E934-4B61-93C3-6C2B65E2CA49}">
          <x14:formula1>
            <xm:f>Daten!$AA$2:$AA$4</xm:f>
          </x14:formula1>
          <xm:sqref>W2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A1:AE100"/>
  <sheetViews>
    <sheetView windowProtection="1" topLeftCell="A13" zoomScale="70" zoomScaleNormal="70" zoomScaleSheetLayoutView="85" workbookViewId="0">
      <selection activeCell="A31" sqref="A31"/>
    </sheetView>
  </sheetViews>
  <sheetFormatPr baseColWidth="10" defaultColWidth="9.1640625" defaultRowHeight="15" x14ac:dyDescent="0.2"/>
  <cols>
    <col min="1" max="1" width="28.6640625" bestFit="1" customWidth="1"/>
    <col min="2" max="3" width="8.6640625" customWidth="1"/>
    <col min="4" max="4" width="17.83203125" customWidth="1"/>
    <col min="5" max="23" width="8.6640625" customWidth="1"/>
    <col min="25" max="25" width="14.83203125" bestFit="1" customWidth="1"/>
    <col min="27" max="28" width="9.1640625" hidden="1" customWidth="1"/>
    <col min="29" max="31" width="50.6640625" hidden="1" customWidth="1"/>
  </cols>
  <sheetData>
    <row r="1" spans="1:31" s="2" customFormat="1" ht="30" customHeight="1" x14ac:dyDescent="0.2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175" t="s">
        <v>83</v>
      </c>
      <c r="V1" s="176"/>
      <c r="W1" s="16" t="s">
        <v>84</v>
      </c>
      <c r="AB1" s="17"/>
      <c r="AC1" s="18" t="s">
        <v>7</v>
      </c>
      <c r="AD1" s="18" t="s">
        <v>6</v>
      </c>
      <c r="AE1" s="18" t="s">
        <v>8</v>
      </c>
    </row>
    <row r="2" spans="1:31" s="2" customFormat="1" ht="30" customHeight="1" thickBot="1" x14ac:dyDescent="0.25">
      <c r="A2" s="47"/>
      <c r="U2" s="177" t="str">
        <f>HLOOKUP(W2,Daten!$AC$1:$AE$24,Daten!AB24,0)</f>
        <v>Sprache</v>
      </c>
      <c r="V2" s="178"/>
      <c r="W2" s="36" t="s">
        <v>6</v>
      </c>
      <c r="AA2" s="2" t="s">
        <v>6</v>
      </c>
      <c r="AB2" s="19">
        <f>HLOOKUP(Daten!$W$2,AC1:AE2,2,0)</f>
        <v>2</v>
      </c>
      <c r="AC2" s="18">
        <v>1</v>
      </c>
      <c r="AD2" s="18">
        <v>2</v>
      </c>
      <c r="AE2" s="18">
        <v>3</v>
      </c>
    </row>
    <row r="3" spans="1:31" s="2" customFormat="1" ht="30" customHeight="1" x14ac:dyDescent="0.2">
      <c r="A3" s="47"/>
      <c r="U3" s="46"/>
      <c r="V3" s="46"/>
      <c r="W3" s="48"/>
      <c r="AA3" s="2" t="s">
        <v>7</v>
      </c>
      <c r="AB3" s="17">
        <v>3</v>
      </c>
      <c r="AC3" s="20" t="s">
        <v>1</v>
      </c>
      <c r="AD3" s="20" t="s">
        <v>26</v>
      </c>
      <c r="AE3" s="20" t="s">
        <v>27</v>
      </c>
    </row>
    <row r="4" spans="1:31" s="2" customFormat="1" ht="30" customHeight="1" x14ac:dyDescent="0.2">
      <c r="A4" s="47"/>
      <c r="W4" s="49"/>
      <c r="AA4" s="2" t="s">
        <v>8</v>
      </c>
      <c r="AB4" s="17">
        <f t="shared" ref="AB4:AB8" si="0">AB3+1</f>
        <v>4</v>
      </c>
      <c r="AC4" s="20" t="s">
        <v>35</v>
      </c>
      <c r="AD4" s="20" t="s">
        <v>37</v>
      </c>
      <c r="AE4" s="20" t="s">
        <v>47</v>
      </c>
    </row>
    <row r="5" spans="1:31" s="2" customFormat="1" ht="30" customHeight="1" x14ac:dyDescent="0.2">
      <c r="A5" s="47"/>
      <c r="W5" s="49"/>
      <c r="AB5" s="17">
        <f t="shared" si="0"/>
        <v>5</v>
      </c>
      <c r="AC5" s="20" t="s">
        <v>34</v>
      </c>
      <c r="AD5" s="20" t="s">
        <v>12</v>
      </c>
      <c r="AE5" s="20" t="s">
        <v>18</v>
      </c>
    </row>
    <row r="6" spans="1:31" s="2" customFormat="1" ht="30" customHeight="1" x14ac:dyDescent="0.2">
      <c r="A6" s="47"/>
      <c r="W6" s="49"/>
      <c r="AB6" s="17">
        <f t="shared" si="0"/>
        <v>6</v>
      </c>
      <c r="AC6" s="20" t="s">
        <v>36</v>
      </c>
      <c r="AD6" s="20" t="s">
        <v>38</v>
      </c>
      <c r="AE6" s="20" t="s">
        <v>48</v>
      </c>
    </row>
    <row r="7" spans="1:31" s="2" customFormat="1" ht="30" customHeight="1" x14ac:dyDescent="0.2">
      <c r="A7" s="47"/>
      <c r="W7" s="49"/>
      <c r="AB7" s="17">
        <f t="shared" si="0"/>
        <v>7</v>
      </c>
      <c r="AC7" s="20" t="s">
        <v>67</v>
      </c>
      <c r="AD7" s="20" t="s">
        <v>68</v>
      </c>
      <c r="AE7" s="20" t="s">
        <v>69</v>
      </c>
    </row>
    <row r="8" spans="1:31" s="2" customFormat="1" ht="30" customHeight="1" x14ac:dyDescent="0.2">
      <c r="A8" s="47"/>
      <c r="W8" s="49"/>
      <c r="AB8" s="17">
        <f t="shared" si="0"/>
        <v>8</v>
      </c>
      <c r="AC8" s="20" t="s">
        <v>75</v>
      </c>
      <c r="AD8" s="20" t="s">
        <v>73</v>
      </c>
      <c r="AE8" s="20" t="s">
        <v>74</v>
      </c>
    </row>
    <row r="9" spans="1:31" s="2" customFormat="1" ht="30" customHeight="1" x14ac:dyDescent="0.2">
      <c r="A9" s="40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43"/>
      <c r="AB9" s="17">
        <f t="shared" ref="AB9:AB24" si="1">AB8+1</f>
        <v>9</v>
      </c>
      <c r="AC9" s="20" t="s">
        <v>39</v>
      </c>
      <c r="AD9" s="20" t="s">
        <v>57</v>
      </c>
      <c r="AE9" s="20" t="s">
        <v>59</v>
      </c>
    </row>
    <row r="10" spans="1:31" s="2" customFormat="1" ht="30" customHeight="1" thickBot="1" x14ac:dyDescent="0.25">
      <c r="A10" s="41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4"/>
      <c r="AB10" s="17">
        <f t="shared" si="1"/>
        <v>10</v>
      </c>
      <c r="AC10" s="20" t="s">
        <v>40</v>
      </c>
      <c r="AD10" s="20" t="s">
        <v>58</v>
      </c>
      <c r="AE10" s="20" t="s">
        <v>60</v>
      </c>
    </row>
    <row r="11" spans="1:31" s="2" customFormat="1" ht="30" customHeight="1" thickBot="1" x14ac:dyDescent="0.25">
      <c r="A11" s="156" t="str">
        <f>HLOOKUP(W2,Daten!$AC$1:$AE$22,Daten!AB3,0)</f>
        <v>Berechnung der Höhe und Tiefe einer Veranda</v>
      </c>
      <c r="B11" s="157"/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8"/>
      <c r="S11" s="156" t="str">
        <f>HLOOKUP(W2,Daten!$AC$1:$AE$23,Daten!AB23,0)</f>
        <v>Berechnung der Fensterelemente</v>
      </c>
      <c r="T11" s="157"/>
      <c r="U11" s="157"/>
      <c r="V11" s="157"/>
      <c r="W11" s="158"/>
      <c r="AB11" s="17">
        <f t="shared" si="1"/>
        <v>11</v>
      </c>
      <c r="AC11" s="20" t="s">
        <v>41</v>
      </c>
      <c r="AD11" s="20" t="s">
        <v>76</v>
      </c>
      <c r="AE11" s="20" t="s">
        <v>49</v>
      </c>
    </row>
    <row r="12" spans="1:31" s="2" customFormat="1" ht="35.25" customHeight="1" thickBot="1" x14ac:dyDescent="0.25">
      <c r="A12" s="15"/>
      <c r="B12" s="134" t="str">
        <f>HLOOKUP(W2,Daten!$AC$1:$AE$26,Daten!AB4,0)</f>
        <v>Höhe -  Unterkante Rinne [mm] (H3)</v>
      </c>
      <c r="C12" s="159" t="str">
        <f>HLOOKUP(W2,Daten!$AC$1:$AE$22,Daten!AB5,0)</f>
        <v>Bestelltiefe [mm]</v>
      </c>
      <c r="D12" s="134" t="str">
        <f>HLOOKUP(W2,Daten!$AC$1:$AE$26,Daten!AB6,0)</f>
        <v>Höhe -  Unterkante Wandprofil [mm] (H1)</v>
      </c>
      <c r="E12" s="163" t="str">
        <f>HLOOKUP(W2,Daten!$AC$1:$AE$26,Daten!AB25,0)</f>
        <v>Dachüberstand [mm] (U1)</v>
      </c>
      <c r="F12" s="167" t="str">
        <f>HLOOKUP(W2,Daten!$AC$1:$AE$26,Daten!AB7,0)</f>
        <v>Neigung [°] (α)</v>
      </c>
      <c r="G12" s="167" t="str">
        <f>HLOOKUP(W2,Daten!$AC$1:$AE$27,Daten!AB27,0)</f>
        <v>Neigung [mm/m]</v>
      </c>
      <c r="H12" s="167" t="str">
        <f>HLOOKUP(W2,Daten!$AC$1:$AE$26,Daten!AB26,0)</f>
        <v>Neigung Glas Ultraline [°] (β)</v>
      </c>
      <c r="I12" s="130" t="str">
        <f>HLOOKUP(W2,Daten!$AC$1:$AE$22,Daten!AB8,0)</f>
        <v>Tiefe - Hinterkante Wandanschluss bis Mitte Pfosten [mm] (D1)</v>
      </c>
      <c r="J12" s="148" t="str">
        <f>HLOOKUP(W2,Daten!$AC$1:$AE$22,Daten!AB9,0)</f>
        <v>Länge - Sparren Mitte [mm] (S1)</v>
      </c>
      <c r="K12" s="148" t="str">
        <f>HLOOKUP(W2,Daten!$AC$1:$AE$22,Daten!AB10,0)</f>
        <v>Länge - Sparren Außen [mm] (S1)</v>
      </c>
      <c r="L12" s="130" t="str">
        <f>HLOOKUP(W2,Daten!$AC$1:$AE$22,Daten!AB11,0)</f>
        <v>Tiefe - Hinterkante Wandanschluss bis Rinne Standard [mm] (D3)</v>
      </c>
      <c r="M12" s="130" t="str">
        <f>HLOOKUP(W2,Daten!$AC$1:$AE$22,Daten!AB12,0)</f>
        <v>Tiefe - Hinterkante Wandanschluss bis Zierleiste rund [mm] (D3)</v>
      </c>
      <c r="N12" s="130" t="str">
        <f>HLOOKUP(W2,Daten!$AC$1:$AE$22,Daten!AB13,0)</f>
        <v>Tiefe - Hinterkante Wandanschluss bis Zierleiste klassik [mm] (D3)</v>
      </c>
      <c r="O12" s="130" t="str">
        <f>HLOOKUP(W2,Daten!$AC$1:$AE$22,Daten!AB14,0)</f>
        <v>Tiefe - Hinterkante Wandanschluss bis Innenkante Pfosten [mm] (D2)</v>
      </c>
      <c r="P12" s="134" t="str">
        <f>HLOOKUP(W2,Daten!$AC$1:$AE$22,Daten!AB15,0)</f>
        <v>Höhe - Oberkante Wandprofil [mm] (H2)</v>
      </c>
      <c r="Q12" s="138" t="str">
        <f>HLOOKUP(W2,Daten!$AC$1:$AE$22,Daten!AB21,0)</f>
        <v>Hinterkante Wandanschluss bis Außenkante Pfosten [mm] (D4)</v>
      </c>
      <c r="R12" s="142" t="str">
        <f>HLOOKUP(W2,Daten!$AC$1:$AE$22,Daten!AB22,0)</f>
        <v>Hinterkante Wandanschluss bis Außenkante Pfosten [mm] (D5)</v>
      </c>
      <c r="S12" s="146" t="str">
        <f>HLOOKUP(W2,Daten!$AC$1:$AE$22,Daten!AB16,0)</f>
        <v>Fensterhöhe Rinnenseite [mm]</v>
      </c>
      <c r="T12" s="171" t="str">
        <f>HLOOKUP(W2,Daten!$AC$1:$AE$22,Daten!AB17,0)</f>
        <v>Fensterbreite [mm]</v>
      </c>
      <c r="U12" s="171" t="str">
        <f>HLOOKUP(W2,Daten!$AC$1:$AE$22,Daten!AB18,0)</f>
        <v>Keilhöhe Rinnenseite [mm]</v>
      </c>
      <c r="V12" s="171" t="str">
        <f>HLOOKUP(W2,Daten!$AC$1:$AE$22,Daten!AB19,0)</f>
        <v>Keilhöhe Hausseite [mm]</v>
      </c>
      <c r="W12" s="173" t="str">
        <f>HLOOKUP(W2,Daten!$AC$1:$AE$22,Daten!AB20,0)</f>
        <v>Fensterhöhe Hausseite [mm]</v>
      </c>
      <c r="X12" s="23"/>
      <c r="Y12" s="23"/>
      <c r="AB12" s="17">
        <f t="shared" si="1"/>
        <v>12</v>
      </c>
      <c r="AC12" s="20" t="s">
        <v>45</v>
      </c>
      <c r="AD12" s="20" t="s">
        <v>77</v>
      </c>
      <c r="AE12" s="20" t="s">
        <v>50</v>
      </c>
    </row>
    <row r="13" spans="1:31" s="2" customFormat="1" ht="35.25" customHeight="1" x14ac:dyDescent="0.2">
      <c r="A13" s="3"/>
      <c r="B13" s="135"/>
      <c r="C13" s="160"/>
      <c r="D13" s="135"/>
      <c r="E13" s="164"/>
      <c r="F13" s="168"/>
      <c r="G13" s="168"/>
      <c r="H13" s="168"/>
      <c r="I13" s="131"/>
      <c r="J13" s="149"/>
      <c r="K13" s="149"/>
      <c r="L13" s="131"/>
      <c r="M13" s="131"/>
      <c r="N13" s="131"/>
      <c r="O13" s="131"/>
      <c r="P13" s="135"/>
      <c r="Q13" s="139"/>
      <c r="R13" s="143"/>
      <c r="S13" s="146"/>
      <c r="T13" s="171"/>
      <c r="U13" s="171"/>
      <c r="V13" s="171"/>
      <c r="W13" s="173"/>
      <c r="X13" s="23"/>
      <c r="Y13" s="23"/>
      <c r="AB13" s="17">
        <f t="shared" si="1"/>
        <v>13</v>
      </c>
      <c r="AC13" s="20" t="s">
        <v>46</v>
      </c>
      <c r="AD13" s="20" t="s">
        <v>78</v>
      </c>
      <c r="AE13" s="20" t="s">
        <v>51</v>
      </c>
    </row>
    <row r="14" spans="1:31" s="2" customFormat="1" ht="35.25" customHeight="1" x14ac:dyDescent="0.2">
      <c r="A14" s="3"/>
      <c r="B14" s="136"/>
      <c r="C14" s="161"/>
      <c r="D14" s="136"/>
      <c r="E14" s="165"/>
      <c r="F14" s="169"/>
      <c r="G14" s="169"/>
      <c r="H14" s="169"/>
      <c r="I14" s="132"/>
      <c r="J14" s="150"/>
      <c r="K14" s="150"/>
      <c r="L14" s="132"/>
      <c r="M14" s="132"/>
      <c r="N14" s="132"/>
      <c r="O14" s="132"/>
      <c r="P14" s="136"/>
      <c r="Q14" s="140"/>
      <c r="R14" s="144"/>
      <c r="S14" s="147"/>
      <c r="T14" s="172"/>
      <c r="U14" s="172"/>
      <c r="V14" s="172"/>
      <c r="W14" s="174"/>
      <c r="X14" s="23"/>
      <c r="Y14" s="23"/>
      <c r="AB14" s="17">
        <f t="shared" si="1"/>
        <v>14</v>
      </c>
      <c r="AC14" s="20" t="s">
        <v>42</v>
      </c>
      <c r="AD14" s="20" t="s">
        <v>79</v>
      </c>
      <c r="AE14" s="20" t="s">
        <v>52</v>
      </c>
    </row>
    <row r="15" spans="1:31" s="2" customFormat="1" ht="35.25" customHeight="1" x14ac:dyDescent="0.2">
      <c r="A15" s="3"/>
      <c r="B15" s="136"/>
      <c r="C15" s="161"/>
      <c r="D15" s="136"/>
      <c r="E15" s="165"/>
      <c r="F15" s="169"/>
      <c r="G15" s="169"/>
      <c r="H15" s="169"/>
      <c r="I15" s="132"/>
      <c r="J15" s="150"/>
      <c r="K15" s="150"/>
      <c r="L15" s="132"/>
      <c r="M15" s="132"/>
      <c r="N15" s="132"/>
      <c r="O15" s="132"/>
      <c r="P15" s="136"/>
      <c r="Q15" s="140"/>
      <c r="R15" s="144"/>
      <c r="S15" s="147"/>
      <c r="T15" s="172"/>
      <c r="U15" s="172"/>
      <c r="V15" s="172"/>
      <c r="W15" s="174"/>
      <c r="X15" s="23"/>
      <c r="Y15" s="23"/>
      <c r="AB15" s="17">
        <f t="shared" si="1"/>
        <v>15</v>
      </c>
      <c r="AC15" s="20" t="s">
        <v>43</v>
      </c>
      <c r="AD15" s="20" t="s">
        <v>44</v>
      </c>
      <c r="AE15" s="20" t="s">
        <v>53</v>
      </c>
    </row>
    <row r="16" spans="1:31" s="2" customFormat="1" ht="35.25" customHeight="1" x14ac:dyDescent="0.2">
      <c r="A16" s="3"/>
      <c r="B16" s="136"/>
      <c r="C16" s="161"/>
      <c r="D16" s="136"/>
      <c r="E16" s="165"/>
      <c r="F16" s="169"/>
      <c r="G16" s="169"/>
      <c r="H16" s="169"/>
      <c r="I16" s="132"/>
      <c r="J16" s="150"/>
      <c r="K16" s="150"/>
      <c r="L16" s="132"/>
      <c r="M16" s="132"/>
      <c r="N16" s="132"/>
      <c r="O16" s="132"/>
      <c r="P16" s="136"/>
      <c r="Q16" s="140"/>
      <c r="R16" s="144"/>
      <c r="S16" s="147"/>
      <c r="T16" s="172"/>
      <c r="U16" s="172"/>
      <c r="V16" s="172"/>
      <c r="W16" s="174"/>
      <c r="X16" s="23"/>
      <c r="Y16" s="23"/>
      <c r="AB16" s="17">
        <f t="shared" si="1"/>
        <v>16</v>
      </c>
      <c r="AC16" s="20" t="s">
        <v>9</v>
      </c>
      <c r="AD16" s="20" t="s">
        <v>13</v>
      </c>
      <c r="AE16" s="20" t="s">
        <v>19</v>
      </c>
    </row>
    <row r="17" spans="1:31" s="2" customFormat="1" ht="35.25" customHeight="1" x14ac:dyDescent="0.25">
      <c r="A17" s="4" t="s">
        <v>0</v>
      </c>
      <c r="B17" s="136"/>
      <c r="C17" s="161"/>
      <c r="D17" s="136"/>
      <c r="E17" s="165"/>
      <c r="F17" s="169"/>
      <c r="G17" s="169"/>
      <c r="H17" s="169"/>
      <c r="I17" s="132"/>
      <c r="J17" s="150"/>
      <c r="K17" s="150"/>
      <c r="L17" s="132"/>
      <c r="M17" s="132"/>
      <c r="N17" s="132"/>
      <c r="O17" s="132"/>
      <c r="P17" s="136"/>
      <c r="Q17" s="140"/>
      <c r="R17" s="144"/>
      <c r="S17" s="147"/>
      <c r="T17" s="172"/>
      <c r="U17" s="172"/>
      <c r="V17" s="172"/>
      <c r="W17" s="174"/>
      <c r="X17" s="32"/>
      <c r="Y17" s="24"/>
      <c r="Z17" s="25"/>
      <c r="AB17" s="17">
        <f t="shared" si="1"/>
        <v>17</v>
      </c>
      <c r="AC17" s="20" t="s">
        <v>10</v>
      </c>
      <c r="AD17" s="20" t="s">
        <v>14</v>
      </c>
      <c r="AE17" s="20" t="s">
        <v>20</v>
      </c>
    </row>
    <row r="18" spans="1:31" s="2" customFormat="1" ht="30" customHeight="1" x14ac:dyDescent="0.25">
      <c r="A18" s="86" t="s">
        <v>89</v>
      </c>
      <c r="B18" s="1">
        <v>2250</v>
      </c>
      <c r="C18" s="6">
        <v>5000</v>
      </c>
      <c r="D18" s="71">
        <f>B18+J18*SIN(RADIANS(F18))+18+2</f>
        <v>2951.9481947043205</v>
      </c>
      <c r="E18" s="21" t="s">
        <v>31</v>
      </c>
      <c r="F18" s="105">
        <v>8</v>
      </c>
      <c r="G18" s="105">
        <f>TAN(RADIANS(F18))*1000</f>
        <v>140.54083470239146</v>
      </c>
      <c r="H18" s="110" t="s">
        <v>31</v>
      </c>
      <c r="I18" s="14">
        <f>J18*COS(RADIANS(F18))+57+34</f>
        <v>4943.3135368336943</v>
      </c>
      <c r="J18" s="27">
        <f>C18-100</f>
        <v>4900</v>
      </c>
      <c r="K18" s="27" t="s">
        <v>31</v>
      </c>
      <c r="L18" s="27">
        <f>I18+70</f>
        <v>5013.3135368336943</v>
      </c>
      <c r="M18" s="29" t="s">
        <v>31</v>
      </c>
      <c r="N18" s="29" t="s">
        <v>31</v>
      </c>
      <c r="O18" s="27">
        <f>I18-55</f>
        <v>4888.3135368336943</v>
      </c>
      <c r="P18" s="27">
        <f>D18+157</f>
        <v>3108.9481947043205</v>
      </c>
      <c r="Q18" s="38">
        <f>I18+55</f>
        <v>4998.3135368336943</v>
      </c>
      <c r="R18" s="13">
        <f>Q18+117</f>
        <v>5115.3135368336943</v>
      </c>
      <c r="S18" s="51">
        <f>B18+15.7</f>
        <v>2265.6999999999998</v>
      </c>
      <c r="T18" s="27">
        <f>O18</f>
        <v>4888.3135368336943</v>
      </c>
      <c r="U18" s="27">
        <v>39</v>
      </c>
      <c r="V18" s="27">
        <f>D18-B18+23.8</f>
        <v>725.74819470432044</v>
      </c>
      <c r="W18" s="52">
        <f>D18</f>
        <v>2951.9481947043205</v>
      </c>
      <c r="X18" s="7"/>
      <c r="Y18" s="24"/>
      <c r="Z18" s="26"/>
      <c r="AB18" s="17">
        <f t="shared" si="1"/>
        <v>18</v>
      </c>
      <c r="AC18" s="20" t="s">
        <v>2</v>
      </c>
      <c r="AD18" s="20" t="s">
        <v>15</v>
      </c>
      <c r="AE18" s="20" t="s">
        <v>21</v>
      </c>
    </row>
    <row r="19" spans="1:31" s="2" customFormat="1" ht="30" customHeight="1" x14ac:dyDescent="0.25">
      <c r="A19" s="86" t="s">
        <v>90</v>
      </c>
      <c r="B19" s="60">
        <v>2250</v>
      </c>
      <c r="C19" s="61">
        <v>5000</v>
      </c>
      <c r="D19" s="68">
        <f>C19*SIN(RADIANS(F19))-TAN(RADIANS(F19))*56.8+B19+34</f>
        <v>2971.8827853892317</v>
      </c>
      <c r="E19" s="73" t="s">
        <v>31</v>
      </c>
      <c r="F19" s="106">
        <v>8</v>
      </c>
      <c r="G19" s="106">
        <f t="shared" ref="G19:G24" si="2">TAN(RADIANS(F19))*1000</f>
        <v>140.54083470239146</v>
      </c>
      <c r="H19" s="111" t="s">
        <v>31</v>
      </c>
      <c r="I19" s="14">
        <f>COS(RADIANS(F19))*(C19+2.5+2.5)</f>
        <v>4956.29168405156</v>
      </c>
      <c r="J19" s="29">
        <f>C19-100</f>
        <v>4900</v>
      </c>
      <c r="K19" s="29" t="s">
        <v>31</v>
      </c>
      <c r="L19" s="29">
        <f>I19+89.6</f>
        <v>5045.8916840515603</v>
      </c>
      <c r="M19" s="29" t="s">
        <v>31</v>
      </c>
      <c r="N19" s="29" t="s">
        <v>31</v>
      </c>
      <c r="O19" s="29">
        <f>I19-55</f>
        <v>4901.29168405156</v>
      </c>
      <c r="P19" s="29">
        <f>D19+157.18</f>
        <v>3129.0627853892315</v>
      </c>
      <c r="Q19" s="30">
        <f>O19+110</f>
        <v>5011.29168405156</v>
      </c>
      <c r="R19" s="31">
        <f>Q19+117</f>
        <v>5128.29168405156</v>
      </c>
      <c r="S19" s="75">
        <f t="shared" ref="S19:S24" si="3">B19+U19</f>
        <v>2284</v>
      </c>
      <c r="T19" s="74">
        <f>O19</f>
        <v>4901.29168405156</v>
      </c>
      <c r="U19" s="74">
        <v>34</v>
      </c>
      <c r="V19" s="74">
        <f t="shared" ref="V19:V24" si="4">D19-B19</f>
        <v>721.88278538923169</v>
      </c>
      <c r="W19" s="76">
        <f>D19</f>
        <v>2971.8827853892317</v>
      </c>
      <c r="X19" s="7"/>
      <c r="Y19" s="62"/>
      <c r="Z19" s="19"/>
      <c r="AB19" s="17">
        <f t="shared" si="1"/>
        <v>19</v>
      </c>
      <c r="AC19" s="20" t="s">
        <v>3</v>
      </c>
      <c r="AD19" s="20" t="s">
        <v>16</v>
      </c>
      <c r="AE19" s="20" t="s">
        <v>22</v>
      </c>
    </row>
    <row r="20" spans="1:31" s="2" customFormat="1" ht="30" customHeight="1" x14ac:dyDescent="0.25">
      <c r="A20" s="86" t="s">
        <v>88</v>
      </c>
      <c r="B20" s="12">
        <v>2250</v>
      </c>
      <c r="C20" s="8">
        <v>4050</v>
      </c>
      <c r="D20" s="8">
        <v>2700</v>
      </c>
      <c r="E20" s="33" t="s">
        <v>31</v>
      </c>
      <c r="F20" s="106">
        <f>DEGREES(ASIN(((D20+1.6)-(B20+47.5))/(J20+20.4)))</f>
        <v>5.8415739565829989</v>
      </c>
      <c r="G20" s="106">
        <f t="shared" si="2"/>
        <v>102.309438987017</v>
      </c>
      <c r="H20" s="112" t="s">
        <v>31</v>
      </c>
      <c r="I20" s="14">
        <f>COS(RADIANS(F20))*J20+78.4+20.4+33.1</f>
        <v>4061.3881249444503</v>
      </c>
      <c r="J20" s="29">
        <f>C20-100</f>
        <v>3950</v>
      </c>
      <c r="K20" s="29" t="s">
        <v>31</v>
      </c>
      <c r="L20" s="29">
        <f>COS(RADIANS(F20))*J20+78.4+20.4+33.1+112</f>
        <v>4173.3881249444503</v>
      </c>
      <c r="M20" s="29">
        <f>COS(RADIANS(F20))*J20+78.4+20.4+33.1+115.3</f>
        <v>4176.6881249444505</v>
      </c>
      <c r="N20" s="29">
        <f>COS(RADIANS(F20))*J20+78.4+20.4+33.1+157.6</f>
        <v>4218.9881249444506</v>
      </c>
      <c r="O20" s="29">
        <f>COS(RADIANS(F20))*J20+23.4+20.4+33.1</f>
        <v>4006.3881249444503</v>
      </c>
      <c r="P20" s="29">
        <f>D20+162.2</f>
        <v>2862.2</v>
      </c>
      <c r="Q20" s="30">
        <f>COS(RADIANS(F20))*J20+133.4+20.4+33.1</f>
        <v>4116.3881249444503</v>
      </c>
      <c r="R20" s="31">
        <f>COS(RADIANS(F20))*J20+133.4+20.4+33.1+117</f>
        <v>4233.3881249444503</v>
      </c>
      <c r="S20" s="63">
        <f t="shared" si="3"/>
        <v>2289</v>
      </c>
      <c r="T20" s="29">
        <f t="shared" ref="T20:T26" si="5">O20</f>
        <v>4006.3881249444503</v>
      </c>
      <c r="U20" s="10">
        <v>39</v>
      </c>
      <c r="V20" s="29">
        <f t="shared" si="4"/>
        <v>450</v>
      </c>
      <c r="W20" s="31">
        <f t="shared" ref="W20:W24" si="6">D20</f>
        <v>2700</v>
      </c>
      <c r="X20" s="7"/>
      <c r="Y20" s="62"/>
      <c r="Z20" s="19"/>
      <c r="AB20" s="17">
        <f t="shared" si="1"/>
        <v>20</v>
      </c>
      <c r="AC20" s="20" t="s">
        <v>11</v>
      </c>
      <c r="AD20" s="20" t="s">
        <v>17</v>
      </c>
      <c r="AE20" s="20" t="s">
        <v>23</v>
      </c>
    </row>
    <row r="21" spans="1:31" s="2" customFormat="1" ht="30" customHeight="1" x14ac:dyDescent="0.25">
      <c r="A21" s="86" t="s">
        <v>91</v>
      </c>
      <c r="B21" s="12">
        <v>2000</v>
      </c>
      <c r="C21" s="8">
        <v>5000</v>
      </c>
      <c r="D21" s="8">
        <v>3150</v>
      </c>
      <c r="E21" s="33" t="s">
        <v>31</v>
      </c>
      <c r="F21" s="106">
        <f>DEGREES(ASIN(((D21+1.6)-(B21+57.5))/(J21+20.4)))</f>
        <v>12.847683347926967</v>
      </c>
      <c r="G21" s="106">
        <f t="shared" si="2"/>
        <v>228.0697804759248</v>
      </c>
      <c r="H21" s="112" t="s">
        <v>31</v>
      </c>
      <c r="I21" s="14">
        <f>COS(RADIANS(F21))*(J21+2*10.2)+78.4+33.1</f>
        <v>4908.7159999316273</v>
      </c>
      <c r="J21" s="29">
        <f>C21-100</f>
        <v>4900</v>
      </c>
      <c r="K21" s="29" t="s">
        <v>31</v>
      </c>
      <c r="L21" s="29">
        <f>I21+112.1</f>
        <v>5020.8159999316276</v>
      </c>
      <c r="M21" s="10" t="s">
        <v>31</v>
      </c>
      <c r="N21" s="10" t="s">
        <v>31</v>
      </c>
      <c r="O21" s="29">
        <f>I21-55</f>
        <v>4853.7159999316273</v>
      </c>
      <c r="P21" s="29">
        <f>D21+162.2</f>
        <v>3312.2</v>
      </c>
      <c r="Q21" s="30">
        <f>I21+55</f>
        <v>4963.7159999316273</v>
      </c>
      <c r="R21" s="31">
        <f>Q21+117</f>
        <v>5080.7159999316273</v>
      </c>
      <c r="S21" s="37">
        <f t="shared" si="3"/>
        <v>2050.1</v>
      </c>
      <c r="T21" s="29">
        <f t="shared" si="5"/>
        <v>4853.7159999316273</v>
      </c>
      <c r="U21" s="29">
        <v>50.1</v>
      </c>
      <c r="V21" s="29">
        <f t="shared" si="4"/>
        <v>1150</v>
      </c>
      <c r="W21" s="31">
        <f t="shared" si="6"/>
        <v>3150</v>
      </c>
      <c r="X21" s="7"/>
      <c r="Y21" s="24"/>
      <c r="Z21" s="19"/>
      <c r="AB21" s="17">
        <f t="shared" si="1"/>
        <v>21</v>
      </c>
      <c r="AC21" s="50" t="s">
        <v>55</v>
      </c>
      <c r="AD21" s="20" t="s">
        <v>80</v>
      </c>
      <c r="AE21" s="20" t="s">
        <v>24</v>
      </c>
    </row>
    <row r="22" spans="1:31" s="2" customFormat="1" ht="30" customHeight="1" x14ac:dyDescent="0.25">
      <c r="A22" s="86" t="s">
        <v>92</v>
      </c>
      <c r="B22" s="12">
        <v>2200</v>
      </c>
      <c r="C22" s="8">
        <v>4500</v>
      </c>
      <c r="D22" s="9">
        <v>2700</v>
      </c>
      <c r="E22" s="33" t="s">
        <v>31</v>
      </c>
      <c r="F22" s="106">
        <f>DEGREES(ASIN(((D22+1.6)-(B22+93.2))/(J22+20.4)))</f>
        <v>5.368091118374374</v>
      </c>
      <c r="G22" s="106">
        <f t="shared" si="2"/>
        <v>93.965969334399844</v>
      </c>
      <c r="H22" s="112" t="s">
        <v>31</v>
      </c>
      <c r="I22" s="14">
        <f>COS(RADIANS(F22))*J22+99.1+20.4+33.1</f>
        <v>4478.5437882766091</v>
      </c>
      <c r="J22" s="29">
        <f>C22-155</f>
        <v>4345</v>
      </c>
      <c r="K22" s="29" t="s">
        <v>31</v>
      </c>
      <c r="L22" s="29">
        <f>COS(RADIANS(F22))*J22+222.1+20.4+33.1</f>
        <v>4601.5437882766091</v>
      </c>
      <c r="M22" s="29" t="s">
        <v>31</v>
      </c>
      <c r="N22" s="29" t="s">
        <v>31</v>
      </c>
      <c r="O22" s="29">
        <f>COS(RADIANS(F22))*J22+24.6+20.4+33.1</f>
        <v>4404.0437882766091</v>
      </c>
      <c r="P22" s="29">
        <f>D22+162.2</f>
        <v>2862.2</v>
      </c>
      <c r="Q22" s="30">
        <f>I22+74.5</f>
        <v>4553.0437882766091</v>
      </c>
      <c r="R22" s="31">
        <f>Q22+117</f>
        <v>4670.0437882766091</v>
      </c>
      <c r="S22" s="37">
        <f t="shared" si="3"/>
        <v>2284</v>
      </c>
      <c r="T22" s="29">
        <f t="shared" si="5"/>
        <v>4404.0437882766091</v>
      </c>
      <c r="U22" s="10">
        <v>84</v>
      </c>
      <c r="V22" s="29">
        <f t="shared" si="4"/>
        <v>500</v>
      </c>
      <c r="W22" s="31">
        <f t="shared" si="6"/>
        <v>2700</v>
      </c>
      <c r="X22" s="7"/>
      <c r="Y22" s="24"/>
      <c r="Z22" s="19"/>
      <c r="AB22" s="17">
        <f t="shared" si="1"/>
        <v>22</v>
      </c>
      <c r="AC22" s="50" t="s">
        <v>56</v>
      </c>
      <c r="AD22" s="20" t="s">
        <v>81</v>
      </c>
      <c r="AE22" s="20" t="s">
        <v>25</v>
      </c>
    </row>
    <row r="23" spans="1:31" s="2" customFormat="1" ht="30" customHeight="1" x14ac:dyDescent="0.25">
      <c r="A23" s="87" t="s">
        <v>93</v>
      </c>
      <c r="B23" s="12">
        <v>2200</v>
      </c>
      <c r="C23" s="8">
        <v>4000</v>
      </c>
      <c r="D23" s="9">
        <v>2700</v>
      </c>
      <c r="E23" s="34" t="s">
        <v>31</v>
      </c>
      <c r="F23" s="106">
        <f>DEGREES(ASIN(((D23+1.6)-(B23+117))/(J23+20.4)))</f>
        <v>5.7102702450019072</v>
      </c>
      <c r="G23" s="106">
        <f t="shared" si="2"/>
        <v>99.994308110619997</v>
      </c>
      <c r="H23" s="112" t="s">
        <v>31</v>
      </c>
      <c r="I23" s="14">
        <f>COS(RADIANS(F23))*J23+118.9+20.4+33.1</f>
        <v>3998.3201524069791</v>
      </c>
      <c r="J23" s="29">
        <f>C23-155</f>
        <v>3845</v>
      </c>
      <c r="K23" s="29" t="s">
        <v>31</v>
      </c>
      <c r="L23" s="29">
        <f>COS(RADIANS(F23))*J23+118.9+134.8+20.4+33.1</f>
        <v>4133.1201524069793</v>
      </c>
      <c r="M23" s="29" t="s">
        <v>31</v>
      </c>
      <c r="N23" s="29" t="s">
        <v>31</v>
      </c>
      <c r="O23" s="29">
        <f>COS(RADIANS(F23))*J23+21.2+20.4+33.1</f>
        <v>3900.6201524069788</v>
      </c>
      <c r="P23" s="29">
        <f>D23+162.2</f>
        <v>2862.2</v>
      </c>
      <c r="Q23" s="30">
        <f>COS(RADIANS(F23))*J23+118.9+98.3+20.4+33.1</f>
        <v>4096.6201524069793</v>
      </c>
      <c r="R23" s="31">
        <f>COS(RADIANS(F23))*J23+217.2+20.4+33.1+117</f>
        <v>4213.6201524069793</v>
      </c>
      <c r="S23" s="37">
        <f t="shared" si="3"/>
        <v>2306</v>
      </c>
      <c r="T23" s="29">
        <f t="shared" si="5"/>
        <v>3900.6201524069788</v>
      </c>
      <c r="U23" s="10">
        <v>106</v>
      </c>
      <c r="V23" s="29">
        <f t="shared" si="4"/>
        <v>500</v>
      </c>
      <c r="W23" s="31">
        <f t="shared" si="6"/>
        <v>2700</v>
      </c>
      <c r="X23" s="7"/>
      <c r="Y23" s="24"/>
      <c r="Z23" s="19"/>
      <c r="AB23" s="17">
        <f t="shared" si="1"/>
        <v>23</v>
      </c>
      <c r="AC23" s="20" t="s">
        <v>30</v>
      </c>
      <c r="AD23" s="20" t="s">
        <v>28</v>
      </c>
      <c r="AE23" s="20" t="s">
        <v>29</v>
      </c>
    </row>
    <row r="24" spans="1:31" s="2" customFormat="1" ht="30" customHeight="1" x14ac:dyDescent="0.25">
      <c r="A24" s="86" t="s">
        <v>94</v>
      </c>
      <c r="B24" s="12">
        <v>2250</v>
      </c>
      <c r="C24" s="8">
        <v>4000</v>
      </c>
      <c r="D24" s="9">
        <v>2700</v>
      </c>
      <c r="E24" s="34" t="s">
        <v>31</v>
      </c>
      <c r="F24" s="106">
        <f>DEGREES(ASIN((D24+7.3-(B24+83.1))/(J24-41)))</f>
        <v>5.4167639192395987</v>
      </c>
      <c r="G24" s="106">
        <f t="shared" si="2"/>
        <v>94.823039340375232</v>
      </c>
      <c r="H24" s="112" t="s">
        <v>31</v>
      </c>
      <c r="I24" s="14">
        <f>((D24+7.3-(B24+83.1))/TAN(RADIANS(F24)))+70.4+13.9</f>
        <v>4030.5983110758357</v>
      </c>
      <c r="J24" s="29">
        <f>C24+5</f>
        <v>4005</v>
      </c>
      <c r="K24" s="29" t="s">
        <v>31</v>
      </c>
      <c r="L24" s="29">
        <f>((D24+7.3-(B24+83.1))/TAN(RADIANS(F24)))+184.9+13.9</f>
        <v>4145.0983110758352</v>
      </c>
      <c r="M24" s="10" t="s">
        <v>31</v>
      </c>
      <c r="N24" s="10" t="s">
        <v>31</v>
      </c>
      <c r="O24" s="29">
        <f>((D24+7.3-(B24+83.1))/TAN(RADIANS(F24)))+70.4+13.9-98</f>
        <v>3932.5983110758357</v>
      </c>
      <c r="P24" s="29">
        <f>D24+163.6</f>
        <v>2863.6</v>
      </c>
      <c r="Q24" s="30">
        <f>((D24+7.3-(B24+83.1))/TAN(RADIANS(F24)))+70.4+13+98</f>
        <v>4127.6983110758356</v>
      </c>
      <c r="R24" s="31">
        <f>((D24+7.3-(B24+83.1))/TAN(RADIANS(F24)))+70.4+13+98+117</f>
        <v>4244.6983110758356</v>
      </c>
      <c r="S24" s="37">
        <f t="shared" si="3"/>
        <v>2343</v>
      </c>
      <c r="T24" s="29">
        <f t="shared" si="5"/>
        <v>3932.5983110758357</v>
      </c>
      <c r="U24" s="10">
        <v>93</v>
      </c>
      <c r="V24" s="29">
        <f t="shared" si="4"/>
        <v>450</v>
      </c>
      <c r="W24" s="31">
        <f t="shared" si="6"/>
        <v>2700</v>
      </c>
      <c r="X24" s="7"/>
      <c r="Y24" s="19"/>
      <c r="Z24" s="19"/>
      <c r="AB24" s="17">
        <f t="shared" si="1"/>
        <v>24</v>
      </c>
      <c r="AC24" s="20" t="s">
        <v>33</v>
      </c>
      <c r="AD24" s="20" t="s">
        <v>5</v>
      </c>
      <c r="AE24" s="20" t="s">
        <v>32</v>
      </c>
    </row>
    <row r="25" spans="1:31" s="2" customFormat="1" ht="30" customHeight="1" x14ac:dyDescent="0.25">
      <c r="A25" s="87" t="s">
        <v>95</v>
      </c>
      <c r="B25" s="35">
        <f>D25-215.8</f>
        <v>2069.1999999999998</v>
      </c>
      <c r="C25" s="8">
        <v>3800</v>
      </c>
      <c r="D25" s="9">
        <v>2285</v>
      </c>
      <c r="E25" s="9">
        <v>700</v>
      </c>
      <c r="F25" s="106" t="s">
        <v>31</v>
      </c>
      <c r="G25" s="106" t="s">
        <v>31</v>
      </c>
      <c r="H25" s="106">
        <f>DEGREES(ATAN((155.2)/(J25-66.7)))</f>
        <v>2.4594809515974929</v>
      </c>
      <c r="I25" s="14">
        <f>L25-E25-98</f>
        <v>3005</v>
      </c>
      <c r="J25" s="10">
        <f>C25-120</f>
        <v>3680</v>
      </c>
      <c r="K25" s="10" t="s">
        <v>31</v>
      </c>
      <c r="L25" s="10">
        <f>J25+100+23</f>
        <v>3803</v>
      </c>
      <c r="M25" s="10" t="s">
        <v>31</v>
      </c>
      <c r="N25" s="10" t="s">
        <v>31</v>
      </c>
      <c r="O25" s="10">
        <f>L25-196</f>
        <v>3607</v>
      </c>
      <c r="P25" s="10">
        <f>D25+239.5</f>
        <v>2524.5</v>
      </c>
      <c r="Q25" s="22">
        <f>L25-E25</f>
        <v>3103</v>
      </c>
      <c r="R25" s="11">
        <f>Q25+200</f>
        <v>3303</v>
      </c>
      <c r="S25" s="37">
        <f>B25+220</f>
        <v>2289.1999999999998</v>
      </c>
      <c r="T25" s="29">
        <f t="shared" si="5"/>
        <v>3607</v>
      </c>
      <c r="U25" s="10" t="s">
        <v>31</v>
      </c>
      <c r="V25" s="29" t="s">
        <v>31</v>
      </c>
      <c r="W25" s="31">
        <f t="shared" ref="W25:W30" si="7">S25</f>
        <v>2289.1999999999998</v>
      </c>
      <c r="X25" s="7"/>
      <c r="Y25" s="19"/>
      <c r="Z25" s="19"/>
      <c r="AB25" s="17">
        <v>25</v>
      </c>
      <c r="AC25" s="20" t="s">
        <v>70</v>
      </c>
      <c r="AD25" s="20" t="s">
        <v>71</v>
      </c>
      <c r="AE25" s="20" t="s">
        <v>72</v>
      </c>
    </row>
    <row r="26" spans="1:31" s="2" customFormat="1" ht="30" customHeight="1" x14ac:dyDescent="0.25">
      <c r="A26" s="86" t="s">
        <v>96</v>
      </c>
      <c r="B26" s="35">
        <f t="shared" ref="B26" si="8">D26-215.8</f>
        <v>2184.1999999999998</v>
      </c>
      <c r="C26" s="8">
        <v>3800</v>
      </c>
      <c r="D26" s="9">
        <v>2400</v>
      </c>
      <c r="E26" s="34">
        <v>120</v>
      </c>
      <c r="F26" s="106" t="s">
        <v>31</v>
      </c>
      <c r="G26" s="106" t="s">
        <v>31</v>
      </c>
      <c r="H26" s="106">
        <f>DEGREES(ATAN((155.2)/(J26-66.7)))</f>
        <v>2.3824302218051119</v>
      </c>
      <c r="I26" s="14">
        <f>J26-120+23</f>
        <v>3700</v>
      </c>
      <c r="J26" s="10">
        <f>C26-3</f>
        <v>3797</v>
      </c>
      <c r="K26" s="10" t="s">
        <v>31</v>
      </c>
      <c r="L26" s="10">
        <f>J26-120+23+100</f>
        <v>3800</v>
      </c>
      <c r="M26" s="10" t="s">
        <v>31</v>
      </c>
      <c r="N26" s="10" t="s">
        <v>31</v>
      </c>
      <c r="O26" s="10">
        <f>J26-120+23-98</f>
        <v>3602</v>
      </c>
      <c r="P26" s="10">
        <f>D26+239.5</f>
        <v>2639.5</v>
      </c>
      <c r="Q26" s="22">
        <f>L26-2</f>
        <v>3798</v>
      </c>
      <c r="R26" s="11">
        <f>Q26+200</f>
        <v>3998</v>
      </c>
      <c r="S26" s="37">
        <f>B26+220</f>
        <v>2404.1999999999998</v>
      </c>
      <c r="T26" s="29">
        <f t="shared" si="5"/>
        <v>3602</v>
      </c>
      <c r="U26" s="10" t="s">
        <v>31</v>
      </c>
      <c r="V26" s="29" t="s">
        <v>31</v>
      </c>
      <c r="W26" s="31">
        <f t="shared" si="7"/>
        <v>2404.1999999999998</v>
      </c>
      <c r="X26" s="7"/>
      <c r="Y26" s="19"/>
      <c r="Z26" s="19"/>
      <c r="AB26" s="17">
        <f t="shared" ref="AB26" si="9">AB25+1</f>
        <v>26</v>
      </c>
      <c r="AC26" s="20" t="s">
        <v>64</v>
      </c>
      <c r="AD26" s="20" t="s">
        <v>65</v>
      </c>
      <c r="AE26" s="20" t="s">
        <v>66</v>
      </c>
    </row>
    <row r="27" spans="1:31" s="2" customFormat="1" ht="30" customHeight="1" x14ac:dyDescent="0.25">
      <c r="A27" s="86" t="s">
        <v>97</v>
      </c>
      <c r="B27" s="35">
        <f t="shared" ref="B27" si="10">D27-215.8</f>
        <v>2069.1999999999998</v>
      </c>
      <c r="C27" s="8">
        <v>6000</v>
      </c>
      <c r="D27" s="9">
        <v>2285</v>
      </c>
      <c r="E27" s="34" t="s">
        <v>31</v>
      </c>
      <c r="F27" s="106" t="s">
        <v>31</v>
      </c>
      <c r="G27" s="106" t="s">
        <v>31</v>
      </c>
      <c r="H27" s="106" t="s">
        <v>31</v>
      </c>
      <c r="I27" s="14">
        <f>L27-100</f>
        <v>5899</v>
      </c>
      <c r="J27" s="10">
        <f>C27-144</f>
        <v>5856</v>
      </c>
      <c r="K27" s="10">
        <f>C27-24</f>
        <v>5976</v>
      </c>
      <c r="L27" s="10">
        <f>K27+23</f>
        <v>5999</v>
      </c>
      <c r="M27" s="10" t="s">
        <v>31</v>
      </c>
      <c r="N27" s="10" t="s">
        <v>31</v>
      </c>
      <c r="O27" s="10">
        <f>L27-196-2</f>
        <v>5801</v>
      </c>
      <c r="P27" s="10">
        <f>D27+239.5</f>
        <v>2524.5</v>
      </c>
      <c r="Q27" s="22">
        <f>I27+98</f>
        <v>5997</v>
      </c>
      <c r="R27" s="11">
        <f>Q27+200</f>
        <v>6197</v>
      </c>
      <c r="S27" s="37">
        <f>B27+220</f>
        <v>2289.1999999999998</v>
      </c>
      <c r="T27" s="29">
        <f t="shared" ref="T27" si="11">O27</f>
        <v>5801</v>
      </c>
      <c r="U27" s="10" t="s">
        <v>31</v>
      </c>
      <c r="V27" s="29" t="s">
        <v>31</v>
      </c>
      <c r="W27" s="31">
        <f t="shared" si="7"/>
        <v>2289.1999999999998</v>
      </c>
      <c r="X27" s="7"/>
      <c r="Y27" s="19"/>
      <c r="Z27" s="19"/>
      <c r="AB27" s="17">
        <v>27</v>
      </c>
      <c r="AC27" s="20" t="s">
        <v>86</v>
      </c>
      <c r="AD27" s="17" t="s">
        <v>85</v>
      </c>
      <c r="AE27" s="20" t="s">
        <v>87</v>
      </c>
    </row>
    <row r="28" spans="1:31" s="2" customFormat="1" ht="25" customHeight="1" x14ac:dyDescent="0.25">
      <c r="A28" s="87" t="s">
        <v>98</v>
      </c>
      <c r="B28" s="69">
        <v>2300</v>
      </c>
      <c r="C28" s="53">
        <v>5000</v>
      </c>
      <c r="D28" s="68">
        <f>B28</f>
        <v>2300</v>
      </c>
      <c r="E28" s="34" t="s">
        <v>31</v>
      </c>
      <c r="F28" s="106" t="s">
        <v>31</v>
      </c>
      <c r="G28" s="106" t="s">
        <v>31</v>
      </c>
      <c r="H28" s="113">
        <f>DEGREES(ATAN((95)/(C28-133-50)))</f>
        <v>1.1298305003866769</v>
      </c>
      <c r="I28" s="14">
        <f>C28-160/2</f>
        <v>4920</v>
      </c>
      <c r="J28" s="54">
        <f>C28-60-3-3-18</f>
        <v>4916</v>
      </c>
      <c r="K28" s="54">
        <f>J28</f>
        <v>4916</v>
      </c>
      <c r="L28" s="54">
        <f>C28</f>
        <v>5000</v>
      </c>
      <c r="M28" s="10" t="s">
        <v>31</v>
      </c>
      <c r="N28" s="10" t="s">
        <v>31</v>
      </c>
      <c r="O28" s="54">
        <f>L28-160</f>
        <v>4840</v>
      </c>
      <c r="P28" s="54">
        <f>D28+242.1</f>
        <v>2542.1</v>
      </c>
      <c r="Q28" s="55">
        <f>C28</f>
        <v>5000</v>
      </c>
      <c r="R28" s="10" t="s">
        <v>31</v>
      </c>
      <c r="S28" s="56">
        <f>B28</f>
        <v>2300</v>
      </c>
      <c r="T28" s="57">
        <f>O28</f>
        <v>4840</v>
      </c>
      <c r="U28" s="10" t="s">
        <v>31</v>
      </c>
      <c r="V28" s="29" t="s">
        <v>31</v>
      </c>
      <c r="W28" s="58">
        <f t="shared" si="7"/>
        <v>2300</v>
      </c>
      <c r="AB28" s="17"/>
      <c r="AC28" s="17"/>
      <c r="AD28" s="17"/>
      <c r="AE28" s="17"/>
    </row>
    <row r="29" spans="1:31" s="2" customFormat="1" ht="25" customHeight="1" x14ac:dyDescent="0.25">
      <c r="A29" s="87" t="s">
        <v>99</v>
      </c>
      <c r="B29" s="69">
        <v>2300</v>
      </c>
      <c r="C29" s="53">
        <v>5000</v>
      </c>
      <c r="D29" s="68">
        <f>B29</f>
        <v>2300</v>
      </c>
      <c r="E29" s="72" t="s">
        <v>31</v>
      </c>
      <c r="F29" s="107" t="s">
        <v>31</v>
      </c>
      <c r="G29" s="107" t="s">
        <v>31</v>
      </c>
      <c r="H29" s="114">
        <f>DEGREES(ATAN((95)/(C29-133-62)))</f>
        <v>1.1326514032868704</v>
      </c>
      <c r="I29" s="14">
        <f>C29-160/2-160</f>
        <v>4760</v>
      </c>
      <c r="J29" s="78">
        <f>C29-60-3-3-60</f>
        <v>4874</v>
      </c>
      <c r="K29" s="78">
        <f>J29</f>
        <v>4874</v>
      </c>
      <c r="L29" s="78">
        <f>C29-160</f>
        <v>4840</v>
      </c>
      <c r="M29" s="79" t="s">
        <v>31</v>
      </c>
      <c r="N29" s="79" t="s">
        <v>31</v>
      </c>
      <c r="O29" s="78">
        <f>C29-2*160</f>
        <v>4680</v>
      </c>
      <c r="P29" s="78">
        <f>D29+242.1</f>
        <v>2542.1</v>
      </c>
      <c r="Q29" s="80">
        <f>L29</f>
        <v>4840</v>
      </c>
      <c r="R29" s="59">
        <f>C29</f>
        <v>5000</v>
      </c>
      <c r="S29" s="81">
        <f>B29</f>
        <v>2300</v>
      </c>
      <c r="T29" s="82">
        <f>O29</f>
        <v>4680</v>
      </c>
      <c r="U29" s="79" t="s">
        <v>31</v>
      </c>
      <c r="V29" s="65" t="s">
        <v>31</v>
      </c>
      <c r="W29" s="83">
        <f t="shared" ref="W29" si="12">S29</f>
        <v>2300</v>
      </c>
      <c r="AB29" s="17"/>
      <c r="AC29" s="17"/>
      <c r="AD29" s="17"/>
      <c r="AE29" s="17"/>
    </row>
    <row r="30" spans="1:31" s="2" customFormat="1" ht="25" customHeight="1" x14ac:dyDescent="0.25">
      <c r="A30" s="86" t="s">
        <v>100</v>
      </c>
      <c r="B30" s="70">
        <v>2300</v>
      </c>
      <c r="C30" s="8">
        <v>5000</v>
      </c>
      <c r="D30" s="72">
        <f>B30</f>
        <v>2300</v>
      </c>
      <c r="E30" s="84" t="s">
        <v>31</v>
      </c>
      <c r="F30" s="108" t="s">
        <v>31</v>
      </c>
      <c r="G30" s="108" t="s">
        <v>31</v>
      </c>
      <c r="H30" s="107">
        <f>DEGREES(ATAN((28)/(C30-77-133)))</f>
        <v>0.33491932233163285</v>
      </c>
      <c r="I30" s="14">
        <f>C30-160/2</f>
        <v>4920</v>
      </c>
      <c r="J30" s="77" t="s">
        <v>31</v>
      </c>
      <c r="K30" s="79">
        <f>C30-60-3-3-18</f>
        <v>4916</v>
      </c>
      <c r="L30" s="79">
        <f>C30</f>
        <v>5000</v>
      </c>
      <c r="M30" s="79" t="s">
        <v>31</v>
      </c>
      <c r="N30" s="79" t="s">
        <v>31</v>
      </c>
      <c r="O30" s="79">
        <f>L30-160</f>
        <v>4840</v>
      </c>
      <c r="P30" s="79">
        <f>D30+242.1</f>
        <v>2542.1</v>
      </c>
      <c r="Q30" s="85">
        <f>C30</f>
        <v>5000</v>
      </c>
      <c r="R30" s="79" t="s">
        <v>31</v>
      </c>
      <c r="S30" s="63">
        <f>B30</f>
        <v>2300</v>
      </c>
      <c r="T30" s="65">
        <f>O30</f>
        <v>4840</v>
      </c>
      <c r="U30" s="79" t="s">
        <v>31</v>
      </c>
      <c r="V30" s="79" t="s">
        <v>31</v>
      </c>
      <c r="W30" s="66">
        <f t="shared" si="7"/>
        <v>2300</v>
      </c>
      <c r="AB30" s="17"/>
      <c r="AC30" s="17"/>
      <c r="AD30" s="17"/>
      <c r="AE30" s="17"/>
    </row>
    <row r="31" spans="1:31" s="2" customFormat="1" ht="25" customHeight="1" x14ac:dyDescent="0.25">
      <c r="A31" s="88" t="s">
        <v>101</v>
      </c>
      <c r="B31" s="70">
        <v>2300</v>
      </c>
      <c r="C31" s="8">
        <v>5000</v>
      </c>
      <c r="D31" s="72">
        <f>B31</f>
        <v>2300</v>
      </c>
      <c r="E31" s="84" t="s">
        <v>31</v>
      </c>
      <c r="F31" s="108" t="s">
        <v>31</v>
      </c>
      <c r="G31" s="108" t="s">
        <v>31</v>
      </c>
      <c r="H31" s="107">
        <f>DEGREES(ATAN((28)/(C31-133-118)))</f>
        <v>0.33781074691671442</v>
      </c>
      <c r="I31" s="14">
        <f>C31-160/2-160</f>
        <v>4760</v>
      </c>
      <c r="J31" s="77" t="s">
        <v>31</v>
      </c>
      <c r="K31" s="79">
        <f>C31-60-3-3-60</f>
        <v>4874</v>
      </c>
      <c r="L31" s="79">
        <f>C31-160</f>
        <v>4840</v>
      </c>
      <c r="M31" s="79" t="s">
        <v>31</v>
      </c>
      <c r="N31" s="79" t="s">
        <v>31</v>
      </c>
      <c r="O31" s="79">
        <f>C31-2*160</f>
        <v>4680</v>
      </c>
      <c r="P31" s="79">
        <f>D31+242.1</f>
        <v>2542.1</v>
      </c>
      <c r="Q31" s="85">
        <f>C31-160</f>
        <v>4840</v>
      </c>
      <c r="R31" s="64">
        <f>C31</f>
        <v>5000</v>
      </c>
      <c r="S31" s="63">
        <f>B31</f>
        <v>2300</v>
      </c>
      <c r="T31" s="65">
        <f>O31</f>
        <v>4680</v>
      </c>
      <c r="U31" s="79" t="s">
        <v>31</v>
      </c>
      <c r="V31" s="79" t="s">
        <v>31</v>
      </c>
      <c r="W31" s="66">
        <f t="shared" ref="W31" si="13">S31</f>
        <v>2300</v>
      </c>
      <c r="AB31" s="17"/>
      <c r="AC31" s="17"/>
      <c r="AD31" s="17"/>
      <c r="AE31" s="17"/>
    </row>
    <row r="32" spans="1:31" s="2" customFormat="1" ht="25" customHeight="1" x14ac:dyDescent="0.25">
      <c r="A32" s="88"/>
      <c r="B32" s="89"/>
      <c r="C32" s="90"/>
      <c r="D32" s="90"/>
      <c r="E32" s="91"/>
      <c r="F32" s="106"/>
      <c r="G32" s="106"/>
      <c r="H32" s="39"/>
      <c r="I32" s="10"/>
      <c r="J32" s="10"/>
      <c r="K32" s="10"/>
      <c r="L32" s="79"/>
      <c r="M32" s="79"/>
      <c r="N32" s="79"/>
      <c r="O32" s="79"/>
      <c r="P32" s="79"/>
      <c r="Q32" s="85"/>
      <c r="R32" s="64"/>
      <c r="S32" s="92"/>
      <c r="T32" s="79"/>
      <c r="U32" s="79"/>
      <c r="V32" s="79"/>
      <c r="W32" s="64"/>
      <c r="AB32" s="17"/>
      <c r="AC32" s="17"/>
      <c r="AD32" s="17"/>
      <c r="AE32" s="17"/>
    </row>
    <row r="33" spans="1:31" s="2" customFormat="1" ht="25" customHeight="1" x14ac:dyDescent="0.25">
      <c r="A33" s="86"/>
      <c r="B33" s="89"/>
      <c r="C33" s="90"/>
      <c r="D33" s="90"/>
      <c r="E33" s="93"/>
      <c r="F33" s="107"/>
      <c r="G33" s="107"/>
      <c r="H33" s="77"/>
      <c r="I33" s="10"/>
      <c r="J33" s="79"/>
      <c r="K33" s="79"/>
      <c r="L33" s="79"/>
      <c r="M33" s="79"/>
      <c r="N33" s="79"/>
      <c r="O33" s="79"/>
      <c r="P33" s="79"/>
      <c r="Q33" s="85"/>
      <c r="R33" s="64"/>
      <c r="S33" s="92"/>
      <c r="T33" s="79"/>
      <c r="U33" s="79"/>
      <c r="V33" s="79"/>
      <c r="W33" s="64"/>
      <c r="AB33" s="17"/>
      <c r="AC33" s="17"/>
      <c r="AD33" s="17"/>
      <c r="AE33" s="17"/>
    </row>
    <row r="34" spans="1:31" s="2" customFormat="1" ht="25" customHeight="1" thickBot="1" x14ac:dyDescent="0.3">
      <c r="A34" s="104"/>
      <c r="B34" s="94"/>
      <c r="C34" s="95"/>
      <c r="D34" s="96"/>
      <c r="E34" s="97"/>
      <c r="F34" s="109"/>
      <c r="G34" s="109"/>
      <c r="H34" s="98"/>
      <c r="I34" s="99"/>
      <c r="J34" s="100"/>
      <c r="K34" s="99"/>
      <c r="L34" s="100"/>
      <c r="M34" s="99"/>
      <c r="N34" s="99"/>
      <c r="O34" s="100"/>
      <c r="P34" s="100"/>
      <c r="Q34" s="101"/>
      <c r="R34" s="67"/>
      <c r="S34" s="102"/>
      <c r="T34" s="100"/>
      <c r="U34" s="103"/>
      <c r="V34" s="100"/>
      <c r="W34" s="67"/>
      <c r="AB34" s="17"/>
      <c r="AC34" s="17"/>
      <c r="AD34" s="17"/>
      <c r="AE34" s="17"/>
    </row>
    <row r="35" spans="1:31" s="2" customFormat="1" ht="25" customHeight="1" x14ac:dyDescent="0.2">
      <c r="F35" s="28"/>
      <c r="G35" s="28"/>
      <c r="H35" s="28"/>
      <c r="I35" s="179"/>
      <c r="J35" s="28"/>
      <c r="K35" s="28"/>
      <c r="L35" s="28"/>
      <c r="M35" s="5"/>
      <c r="AB35" s="17"/>
      <c r="AC35" s="17"/>
      <c r="AD35" s="17"/>
      <c r="AE35" s="17"/>
    </row>
    <row r="36" spans="1:31" s="2" customFormat="1" ht="25" customHeight="1" x14ac:dyDescent="0.2">
      <c r="F36" s="28"/>
      <c r="G36" s="28"/>
      <c r="H36" s="28"/>
      <c r="I36" s="179"/>
      <c r="J36" s="28"/>
      <c r="K36" s="28"/>
      <c r="L36" s="28"/>
      <c r="M36" s="5"/>
      <c r="AB36" s="17"/>
      <c r="AC36" s="17"/>
      <c r="AD36" s="17"/>
      <c r="AE36" s="17"/>
    </row>
    <row r="37" spans="1:31" s="2" customFormat="1" ht="25" customHeight="1" x14ac:dyDescent="0.2">
      <c r="F37" s="28"/>
      <c r="G37" s="28"/>
      <c r="H37" s="28"/>
      <c r="I37" s="179"/>
      <c r="J37" s="28"/>
      <c r="K37" s="28"/>
      <c r="L37" s="28"/>
      <c r="M37" s="5"/>
      <c r="AB37" s="17"/>
      <c r="AC37" s="17"/>
      <c r="AD37" s="17"/>
      <c r="AE37" s="17"/>
    </row>
    <row r="38" spans="1:31" s="2" customFormat="1" ht="25" customHeight="1" x14ac:dyDescent="0.2">
      <c r="F38" s="28"/>
      <c r="G38" s="28"/>
      <c r="H38" s="28"/>
      <c r="I38" s="179"/>
      <c r="J38" s="28"/>
      <c r="K38" s="28"/>
      <c r="L38" s="28"/>
      <c r="M38" s="5"/>
      <c r="AB38" s="17"/>
      <c r="AC38" s="17"/>
      <c r="AD38" s="17"/>
      <c r="AE38" s="17"/>
    </row>
    <row r="39" spans="1:31" s="2" customFormat="1" ht="25" customHeight="1" x14ac:dyDescent="0.2">
      <c r="F39" s="28"/>
      <c r="G39" s="28"/>
      <c r="H39" s="28"/>
      <c r="I39" s="179"/>
      <c r="J39" s="28"/>
      <c r="K39" s="28"/>
      <c r="L39" s="28"/>
      <c r="M39" s="5"/>
      <c r="AB39" s="17"/>
      <c r="AC39" s="17"/>
      <c r="AD39" s="17"/>
      <c r="AE39" s="17"/>
    </row>
    <row r="40" spans="1:31" s="2" customFormat="1" ht="25" customHeight="1" x14ac:dyDescent="0.2">
      <c r="I40" s="179"/>
      <c r="J40" s="28"/>
      <c r="K40" s="28"/>
      <c r="L40" s="28"/>
      <c r="M40" s="28"/>
      <c r="AB40" s="17"/>
      <c r="AC40" s="17"/>
      <c r="AD40" s="17"/>
      <c r="AE40" s="17"/>
    </row>
    <row r="41" spans="1:31" s="2" customFormat="1" ht="25" customHeight="1" x14ac:dyDescent="0.2"/>
    <row r="42" spans="1:31" s="2" customFormat="1" ht="25" customHeight="1" x14ac:dyDescent="0.2"/>
    <row r="43" spans="1:31" s="2" customFormat="1" ht="25" customHeight="1" x14ac:dyDescent="0.2"/>
    <row r="44" spans="1:31" s="2" customFormat="1" ht="25" customHeight="1" x14ac:dyDescent="0.2"/>
    <row r="45" spans="1:31" s="2" customFormat="1" ht="25" customHeight="1" x14ac:dyDescent="0.2"/>
    <row r="46" spans="1:31" s="2" customFormat="1" ht="25" customHeight="1" x14ac:dyDescent="0.2"/>
    <row r="47" spans="1:31" s="2" customFormat="1" ht="25" customHeight="1" x14ac:dyDescent="0.2"/>
    <row r="48" spans="1:31" s="2" customFormat="1" ht="25" customHeight="1" x14ac:dyDescent="0.2"/>
    <row r="49" s="2" customFormat="1" ht="25" customHeight="1" x14ac:dyDescent="0.2"/>
    <row r="50" s="2" customFormat="1" ht="25" customHeight="1" x14ac:dyDescent="0.2"/>
    <row r="51" s="2" customFormat="1" ht="25" customHeight="1" x14ac:dyDescent="0.2"/>
    <row r="52" s="2" customFormat="1" ht="25" customHeight="1" x14ac:dyDescent="0.2"/>
    <row r="53" s="2" customFormat="1" ht="25" customHeight="1" x14ac:dyDescent="0.2"/>
    <row r="54" s="2" customFormat="1" ht="25" customHeight="1" x14ac:dyDescent="0.2"/>
    <row r="55" s="2" customFormat="1" ht="25" customHeight="1" x14ac:dyDescent="0.2"/>
    <row r="56" s="2" customFormat="1" ht="25" customHeight="1" x14ac:dyDescent="0.2"/>
    <row r="57" s="2" customFormat="1" ht="25" customHeight="1" x14ac:dyDescent="0.2"/>
    <row r="58" s="2" customFormat="1" ht="25" customHeight="1" x14ac:dyDescent="0.2"/>
    <row r="59" s="2" customFormat="1" ht="25" customHeight="1" x14ac:dyDescent="0.2"/>
    <row r="60" s="2" customFormat="1" ht="25" customHeight="1" x14ac:dyDescent="0.2"/>
    <row r="61" s="2" customFormat="1" ht="25" customHeight="1" x14ac:dyDescent="0.2"/>
    <row r="62" s="2" customFormat="1" ht="25" customHeight="1" x14ac:dyDescent="0.2"/>
    <row r="63" s="2" customFormat="1" ht="25" customHeight="1" x14ac:dyDescent="0.2"/>
    <row r="64" s="2" customFormat="1" ht="25" customHeight="1" x14ac:dyDescent="0.2"/>
    <row r="65" s="2" customFormat="1" x14ac:dyDescent="0.2"/>
    <row r="66" s="2" customFormat="1" x14ac:dyDescent="0.2"/>
    <row r="67" s="2" customFormat="1" x14ac:dyDescent="0.2"/>
    <row r="68" s="2" customFormat="1" x14ac:dyDescent="0.2"/>
    <row r="69" s="2" customFormat="1" x14ac:dyDescent="0.2"/>
    <row r="70" s="2" customFormat="1" x14ac:dyDescent="0.2"/>
    <row r="71" s="2" customFormat="1" x14ac:dyDescent="0.2"/>
    <row r="72" s="2" customFormat="1" x14ac:dyDescent="0.2"/>
    <row r="73" s="2" customFormat="1" x14ac:dyDescent="0.2"/>
    <row r="74" s="2" customFormat="1" x14ac:dyDescent="0.2"/>
    <row r="75" s="2" customFormat="1" x14ac:dyDescent="0.2"/>
    <row r="76" s="2" customFormat="1" x14ac:dyDescent="0.2"/>
    <row r="77" s="2" customFormat="1" x14ac:dyDescent="0.2"/>
    <row r="78" s="2" customFormat="1" x14ac:dyDescent="0.2"/>
    <row r="79" s="2" customFormat="1" x14ac:dyDescent="0.2"/>
    <row r="80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</sheetData>
  <sheetProtection sheet="1" objects="1" scenarios="1" autoFilter="0" pivotTables="0"/>
  <mergeCells count="27">
    <mergeCell ref="W12:W17"/>
    <mergeCell ref="O12:O17"/>
    <mergeCell ref="C12:C17"/>
    <mergeCell ref="I35:I40"/>
    <mergeCell ref="U12:U17"/>
    <mergeCell ref="S12:S17"/>
    <mergeCell ref="T12:T17"/>
    <mergeCell ref="G12:G17"/>
    <mergeCell ref="K12:K17"/>
    <mergeCell ref="E12:E17"/>
    <mergeCell ref="H12:H17"/>
    <mergeCell ref="U1:V1"/>
    <mergeCell ref="U2:V2"/>
    <mergeCell ref="Q12:Q17"/>
    <mergeCell ref="R12:R17"/>
    <mergeCell ref="S11:W11"/>
    <mergeCell ref="A11:R11"/>
    <mergeCell ref="P12:P17"/>
    <mergeCell ref="D12:D17"/>
    <mergeCell ref="F12:F17"/>
    <mergeCell ref="I12:I17"/>
    <mergeCell ref="M12:M17"/>
    <mergeCell ref="N12:N17"/>
    <mergeCell ref="B12:B17"/>
    <mergeCell ref="J12:J17"/>
    <mergeCell ref="L12:L17"/>
    <mergeCell ref="V12:V17"/>
  </mergeCells>
  <dataValidations count="1">
    <dataValidation type="list" allowBlank="1" showInputMessage="1" showErrorMessage="1" sqref="W2" xr:uid="{B9EA4057-C8D9-41CE-97A0-9D131FE83E02}">
      <formula1>$AA$2:$AA$4</formula1>
    </dataValidation>
  </dataValidations>
  <pageMargins left="0.7" right="0.7" top="0.75" bottom="0.75" header="0.3" footer="0.3"/>
  <pageSetup paperSize="9" scale="74" orientation="landscape" r:id="rId1"/>
  <ignoredErrors>
    <ignoredError sqref="B25:B26 D30 D28" unlockedFormula="1"/>
    <ignoredError sqref="R20 I29 L29 Q29 O2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D9DC2-D071-4431-A174-686F2BE7118E}">
  <sheetPr codeName="Tabelle3"/>
  <dimension ref="B2:F11"/>
  <sheetViews>
    <sheetView windowProtection="1" workbookViewId="0">
      <selection activeCell="F18" sqref="F18"/>
    </sheetView>
  </sheetViews>
  <sheetFormatPr baseColWidth="10" defaultRowHeight="15" x14ac:dyDescent="0.2"/>
  <sheetData>
    <row r="2" spans="2:6" ht="16" thickBot="1" x14ac:dyDescent="0.25"/>
    <row r="3" spans="2:6" x14ac:dyDescent="0.2">
      <c r="B3" s="175" t="s">
        <v>54</v>
      </c>
      <c r="C3" s="176"/>
      <c r="D3" s="16" t="s">
        <v>4</v>
      </c>
    </row>
    <row r="4" spans="2:6" ht="16" thickBot="1" x14ac:dyDescent="0.25">
      <c r="B4" s="177" t="s">
        <v>5</v>
      </c>
      <c r="C4" s="178"/>
      <c r="D4" s="36" t="s">
        <v>6</v>
      </c>
      <c r="F4" t="s">
        <v>61</v>
      </c>
    </row>
    <row r="5" spans="2:6" x14ac:dyDescent="0.2">
      <c r="F5" t="s">
        <v>62</v>
      </c>
    </row>
    <row r="11" spans="2:6" x14ac:dyDescent="0.2">
      <c r="F11" t="s">
        <v>63</v>
      </c>
    </row>
  </sheetData>
  <sheetProtection sheet="1" objects="1" scenarios="1" selectLockedCells="1" selectUnlockedCells="1"/>
  <mergeCells count="2">
    <mergeCell ref="B3:C3"/>
    <mergeCell ref="B4:C4"/>
  </mergeCells>
  <dataValidations disablePrompts="1" count="1">
    <dataValidation type="list" allowBlank="1" showInputMessage="1" showErrorMessage="1" sqref="D4" xr:uid="{D53974A9-1337-4382-BED8-30F8BF705D00}">
      <formula1>$Y$2:$Y$4</formula1>
    </dataValidation>
  </dataValidation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2</vt:i4>
      </vt:variant>
    </vt:vector>
  </HeadingPairs>
  <TitlesOfParts>
    <vt:vector size="5" baseType="lpstr">
      <vt:lpstr>Dachrechner</vt:lpstr>
      <vt:lpstr>Daten</vt:lpstr>
      <vt:lpstr>Erklärung Dachrechner</vt:lpstr>
      <vt:lpstr>Dachrechner!Obszar_wydruku</vt:lpstr>
      <vt:lpstr>Daten!Obszar_wydruku</vt:lpstr>
    </vt:vector>
  </TitlesOfParts>
  <Company>Vinny27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tedt</dc:creator>
  <cp:lastModifiedBy>Tomasz Fijołek</cp:lastModifiedBy>
  <cp:lastPrinted>2022-07-26T08:32:58Z</cp:lastPrinted>
  <dcterms:created xsi:type="dcterms:W3CDTF">2013-09-11T09:07:53Z</dcterms:created>
  <dcterms:modified xsi:type="dcterms:W3CDTF">2025-06-27T12:15:43Z</dcterms:modified>
</cp:coreProperties>
</file>