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agos business prj\res 2\"/>
    </mc:Choice>
  </mc:AlternateContent>
  <bookViews>
    <workbookView xWindow="0" yWindow="0" windowWidth="14380" windowHeight="5440" activeTab="5"/>
  </bookViews>
  <sheets>
    <sheet name="Sheet1 (2)" sheetId="4" r:id="rId1"/>
    <sheet name="Sheet1" sheetId="1" r:id="rId2"/>
    <sheet name="question 1" sheetId="2" r:id="rId3"/>
    <sheet name="question 2" sheetId="3" r:id="rId4"/>
    <sheet name="question 5" sheetId="5" r:id="rId5"/>
    <sheet name="question 7)" sheetId="7" r:id="rId6"/>
  </sheets>
  <definedNames>
    <definedName name="anncostpermember" localSheetId="5">'question 7)'!$D$4</definedName>
    <definedName name="anncostpermember" localSheetId="0">'Sheet1 (2)'!$D$4</definedName>
    <definedName name="anncostpermember">Sheet1!$D$4</definedName>
    <definedName name="annfee" localSheetId="5">'question 7)'!$D$5</definedName>
    <definedName name="annfee" localSheetId="0">'Sheet1 (2)'!$D$5</definedName>
    <definedName name="annfee">Sheet1!$D$5</definedName>
    <definedName name="annfixedcost" localSheetId="5">'question 7)'!$D$6</definedName>
    <definedName name="annfixedcost" localSheetId="0">'Sheet1 (2)'!$D$6</definedName>
    <definedName name="annfixedcost">Sheet1!$D$6</definedName>
    <definedName name="buildcost" localSheetId="5">'question 7)'!$D$3</definedName>
    <definedName name="buildcost" localSheetId="0">'Sheet1 (2)'!$D$3</definedName>
    <definedName name="buildcost">Sheet1!$D$3</definedName>
    <definedName name="costpermemgrowth">'question 2'!$H$5</definedName>
    <definedName name="discountrate" localSheetId="5">'question 7)'!$D$9</definedName>
    <definedName name="discountrate" localSheetId="0">'Sheet1 (2)'!$D$9</definedName>
    <definedName name="discountrate">Sheet1!$D$9</definedName>
    <definedName name="droppercent">'question 1'!$G$5</definedName>
    <definedName name="droprate">'question 5'!$G$4</definedName>
    <definedName name="fixedcostgrowth">'question 2'!$H$4</definedName>
    <definedName name="growthpercent">'question 1'!$G$4</definedName>
    <definedName name="growthyear">'question 1'!$G$3</definedName>
    <definedName name="memfeegrowth">'question 2'!$H$3</definedName>
    <definedName name="newmembersperyear" localSheetId="5">'question 7)'!$D$7</definedName>
    <definedName name="newmembersperyear" localSheetId="0">'Sheet1 (2)'!$D$7</definedName>
    <definedName name="newmembersperyear">Sheet1!$D$7</definedName>
    <definedName name="retentionrate" localSheetId="5">'question 7)'!$D$8</definedName>
    <definedName name="retentionrate" localSheetId="0">'Sheet1 (2)'!$D$8</definedName>
    <definedName name="retentionrate">Sheet1!$D$8</definedName>
    <definedName name="taxrate" localSheetId="5">'question 7)'!$D$11</definedName>
    <definedName name="taxrate" localSheetId="0">'Sheet1 (2)'!$D$11</definedName>
    <definedName name="taxrate">Sheet1!$D$11</definedName>
    <definedName name="workingcappercentage" localSheetId="5">'question 7)'!$D$10</definedName>
    <definedName name="workingcappercentage" localSheetId="0">'Sheet1 (2)'!$D$10</definedName>
    <definedName name="workingcappercentage">Sheet1!$D$10</definedName>
    <definedName name="year1customer">'question 5'!$G$3</definedName>
  </definedNames>
  <calcPr calcId="162913"/>
</workbook>
</file>

<file path=xl/calcChain.xml><?xml version="1.0" encoding="utf-8"?>
<calcChain xmlns="http://schemas.openxmlformats.org/spreadsheetml/2006/main">
  <c r="H32" i="7" l="1"/>
  <c r="O22" i="7"/>
  <c r="N22" i="7"/>
  <c r="M22" i="7"/>
  <c r="L22" i="7"/>
  <c r="K22" i="7"/>
  <c r="J22" i="7"/>
  <c r="I22" i="7"/>
  <c r="H22" i="7"/>
  <c r="G22" i="7"/>
  <c r="F22" i="7"/>
  <c r="O20" i="7"/>
  <c r="N20" i="7"/>
  <c r="M20" i="7"/>
  <c r="L20" i="7"/>
  <c r="K20" i="7"/>
  <c r="J20" i="7"/>
  <c r="I20" i="7"/>
  <c r="H20" i="7"/>
  <c r="G20" i="7"/>
  <c r="F20" i="7"/>
  <c r="F17" i="7"/>
  <c r="O16" i="7"/>
  <c r="N16" i="7"/>
  <c r="M16" i="7"/>
  <c r="L16" i="7"/>
  <c r="K16" i="7"/>
  <c r="J16" i="7"/>
  <c r="I16" i="7"/>
  <c r="H16" i="7"/>
  <c r="G16" i="7"/>
  <c r="F16" i="7"/>
  <c r="E14" i="7"/>
  <c r="E27" i="7" s="1"/>
  <c r="F18" i="7" l="1"/>
  <c r="G15" i="7"/>
  <c r="F21" i="7"/>
  <c r="F19" i="7"/>
  <c r="F25" i="7" l="1"/>
  <c r="F26" i="7" s="1"/>
  <c r="F23" i="7"/>
  <c r="F24" i="7" s="1"/>
  <c r="G17" i="7"/>
  <c r="G18" i="7" s="1"/>
  <c r="H15" i="7" l="1"/>
  <c r="G19" i="7"/>
  <c r="G25" i="7" s="1"/>
  <c r="G26" i="7" s="1"/>
  <c r="F27" i="7"/>
  <c r="G21" i="7"/>
  <c r="H17" i="7"/>
  <c r="H18" i="7" s="1"/>
  <c r="G23" i="7" l="1"/>
  <c r="G24" i="7" s="1"/>
  <c r="G27" i="7" s="1"/>
  <c r="I15" i="7"/>
  <c r="H21" i="7"/>
  <c r="H19" i="7"/>
  <c r="H25" i="7" l="1"/>
  <c r="H26" i="7" s="1"/>
  <c r="H23" i="7"/>
  <c r="H24" i="7" s="1"/>
  <c r="H27" i="7" s="1"/>
  <c r="I17" i="7"/>
  <c r="I18" i="7" s="1"/>
  <c r="J15" i="7" l="1"/>
  <c r="I21" i="7"/>
  <c r="J17" i="7"/>
  <c r="J18" i="7" s="1"/>
  <c r="I19" i="7"/>
  <c r="K15" i="7" l="1"/>
  <c r="J19" i="7"/>
  <c r="J25" i="7" s="1"/>
  <c r="I25" i="7"/>
  <c r="I26" i="7" s="1"/>
  <c r="I23" i="7"/>
  <c r="I24" i="7" s="1"/>
  <c r="J21" i="7"/>
  <c r="K17" i="7"/>
  <c r="K18" i="7" s="1"/>
  <c r="I27" i="7" l="1"/>
  <c r="J26" i="7"/>
  <c r="J23" i="7"/>
  <c r="J24" i="7" s="1"/>
  <c r="L15" i="7"/>
  <c r="K21" i="7"/>
  <c r="K19" i="7"/>
  <c r="J27" i="7" l="1"/>
  <c r="K25" i="7"/>
  <c r="K26" i="7" s="1"/>
  <c r="K23" i="7"/>
  <c r="K24" i="7" s="1"/>
  <c r="K27" i="7" s="1"/>
  <c r="L18" i="7"/>
  <c r="M15" i="7" s="1"/>
  <c r="L17" i="7"/>
  <c r="L19" i="7" l="1"/>
  <c r="L25" i="7"/>
  <c r="L26" i="7" s="1"/>
  <c r="M17" i="7"/>
  <c r="M18" i="7" s="1"/>
  <c r="L21" i="7"/>
  <c r="L23" i="7" s="1"/>
  <c r="L24" i="7" s="1"/>
  <c r="L27" i="7" l="1"/>
  <c r="N15" i="7"/>
  <c r="N18" i="7" s="1"/>
  <c r="O15" i="7" s="1"/>
  <c r="M21" i="7"/>
  <c r="N17" i="7"/>
  <c r="M19" i="7"/>
  <c r="O17" i="7" l="1"/>
  <c r="O18" i="7"/>
  <c r="O21" i="7" s="1"/>
  <c r="N19" i="7"/>
  <c r="M25" i="7"/>
  <c r="M26" i="7" s="1"/>
  <c r="M23" i="7"/>
  <c r="M24" i="7" s="1"/>
  <c r="N21" i="7"/>
  <c r="M27" i="7" l="1"/>
  <c r="O19" i="7"/>
  <c r="N25" i="7"/>
  <c r="N26" i="7" s="1"/>
  <c r="N23" i="7"/>
  <c r="N24" i="7" s="1"/>
  <c r="N27" i="7" s="1"/>
  <c r="O25" i="7" l="1"/>
  <c r="O26" i="7" s="1"/>
  <c r="O23" i="7"/>
  <c r="O24" i="7" s="1"/>
  <c r="O27" i="7" l="1"/>
  <c r="F29" i="7"/>
  <c r="F30" i="7"/>
  <c r="L2" i="7" l="1"/>
  <c r="L36" i="7"/>
  <c r="K2" i="7"/>
  <c r="K36" i="7"/>
  <c r="F16" i="5" l="1"/>
  <c r="G16" i="5" s="1"/>
  <c r="H16" i="5" s="1"/>
  <c r="I16" i="5" s="1"/>
  <c r="J16" i="5" s="1"/>
  <c r="K16" i="5" s="1"/>
  <c r="L16" i="5" s="1"/>
  <c r="M16" i="5" s="1"/>
  <c r="N16" i="5" s="1"/>
  <c r="O16" i="5" s="1"/>
  <c r="H32" i="5"/>
  <c r="O22" i="5"/>
  <c r="N22" i="5"/>
  <c r="M22" i="5"/>
  <c r="L22" i="5"/>
  <c r="K22" i="5"/>
  <c r="J22" i="5"/>
  <c r="I22" i="5"/>
  <c r="H22" i="5"/>
  <c r="G22" i="5"/>
  <c r="F22" i="5"/>
  <c r="O20" i="5"/>
  <c r="N20" i="5"/>
  <c r="M20" i="5"/>
  <c r="L20" i="5"/>
  <c r="K20" i="5"/>
  <c r="J20" i="5"/>
  <c r="I20" i="5"/>
  <c r="H20" i="5"/>
  <c r="G20" i="5"/>
  <c r="F20" i="5"/>
  <c r="F17" i="5"/>
  <c r="F18" i="5" s="1"/>
  <c r="E14" i="5"/>
  <c r="E27" i="5" s="1"/>
  <c r="F22" i="3"/>
  <c r="G22" i="3" s="1"/>
  <c r="H22" i="3" s="1"/>
  <c r="I22" i="3" s="1"/>
  <c r="J22" i="3" s="1"/>
  <c r="K22" i="3" s="1"/>
  <c r="L22" i="3" s="1"/>
  <c r="M22" i="3" s="1"/>
  <c r="N22" i="3" s="1"/>
  <c r="O22" i="3" s="1"/>
  <c r="F21" i="3"/>
  <c r="G21" i="3" s="1"/>
  <c r="H21" i="3" s="1"/>
  <c r="I21" i="3" s="1"/>
  <c r="J21" i="3" s="1"/>
  <c r="K21" i="3" s="1"/>
  <c r="L21" i="3" s="1"/>
  <c r="M21" i="3" s="1"/>
  <c r="N21" i="3" s="1"/>
  <c r="O21" i="3" s="1"/>
  <c r="F19" i="3"/>
  <c r="G19" i="3" s="1"/>
  <c r="H34" i="3"/>
  <c r="O24" i="3"/>
  <c r="N24" i="3"/>
  <c r="M24" i="3"/>
  <c r="L24" i="3"/>
  <c r="K24" i="3"/>
  <c r="J24" i="3"/>
  <c r="I24" i="3"/>
  <c r="H24" i="3"/>
  <c r="G24" i="3"/>
  <c r="F24" i="3"/>
  <c r="F17" i="3"/>
  <c r="O16" i="3"/>
  <c r="N16" i="3"/>
  <c r="M16" i="3"/>
  <c r="L16" i="3"/>
  <c r="K16" i="3"/>
  <c r="J16" i="3"/>
  <c r="I16" i="3"/>
  <c r="H16" i="3"/>
  <c r="G16" i="3"/>
  <c r="F16" i="3"/>
  <c r="E14" i="3"/>
  <c r="E29" i="3" s="1"/>
  <c r="H32" i="2"/>
  <c r="O22" i="2"/>
  <c r="N22" i="2"/>
  <c r="M22" i="2"/>
  <c r="L22" i="2"/>
  <c r="K22" i="2"/>
  <c r="J22" i="2"/>
  <c r="I22" i="2"/>
  <c r="H22" i="2"/>
  <c r="G22" i="2"/>
  <c r="F22" i="2"/>
  <c r="O20" i="2"/>
  <c r="N20" i="2"/>
  <c r="M20" i="2"/>
  <c r="L20" i="2"/>
  <c r="K20" i="2"/>
  <c r="J20" i="2"/>
  <c r="I20" i="2"/>
  <c r="H20" i="2"/>
  <c r="G20" i="2"/>
  <c r="F20" i="2"/>
  <c r="F17" i="2"/>
  <c r="F16" i="2"/>
  <c r="E14" i="2"/>
  <c r="E27" i="2" s="1"/>
  <c r="F18" i="2" l="1"/>
  <c r="F19" i="2" s="1"/>
  <c r="F18" i="3"/>
  <c r="G15" i="3" s="1"/>
  <c r="G17" i="3" s="1"/>
  <c r="G18" i="3" s="1"/>
  <c r="G20" i="3" s="1"/>
  <c r="F23" i="3"/>
  <c r="F21" i="5"/>
  <c r="F19" i="5"/>
  <c r="G15" i="5"/>
  <c r="H19" i="3"/>
  <c r="G16" i="2"/>
  <c r="H16" i="2" s="1"/>
  <c r="I16" i="2" s="1"/>
  <c r="J16" i="2" s="1"/>
  <c r="K16" i="2" s="1"/>
  <c r="L16" i="2" s="1"/>
  <c r="M16" i="2" s="1"/>
  <c r="N16" i="2" s="1"/>
  <c r="O16" i="2" s="1"/>
  <c r="F21" i="2"/>
  <c r="H20" i="4"/>
  <c r="I20" i="4"/>
  <c r="J20" i="4"/>
  <c r="K20" i="4"/>
  <c r="L20" i="4"/>
  <c r="M20" i="4"/>
  <c r="N20" i="4"/>
  <c r="O20" i="4"/>
  <c r="H22" i="4"/>
  <c r="I22" i="4"/>
  <c r="J22" i="4"/>
  <c r="K22" i="4"/>
  <c r="L22" i="4"/>
  <c r="M22" i="4"/>
  <c r="N22" i="4"/>
  <c r="O22" i="4"/>
  <c r="G22" i="4"/>
  <c r="G20" i="4"/>
  <c r="G16" i="4"/>
  <c r="H16" i="4" s="1"/>
  <c r="I16" i="4" s="1"/>
  <c r="J16" i="4" s="1"/>
  <c r="K16" i="4" s="1"/>
  <c r="L16" i="4" s="1"/>
  <c r="M16" i="4" s="1"/>
  <c r="N16" i="4" s="1"/>
  <c r="O16" i="4" s="1"/>
  <c r="F22" i="4"/>
  <c r="F20" i="4"/>
  <c r="F18" i="4"/>
  <c r="G15" i="4" s="1"/>
  <c r="G17" i="4" s="1"/>
  <c r="G18" i="4" s="1"/>
  <c r="F16" i="4"/>
  <c r="E14" i="4"/>
  <c r="E27" i="4" s="1"/>
  <c r="F17" i="1"/>
  <c r="F18" i="1" s="1"/>
  <c r="F19" i="1" s="1"/>
  <c r="F25" i="1" s="1"/>
  <c r="H32" i="1"/>
  <c r="G22" i="1"/>
  <c r="H22" i="1"/>
  <c r="I22" i="1"/>
  <c r="J22" i="1"/>
  <c r="K22" i="1"/>
  <c r="L22" i="1"/>
  <c r="M22" i="1"/>
  <c r="N22" i="1"/>
  <c r="O22" i="1"/>
  <c r="F22" i="1"/>
  <c r="G20" i="1"/>
  <c r="H20" i="1"/>
  <c r="I20" i="1"/>
  <c r="J20" i="1"/>
  <c r="K20" i="1"/>
  <c r="L20" i="1"/>
  <c r="M20" i="1"/>
  <c r="N20" i="1"/>
  <c r="O20" i="1"/>
  <c r="F20" i="1"/>
  <c r="F16" i="1"/>
  <c r="H16" i="1"/>
  <c r="I16" i="1"/>
  <c r="J16" i="1"/>
  <c r="K16" i="1"/>
  <c r="L16" i="1"/>
  <c r="M16" i="1"/>
  <c r="N16" i="1"/>
  <c r="O16" i="1"/>
  <c r="G16" i="1"/>
  <c r="E14" i="1"/>
  <c r="E27" i="1" s="1"/>
  <c r="F19" i="4" l="1"/>
  <c r="F21" i="4"/>
  <c r="G15" i="2"/>
  <c r="G17" i="2" s="1"/>
  <c r="G18" i="2" s="1"/>
  <c r="F20" i="3"/>
  <c r="F27" i="3" s="1"/>
  <c r="F28" i="3" s="1"/>
  <c r="G17" i="5"/>
  <c r="G18" i="5" s="1"/>
  <c r="F25" i="5"/>
  <c r="F26" i="5" s="1"/>
  <c r="F23" i="5"/>
  <c r="F24" i="5" s="1"/>
  <c r="I19" i="3"/>
  <c r="H15" i="3"/>
  <c r="H17" i="3" s="1"/>
  <c r="G23" i="3"/>
  <c r="F25" i="2"/>
  <c r="F26" i="2" s="1"/>
  <c r="F23" i="2"/>
  <c r="F24" i="2" s="1"/>
  <c r="G19" i="4"/>
  <c r="G21" i="4"/>
  <c r="H15" i="4"/>
  <c r="F21" i="1"/>
  <c r="F23" i="1" s="1"/>
  <c r="F24" i="1" s="1"/>
  <c r="F26" i="1"/>
  <c r="G15" i="1"/>
  <c r="F25" i="3" l="1"/>
  <c r="F26" i="3" s="1"/>
  <c r="F25" i="4"/>
  <c r="F26" i="4" s="1"/>
  <c r="F23" i="4"/>
  <c r="F24" i="4" s="1"/>
  <c r="F27" i="4" s="1"/>
  <c r="F27" i="2"/>
  <c r="H18" i="3"/>
  <c r="I15" i="3" s="1"/>
  <c r="H20" i="3"/>
  <c r="F27" i="1"/>
  <c r="F27" i="5"/>
  <c r="H15" i="5"/>
  <c r="G19" i="5"/>
  <c r="G21" i="5"/>
  <c r="J19" i="3"/>
  <c r="F29" i="3"/>
  <c r="I17" i="3"/>
  <c r="I18" i="3" s="1"/>
  <c r="G27" i="3"/>
  <c r="G28" i="3" s="1"/>
  <c r="G25" i="3"/>
  <c r="G26" i="3" s="1"/>
  <c r="H23" i="3"/>
  <c r="H15" i="2"/>
  <c r="H17" i="2" s="1"/>
  <c r="H18" i="2" s="1"/>
  <c r="I15" i="2" s="1"/>
  <c r="G19" i="2"/>
  <c r="G25" i="2" s="1"/>
  <c r="G26" i="2" s="1"/>
  <c r="G21" i="2"/>
  <c r="H17" i="4"/>
  <c r="H18" i="4" s="1"/>
  <c r="G25" i="4"/>
  <c r="G26" i="4" s="1"/>
  <c r="G23" i="4"/>
  <c r="G24" i="4" s="1"/>
  <c r="G17" i="1"/>
  <c r="G18" i="1" s="1"/>
  <c r="G27" i="4" l="1"/>
  <c r="J15" i="3"/>
  <c r="I20" i="3"/>
  <c r="G25" i="5"/>
  <c r="G26" i="5" s="1"/>
  <c r="G23" i="5"/>
  <c r="G24" i="5" s="1"/>
  <c r="H17" i="5"/>
  <c r="H18" i="5" s="1"/>
  <c r="K19" i="3"/>
  <c r="G29" i="3"/>
  <c r="J17" i="3"/>
  <c r="J18" i="3" s="1"/>
  <c r="J20" i="3" s="1"/>
  <c r="H27" i="3"/>
  <c r="H28" i="3" s="1"/>
  <c r="H25" i="3"/>
  <c r="H26" i="3" s="1"/>
  <c r="I23" i="3"/>
  <c r="G23" i="2"/>
  <c r="G24" i="2" s="1"/>
  <c r="G27" i="2" s="1"/>
  <c r="I17" i="2"/>
  <c r="I18" i="2" s="1"/>
  <c r="H19" i="2"/>
  <c r="H21" i="2"/>
  <c r="I15" i="4"/>
  <c r="H19" i="4"/>
  <c r="H21" i="4"/>
  <c r="H15" i="1"/>
  <c r="G19" i="1"/>
  <c r="G21" i="1"/>
  <c r="I15" i="5" l="1"/>
  <c r="H21" i="5"/>
  <c r="G27" i="5"/>
  <c r="H19" i="5"/>
  <c r="L19" i="3"/>
  <c r="K15" i="3"/>
  <c r="J23" i="3"/>
  <c r="I27" i="3"/>
  <c r="I28" i="3" s="1"/>
  <c r="I25" i="3"/>
  <c r="I26" i="3" s="1"/>
  <c r="H29" i="3"/>
  <c r="J15" i="2"/>
  <c r="I21" i="2"/>
  <c r="I19" i="2"/>
  <c r="H25" i="2"/>
  <c r="H26" i="2" s="1"/>
  <c r="H23" i="2"/>
  <c r="H24" i="2" s="1"/>
  <c r="H23" i="4"/>
  <c r="H24" i="4" s="1"/>
  <c r="H25" i="4"/>
  <c r="H26" i="4" s="1"/>
  <c r="I17" i="4"/>
  <c r="I18" i="4"/>
  <c r="J15" i="4" s="1"/>
  <c r="G25" i="1"/>
  <c r="G26" i="1" s="1"/>
  <c r="G23" i="1"/>
  <c r="G24" i="1" s="1"/>
  <c r="H17" i="1"/>
  <c r="H18" i="1" s="1"/>
  <c r="I15" i="1" s="1"/>
  <c r="I17" i="5" l="1"/>
  <c r="I18" i="5" s="1"/>
  <c r="H25" i="5"/>
  <c r="H26" i="5" s="1"/>
  <c r="H23" i="5"/>
  <c r="H24" i="5" s="1"/>
  <c r="M19" i="3"/>
  <c r="J27" i="3"/>
  <c r="J28" i="3" s="1"/>
  <c r="J25" i="3"/>
  <c r="J26" i="3" s="1"/>
  <c r="J29" i="3" s="1"/>
  <c r="I29" i="3"/>
  <c r="K17" i="3"/>
  <c r="K18" i="3" s="1"/>
  <c r="L15" i="3" s="1"/>
  <c r="I25" i="2"/>
  <c r="I26" i="2" s="1"/>
  <c r="I23" i="2"/>
  <c r="I24" i="2" s="1"/>
  <c r="H27" i="2"/>
  <c r="J17" i="2"/>
  <c r="J18" i="2" s="1"/>
  <c r="K15" i="2" s="1"/>
  <c r="J17" i="4"/>
  <c r="J18" i="4" s="1"/>
  <c r="K15" i="4" s="1"/>
  <c r="J19" i="4"/>
  <c r="J21" i="4"/>
  <c r="I21" i="4"/>
  <c r="I19" i="4"/>
  <c r="H27" i="4"/>
  <c r="G27" i="1"/>
  <c r="I17" i="1"/>
  <c r="I18" i="1" s="1"/>
  <c r="J15" i="1" s="1"/>
  <c r="H21" i="1"/>
  <c r="H19" i="1"/>
  <c r="K20" i="3" l="1"/>
  <c r="K27" i="3" s="1"/>
  <c r="K28" i="3" s="1"/>
  <c r="J15" i="5"/>
  <c r="J17" i="5" s="1"/>
  <c r="J18" i="5" s="1"/>
  <c r="K15" i="5" s="1"/>
  <c r="I21" i="5"/>
  <c r="I19" i="5"/>
  <c r="I25" i="5" s="1"/>
  <c r="I26" i="5" s="1"/>
  <c r="H27" i="5"/>
  <c r="N19" i="3"/>
  <c r="K23" i="3"/>
  <c r="L17" i="3"/>
  <c r="L18" i="3" s="1"/>
  <c r="M15" i="3" s="1"/>
  <c r="I27" i="2"/>
  <c r="J21" i="2"/>
  <c r="K17" i="2"/>
  <c r="K18" i="2" s="1"/>
  <c r="L15" i="2" s="1"/>
  <c r="J19" i="2"/>
  <c r="I23" i="4"/>
  <c r="I24" i="4" s="1"/>
  <c r="I27" i="4" s="1"/>
  <c r="I25" i="4"/>
  <c r="I26" i="4" s="1"/>
  <c r="J25" i="4"/>
  <c r="J26" i="4" s="1"/>
  <c r="J23" i="4"/>
  <c r="J24" i="4" s="1"/>
  <c r="J27" i="4" s="1"/>
  <c r="K17" i="4"/>
  <c r="K18" i="4" s="1"/>
  <c r="L15" i="4" s="1"/>
  <c r="I21" i="1"/>
  <c r="J17" i="1"/>
  <c r="J18" i="1" s="1"/>
  <c r="K15" i="1" s="1"/>
  <c r="I19" i="1"/>
  <c r="H23" i="1"/>
  <c r="H24" i="1" s="1"/>
  <c r="H25" i="1"/>
  <c r="H26" i="1" s="1"/>
  <c r="K25" i="3" l="1"/>
  <c r="K26" i="3" s="1"/>
  <c r="K29" i="3" s="1"/>
  <c r="L20" i="3"/>
  <c r="J21" i="5"/>
  <c r="J19" i="5"/>
  <c r="J25" i="5" s="1"/>
  <c r="J26" i="5" s="1"/>
  <c r="I23" i="5"/>
  <c r="I24" i="5" s="1"/>
  <c r="I27" i="5" s="1"/>
  <c r="K17" i="5"/>
  <c r="K18" i="5" s="1"/>
  <c r="L15" i="5" s="1"/>
  <c r="O19" i="3"/>
  <c r="M17" i="3"/>
  <c r="M18" i="3" s="1"/>
  <c r="L23" i="3"/>
  <c r="L17" i="2"/>
  <c r="L18" i="2" s="1"/>
  <c r="J25" i="2"/>
  <c r="J26" i="2" s="1"/>
  <c r="J23" i="2"/>
  <c r="J24" i="2" s="1"/>
  <c r="K19" i="2"/>
  <c r="K21" i="2"/>
  <c r="L17" i="4"/>
  <c r="L18" i="4" s="1"/>
  <c r="K19" i="4"/>
  <c r="K21" i="4"/>
  <c r="K17" i="1"/>
  <c r="K18" i="1" s="1"/>
  <c r="J19" i="1"/>
  <c r="H27" i="1"/>
  <c r="J21" i="1"/>
  <c r="I23" i="1"/>
  <c r="I24" i="1" s="1"/>
  <c r="I25" i="1"/>
  <c r="I26" i="1" s="1"/>
  <c r="M15" i="4" l="1"/>
  <c r="L21" i="4"/>
  <c r="L19" i="4"/>
  <c r="J23" i="5"/>
  <c r="J24" i="5" s="1"/>
  <c r="J27" i="5" s="1"/>
  <c r="N15" i="3"/>
  <c r="N17" i="3" s="1"/>
  <c r="N18" i="3" s="1"/>
  <c r="M20" i="3"/>
  <c r="K19" i="5"/>
  <c r="K25" i="5" s="1"/>
  <c r="K26" i="5" s="1"/>
  <c r="L17" i="5"/>
  <c r="L18" i="5" s="1"/>
  <c r="K21" i="5"/>
  <c r="L27" i="3"/>
  <c r="L28" i="3" s="1"/>
  <c r="L25" i="3"/>
  <c r="L26" i="3" s="1"/>
  <c r="M23" i="3"/>
  <c r="J27" i="2"/>
  <c r="M15" i="2"/>
  <c r="L21" i="2"/>
  <c r="L19" i="2"/>
  <c r="K25" i="2"/>
  <c r="K26" i="2" s="1"/>
  <c r="K23" i="2"/>
  <c r="K24" i="2" s="1"/>
  <c r="K23" i="4"/>
  <c r="K24" i="4" s="1"/>
  <c r="K25" i="4"/>
  <c r="K26" i="4" s="1"/>
  <c r="L15" i="1"/>
  <c r="K19" i="1"/>
  <c r="K21" i="1"/>
  <c r="I27" i="1"/>
  <c r="J23" i="1"/>
  <c r="J24" i="1" s="1"/>
  <c r="J25" i="1"/>
  <c r="J26" i="1" s="1"/>
  <c r="K27" i="4" l="1"/>
  <c r="L23" i="4"/>
  <c r="L24" i="4" s="1"/>
  <c r="L25" i="4"/>
  <c r="M17" i="4"/>
  <c r="M18" i="4" s="1"/>
  <c r="M19" i="4"/>
  <c r="N20" i="3"/>
  <c r="N27" i="3" s="1"/>
  <c r="K23" i="5"/>
  <c r="K24" i="5" s="1"/>
  <c r="K27" i="5" s="1"/>
  <c r="M15" i="5"/>
  <c r="L19" i="5"/>
  <c r="L21" i="5"/>
  <c r="O15" i="3"/>
  <c r="O17" i="3" s="1"/>
  <c r="O18" i="3" s="1"/>
  <c r="L29" i="3"/>
  <c r="N23" i="3"/>
  <c r="M27" i="3"/>
  <c r="M28" i="3" s="1"/>
  <c r="M25" i="3"/>
  <c r="M26" i="3" s="1"/>
  <c r="L25" i="2"/>
  <c r="L26" i="2" s="1"/>
  <c r="L23" i="2"/>
  <c r="L24" i="2" s="1"/>
  <c r="K27" i="2"/>
  <c r="M17" i="2"/>
  <c r="M18" i="2" s="1"/>
  <c r="N15" i="2" s="1"/>
  <c r="L26" i="4"/>
  <c r="L27" i="4" s="1"/>
  <c r="L17" i="1"/>
  <c r="L18" i="1" s="1"/>
  <c r="J27" i="1"/>
  <c r="K25" i="1"/>
  <c r="K26" i="1" s="1"/>
  <c r="K23" i="1"/>
  <c r="K24" i="1" s="1"/>
  <c r="N15" i="4" l="1"/>
  <c r="M21" i="4"/>
  <c r="M25" i="4"/>
  <c r="M26" i="4" s="1"/>
  <c r="M23" i="4"/>
  <c r="M24" i="4" s="1"/>
  <c r="M27" i="4" s="1"/>
  <c r="O20" i="3"/>
  <c r="K27" i="1"/>
  <c r="M29" i="3"/>
  <c r="L25" i="5"/>
  <c r="L26" i="5" s="1"/>
  <c r="L23" i="5"/>
  <c r="L24" i="5" s="1"/>
  <c r="M17" i="5"/>
  <c r="M18" i="5" s="1"/>
  <c r="N15" i="5" s="1"/>
  <c r="N25" i="3"/>
  <c r="N26" i="3" s="1"/>
  <c r="O23" i="3"/>
  <c r="N28" i="3"/>
  <c r="L27" i="2"/>
  <c r="N17" i="2"/>
  <c r="N18" i="2" s="1"/>
  <c r="M19" i="2"/>
  <c r="M21" i="2"/>
  <c r="M15" i="1"/>
  <c r="L19" i="1"/>
  <c r="L21" i="1"/>
  <c r="N17" i="4" l="1"/>
  <c r="N18" i="4" s="1"/>
  <c r="O15" i="4" s="1"/>
  <c r="N21" i="4"/>
  <c r="N19" i="4"/>
  <c r="L27" i="5"/>
  <c r="M19" i="5"/>
  <c r="M25" i="5" s="1"/>
  <c r="M26" i="5" s="1"/>
  <c r="M21" i="5"/>
  <c r="N17" i="5"/>
  <c r="N18" i="5" s="1"/>
  <c r="O15" i="5" s="1"/>
  <c r="N29" i="3"/>
  <c r="O27" i="3"/>
  <c r="O28" i="3" s="1"/>
  <c r="O25" i="3"/>
  <c r="O26" i="3" s="1"/>
  <c r="O15" i="2"/>
  <c r="N21" i="2"/>
  <c r="N19" i="2"/>
  <c r="M25" i="2"/>
  <c r="M26" i="2" s="1"/>
  <c r="M23" i="2"/>
  <c r="M24" i="2" s="1"/>
  <c r="L23" i="1"/>
  <c r="L24" i="1" s="1"/>
  <c r="L25" i="1"/>
  <c r="L26" i="1" s="1"/>
  <c r="M17" i="1"/>
  <c r="M18" i="1" s="1"/>
  <c r="N25" i="4" l="1"/>
  <c r="N26" i="4" s="1"/>
  <c r="N23" i="4"/>
  <c r="N24" i="4" s="1"/>
  <c r="N27" i="4" s="1"/>
  <c r="O17" i="4"/>
  <c r="O18" i="4" s="1"/>
  <c r="O21" i="4" s="1"/>
  <c r="O19" i="4"/>
  <c r="M23" i="5"/>
  <c r="M24" i="5" s="1"/>
  <c r="M27" i="5" s="1"/>
  <c r="O29" i="3"/>
  <c r="F32" i="3" s="1"/>
  <c r="L2" i="3" s="1"/>
  <c r="N19" i="5"/>
  <c r="N25" i="5" s="1"/>
  <c r="N26" i="5" s="1"/>
  <c r="O17" i="5"/>
  <c r="O18" i="5" s="1"/>
  <c r="N21" i="5"/>
  <c r="F31" i="3"/>
  <c r="K2" i="3" s="1"/>
  <c r="N25" i="2"/>
  <c r="N26" i="2" s="1"/>
  <c r="N23" i="2"/>
  <c r="N24" i="2" s="1"/>
  <c r="M27" i="2"/>
  <c r="O17" i="2"/>
  <c r="O18" i="2" s="1"/>
  <c r="O19" i="2" s="1"/>
  <c r="N15" i="1"/>
  <c r="M21" i="1"/>
  <c r="M19" i="1"/>
  <c r="L27" i="1"/>
  <c r="O23" i="4" l="1"/>
  <c r="O24" i="4" s="1"/>
  <c r="O25" i="4"/>
  <c r="O26" i="4" s="1"/>
  <c r="N27" i="2"/>
  <c r="N23" i="5"/>
  <c r="N24" i="5" s="1"/>
  <c r="N27" i="5" s="1"/>
  <c r="O21" i="5"/>
  <c r="O19" i="5"/>
  <c r="O21" i="2"/>
  <c r="O23" i="2" s="1"/>
  <c r="O24" i="2" s="1"/>
  <c r="O25" i="2"/>
  <c r="O26" i="2" s="1"/>
  <c r="N17" i="1"/>
  <c r="N18" i="1" s="1"/>
  <c r="M23" i="1"/>
  <c r="M24" i="1" s="1"/>
  <c r="M25" i="1"/>
  <c r="M26" i="1" s="1"/>
  <c r="O27" i="4" l="1"/>
  <c r="M27" i="1"/>
  <c r="O25" i="5"/>
  <c r="O26" i="5" s="1"/>
  <c r="O23" i="5"/>
  <c r="O24" i="5" s="1"/>
  <c r="O27" i="2"/>
  <c r="F30" i="2" s="1"/>
  <c r="L2" i="2" s="1"/>
  <c r="F29" i="2"/>
  <c r="K2" i="2" s="1"/>
  <c r="O15" i="1"/>
  <c r="N21" i="1"/>
  <c r="N19" i="1"/>
  <c r="E31" i="4" l="1"/>
  <c r="K2" i="4" s="1"/>
  <c r="E32" i="4"/>
  <c r="L2" i="4" s="1"/>
  <c r="O27" i="5"/>
  <c r="N23" i="1"/>
  <c r="N24" i="1" s="1"/>
  <c r="N25" i="1"/>
  <c r="N26" i="1" s="1"/>
  <c r="O17" i="1"/>
  <c r="O18" i="1" s="1"/>
  <c r="F30" i="5" l="1"/>
  <c r="L2" i="5" s="1"/>
  <c r="F29" i="5"/>
  <c r="K2" i="5" s="1"/>
  <c r="O21" i="1"/>
  <c r="O19" i="1"/>
  <c r="O25" i="1" s="1"/>
  <c r="O26" i="1" s="1"/>
  <c r="N27" i="1"/>
  <c r="O23" i="1" l="1"/>
  <c r="O24" i="1" s="1"/>
  <c r="O27" i="1" s="1"/>
  <c r="F29" i="1" l="1"/>
  <c r="K2" i="1" s="1"/>
  <c r="F30" i="1"/>
  <c r="L2" i="1" s="1"/>
</calcChain>
</file>

<file path=xl/sharedStrings.xml><?xml version="1.0" encoding="utf-8"?>
<sst xmlns="http://schemas.openxmlformats.org/spreadsheetml/2006/main" count="185" uniqueCount="37">
  <si>
    <t>fixedcost</t>
  </si>
  <si>
    <t>anncostpermember</t>
  </si>
  <si>
    <t>annfee</t>
  </si>
  <si>
    <t>annfixedcost</t>
  </si>
  <si>
    <t>buildcost</t>
  </si>
  <si>
    <t>newmembersperyear</t>
  </si>
  <si>
    <t>discountrate</t>
  </si>
  <si>
    <t>workingcappercentage</t>
  </si>
  <si>
    <t>revenue</t>
  </si>
  <si>
    <t>beginning customers</t>
  </si>
  <si>
    <t>quits</t>
  </si>
  <si>
    <t>depreciation</t>
  </si>
  <si>
    <t>taxrate</t>
  </si>
  <si>
    <t>new customers</t>
  </si>
  <si>
    <t>end customers</t>
  </si>
  <si>
    <t>variable cost</t>
  </si>
  <si>
    <t>before tax profits</t>
  </si>
  <si>
    <t>after tax profits</t>
  </si>
  <si>
    <t>working capital</t>
  </si>
  <si>
    <t>change in working capital</t>
  </si>
  <si>
    <t>cash flow</t>
  </si>
  <si>
    <t>NPV</t>
  </si>
  <si>
    <t>retentionrate</t>
  </si>
  <si>
    <t>IRR</t>
  </si>
  <si>
    <t xml:space="preserve">retention </t>
  </si>
  <si>
    <t>rate</t>
  </si>
  <si>
    <t>Annual fixed cost</t>
  </si>
  <si>
    <t>Retention Rate</t>
  </si>
  <si>
    <t>growthyear</t>
  </si>
  <si>
    <t>growthpercent</t>
  </si>
  <si>
    <t>droppercent</t>
  </si>
  <si>
    <t>memfeegrowth</t>
  </si>
  <si>
    <t>fixedcostgrowth</t>
  </si>
  <si>
    <t>costpermemgrowth</t>
  </si>
  <si>
    <t>year1 customers</t>
  </si>
  <si>
    <t>droprate</t>
  </si>
  <si>
    <t>one way table for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</si>
</sst>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9" fontId="1" fillId="0" borderId="0" xfId="1" applyFont="1"/>
    <xf numFmtId="164" fontId="1" fillId="0" borderId="0" xfId="2" applyFont="1"/>
    <xf numFmtId="10" fontId="1" fillId="0" borderId="0" xfId="1" applyNumberFormat="1" applyFont="1"/>
    <xf numFmtId="0" fontId="0" fillId="0" borderId="0" xfId="0" applyFont="1"/>
    <xf numFmtId="0" fontId="3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2"/>
  <sheetViews>
    <sheetView topLeftCell="B4" zoomScale="90" zoomScaleNormal="90" workbookViewId="0">
      <selection activeCell="E8" sqref="E8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5" width="22.45312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J1" s="1" t="s">
        <v>27</v>
      </c>
      <c r="K1" s="1" t="s">
        <v>21</v>
      </c>
      <c r="L1" s="1" t="s">
        <v>23</v>
      </c>
    </row>
    <row r="2" spans="3:15" x14ac:dyDescent="0.35">
      <c r="K2" s="4">
        <f>E31</f>
        <v>1278375.9679734325</v>
      </c>
      <c r="L2" s="5">
        <f>E32</f>
        <v>0.29675486683845531</v>
      </c>
    </row>
    <row r="3" spans="3:15" x14ac:dyDescent="0.35">
      <c r="C3" s="1" t="s">
        <v>4</v>
      </c>
      <c r="D3" s="4">
        <v>900000</v>
      </c>
      <c r="J3" s="1">
        <v>0.7</v>
      </c>
      <c r="K3" s="4">
        <f t="dataTable" ref="K3:L8" dt2D="0" dtr="0" r1="D8"/>
        <v>708772.76070879609</v>
      </c>
      <c r="L3" s="6">
        <v>0.22764472365379335</v>
      </c>
    </row>
    <row r="4" spans="3:15" x14ac:dyDescent="0.35">
      <c r="C4" s="1" t="s">
        <v>1</v>
      </c>
      <c r="D4" s="4">
        <v>100</v>
      </c>
      <c r="J4" s="1">
        <v>0.75</v>
      </c>
      <c r="K4" s="4">
        <v>970519.09074652824</v>
      </c>
      <c r="L4" s="6">
        <v>0.26191597580909731</v>
      </c>
    </row>
    <row r="5" spans="3:15" x14ac:dyDescent="0.35">
      <c r="C5" s="1" t="s">
        <v>2</v>
      </c>
      <c r="D5" s="4">
        <v>400</v>
      </c>
      <c r="J5" s="1">
        <v>0.8</v>
      </c>
      <c r="K5" s="4">
        <v>1278375.9679734325</v>
      </c>
      <c r="L5" s="6">
        <v>0.29675486683845531</v>
      </c>
    </row>
    <row r="6" spans="3:15" x14ac:dyDescent="0.35">
      <c r="C6" s="1" t="s">
        <v>3</v>
      </c>
      <c r="D6" s="4">
        <v>350000</v>
      </c>
      <c r="J6" s="1">
        <v>0.85</v>
      </c>
      <c r="K6" s="4">
        <v>1642304.6922152347</v>
      </c>
      <c r="L6" s="6">
        <v>0.33216217160224915</v>
      </c>
    </row>
    <row r="7" spans="3:15" x14ac:dyDescent="0.35">
      <c r="C7" s="1" t="s">
        <v>5</v>
      </c>
      <c r="D7" s="1">
        <v>1000</v>
      </c>
      <c r="J7" s="1">
        <v>0.9</v>
      </c>
      <c r="K7" s="4">
        <v>2074463.458672381</v>
      </c>
      <c r="L7" s="6">
        <v>0.36812561154365531</v>
      </c>
    </row>
    <row r="8" spans="3:15" x14ac:dyDescent="0.35">
      <c r="C8" s="1" t="s">
        <v>22</v>
      </c>
      <c r="D8" s="1">
        <v>0.8</v>
      </c>
      <c r="J8" s="1">
        <v>0.95</v>
      </c>
      <c r="K8" s="4">
        <v>2589647.9755511736</v>
      </c>
      <c r="L8" s="6">
        <v>0.40462322831153863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 t="shared" si="0"/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>newmembersperyear</f>
        <v>1000</v>
      </c>
      <c r="G16" s="1">
        <f>F16</f>
        <v>1000</v>
      </c>
      <c r="H16" s="1">
        <f t="shared" ref="H16:O16" si="1">G16</f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v>0</v>
      </c>
      <c r="G17" s="1">
        <f t="shared" ref="G17:O17" si="2">(1-retentionrate)*G15</f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3">H15+H16-H17</f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35">
      <c r="D19" s="1" t="s">
        <v>8</v>
      </c>
      <c r="F19" s="4">
        <f>annfee*(F15+F18)</f>
        <v>400000</v>
      </c>
      <c r="G19" s="4">
        <f t="shared" ref="G19:O19" si="4">annfee*(G15+G18)*0.5</f>
        <v>560000</v>
      </c>
      <c r="H19" s="4">
        <f t="shared" si="4"/>
        <v>848000</v>
      </c>
      <c r="I19" s="4">
        <f t="shared" si="4"/>
        <v>1078400</v>
      </c>
      <c r="J19" s="4">
        <f t="shared" si="4"/>
        <v>1262720</v>
      </c>
      <c r="K19" s="4">
        <f t="shared" si="4"/>
        <v>1410176.0000000002</v>
      </c>
      <c r="L19" s="4">
        <f t="shared" si="4"/>
        <v>1528140.8000000003</v>
      </c>
      <c r="M19" s="4">
        <f t="shared" si="4"/>
        <v>1622512.6400000004</v>
      </c>
      <c r="N19" s="4">
        <f t="shared" si="4"/>
        <v>1698010.1120000002</v>
      </c>
      <c r="O19" s="4">
        <f t="shared" si="4"/>
        <v>1758408.0896000003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>anncostpermember*(F15+F18)</f>
        <v>100000</v>
      </c>
      <c r="G21" s="4">
        <f t="shared" ref="G21:O21" si="6">anncostpermember*(G15+G18)*0.5</f>
        <v>140000</v>
      </c>
      <c r="H21" s="4">
        <f t="shared" si="6"/>
        <v>212000</v>
      </c>
      <c r="I21" s="4">
        <f t="shared" si="6"/>
        <v>269600</v>
      </c>
      <c r="J21" s="4">
        <f t="shared" si="6"/>
        <v>315680</v>
      </c>
      <c r="K21" s="4">
        <f t="shared" si="6"/>
        <v>352544.00000000006</v>
      </c>
      <c r="L21" s="4">
        <f t="shared" si="6"/>
        <v>382035.20000000007</v>
      </c>
      <c r="M21" s="4">
        <f t="shared" si="6"/>
        <v>405628.16000000009</v>
      </c>
      <c r="N21" s="4">
        <f t="shared" si="6"/>
        <v>424502.52800000005</v>
      </c>
      <c r="O21" s="4">
        <f t="shared" si="6"/>
        <v>439602.02240000007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-140000</v>
      </c>
      <c r="G23" s="4">
        <f>G19-G20-G21-G22</f>
        <v>-20000</v>
      </c>
      <c r="H23" s="4">
        <f t="shared" ref="H23:O23" si="8">H19-H20-H21-H22</f>
        <v>196000</v>
      </c>
      <c r="I23" s="4">
        <f t="shared" si="8"/>
        <v>368800</v>
      </c>
      <c r="J23" s="4">
        <f t="shared" si="8"/>
        <v>507040</v>
      </c>
      <c r="K23" s="4">
        <f t="shared" si="8"/>
        <v>617632.00000000023</v>
      </c>
      <c r="L23" s="4">
        <f t="shared" si="8"/>
        <v>706105.60000000021</v>
      </c>
      <c r="M23" s="4">
        <f t="shared" si="8"/>
        <v>776884.48000000021</v>
      </c>
      <c r="N23" s="4">
        <f t="shared" si="8"/>
        <v>833507.58400000015</v>
      </c>
      <c r="O23" s="4">
        <f t="shared" si="8"/>
        <v>878806.06720000017</v>
      </c>
      <c r="P23" s="4"/>
    </row>
    <row r="24" spans="3:16" x14ac:dyDescent="0.35">
      <c r="D24" s="1" t="s">
        <v>17</v>
      </c>
      <c r="F24" s="4">
        <f t="shared" ref="F24:O24" si="9">(1-taxrate)*F23</f>
        <v>-84000</v>
      </c>
      <c r="G24" s="4">
        <f t="shared" si="9"/>
        <v>-12000</v>
      </c>
      <c r="H24" s="4">
        <f t="shared" si="9"/>
        <v>117600</v>
      </c>
      <c r="I24" s="4">
        <f t="shared" si="9"/>
        <v>221280</v>
      </c>
      <c r="J24" s="4">
        <f t="shared" si="9"/>
        <v>304224</v>
      </c>
      <c r="K24" s="4">
        <f t="shared" si="9"/>
        <v>370579.20000000013</v>
      </c>
      <c r="L24" s="4">
        <f t="shared" si="9"/>
        <v>423663.3600000001</v>
      </c>
      <c r="M24" s="4">
        <f t="shared" si="9"/>
        <v>466130.68800000014</v>
      </c>
      <c r="N24" s="4">
        <f t="shared" si="9"/>
        <v>500104.55040000007</v>
      </c>
      <c r="O24" s="4">
        <f t="shared" si="9"/>
        <v>527283.64032000012</v>
      </c>
      <c r="P24" s="4"/>
    </row>
    <row r="25" spans="3:16" x14ac:dyDescent="0.35">
      <c r="D25" s="1" t="s">
        <v>18</v>
      </c>
      <c r="E25" s="4">
        <v>0</v>
      </c>
      <c r="F25" s="4">
        <f t="shared" ref="F25:O25" si="10">F19*workingcappercentage</f>
        <v>40000</v>
      </c>
      <c r="G25" s="4">
        <f t="shared" si="10"/>
        <v>56000</v>
      </c>
      <c r="H25" s="4">
        <f t="shared" si="10"/>
        <v>84800</v>
      </c>
      <c r="I25" s="4">
        <f t="shared" si="10"/>
        <v>107840</v>
      </c>
      <c r="J25" s="4">
        <f t="shared" si="10"/>
        <v>126272</v>
      </c>
      <c r="K25" s="4">
        <f t="shared" si="10"/>
        <v>141017.60000000003</v>
      </c>
      <c r="L25" s="4">
        <f t="shared" si="10"/>
        <v>152814.08000000005</v>
      </c>
      <c r="M25" s="4">
        <f t="shared" si="10"/>
        <v>162251.26400000005</v>
      </c>
      <c r="N25" s="4">
        <f t="shared" si="10"/>
        <v>169801.01120000004</v>
      </c>
      <c r="O25" s="4">
        <f t="shared" si="10"/>
        <v>175840.80896000005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16000</v>
      </c>
      <c r="H26" s="4">
        <f t="shared" ref="H26:O26" si="11">H25-G25</f>
        <v>28800</v>
      </c>
      <c r="I26" s="4">
        <f t="shared" si="11"/>
        <v>23040</v>
      </c>
      <c r="J26" s="4">
        <f t="shared" si="11"/>
        <v>18432</v>
      </c>
      <c r="K26" s="4">
        <f t="shared" si="11"/>
        <v>14745.600000000035</v>
      </c>
      <c r="L26" s="4">
        <f t="shared" si="11"/>
        <v>11796.48000000001</v>
      </c>
      <c r="M26" s="4">
        <f t="shared" si="11"/>
        <v>9437.1840000000084</v>
      </c>
      <c r="N26" s="4">
        <f t="shared" si="11"/>
        <v>7549.7471999999834</v>
      </c>
      <c r="O26" s="4">
        <f t="shared" si="11"/>
        <v>6039.7977600000158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F24+F22+F26</f>
        <v>46000</v>
      </c>
      <c r="G27" s="4">
        <f>G24+G22+G26</f>
        <v>94000</v>
      </c>
      <c r="H27" s="4">
        <f t="shared" ref="H27:O27" si="12">H24+H22+H26</f>
        <v>236400</v>
      </c>
      <c r="I27" s="4">
        <f t="shared" si="12"/>
        <v>334320</v>
      </c>
      <c r="J27" s="4">
        <f t="shared" si="12"/>
        <v>412656</v>
      </c>
      <c r="K27" s="4">
        <f t="shared" si="12"/>
        <v>475324.80000000016</v>
      </c>
      <c r="L27" s="4">
        <f t="shared" si="12"/>
        <v>525459.84000000008</v>
      </c>
      <c r="M27" s="4">
        <f t="shared" si="12"/>
        <v>565567.87200000009</v>
      </c>
      <c r="N27" s="4">
        <f t="shared" si="12"/>
        <v>597654.29760000005</v>
      </c>
      <c r="O27" s="4">
        <f t="shared" si="12"/>
        <v>623323.43808000011</v>
      </c>
      <c r="P27" s="4"/>
    </row>
    <row r="29" spans="3:16" x14ac:dyDescent="0.35">
      <c r="F29" s="4"/>
    </row>
    <row r="30" spans="3:16" x14ac:dyDescent="0.35">
      <c r="C30" s="4"/>
      <c r="F30" s="5"/>
    </row>
    <row r="31" spans="3:16" x14ac:dyDescent="0.35">
      <c r="C31" s="3"/>
      <c r="D31" s="1" t="s">
        <v>21</v>
      </c>
      <c r="E31" s="7">
        <f>XNPV(discountrate,E27:O27,E13:O13)</f>
        <v>1278375.9679734325</v>
      </c>
    </row>
    <row r="32" spans="3:16" x14ac:dyDescent="0.35">
      <c r="D32" s="1" t="s">
        <v>23</v>
      </c>
      <c r="E32" s="8">
        <f>XIRR(E27:O27,E13:O13)</f>
        <v>0.29675486683845531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6"/>
  <sheetViews>
    <sheetView topLeftCell="A4" zoomScale="90" zoomScaleNormal="90" workbookViewId="0">
      <selection activeCell="D11" sqref="D11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F29</f>
        <v>4923416.5990841277</v>
      </c>
      <c r="L2" s="5">
        <f>F30</f>
        <v>0.61573991179466259</v>
      </c>
    </row>
    <row r="3" spans="3:15" x14ac:dyDescent="0.35">
      <c r="C3" s="1" t="s">
        <v>4</v>
      </c>
      <c r="D3" s="4">
        <v>900000</v>
      </c>
      <c r="J3" s="1">
        <v>0.7</v>
      </c>
      <c r="K3" s="4">
        <f t="dataTable" ref="K3:L8" dt2D="0" dtr="0" r1="D8"/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I5" s="1" t="s">
        <v>24</v>
      </c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I6" s="1" t="s">
        <v>25</v>
      </c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>I18</f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 t="shared" ref="F16:O16" si="1">newmembersperyear</f>
        <v>1000</v>
      </c>
      <c r="G16" s="1">
        <f t="shared" si="1"/>
        <v>1000</v>
      </c>
      <c r="H16" s="1">
        <f t="shared" si="1"/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3">H15+H16-H17</f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35">
      <c r="D19" s="1" t="s">
        <v>8</v>
      </c>
      <c r="F19" s="4">
        <f t="shared" ref="F19:O19" si="4">annfee*(F15+F18)</f>
        <v>400000</v>
      </c>
      <c r="G19" s="4">
        <f>annfee*(G15+G18)</f>
        <v>1120000</v>
      </c>
      <c r="H19" s="4">
        <f t="shared" si="4"/>
        <v>1696000</v>
      </c>
      <c r="I19" s="4">
        <f t="shared" si="4"/>
        <v>2156800</v>
      </c>
      <c r="J19" s="4">
        <f t="shared" si="4"/>
        <v>2525440</v>
      </c>
      <c r="K19" s="4">
        <f t="shared" si="4"/>
        <v>2820352.0000000005</v>
      </c>
      <c r="L19" s="4">
        <f t="shared" si="4"/>
        <v>3056281.6000000006</v>
      </c>
      <c r="M19" s="4">
        <f t="shared" si="4"/>
        <v>3245025.2800000007</v>
      </c>
      <c r="N19" s="4">
        <f t="shared" si="4"/>
        <v>3396020.2240000004</v>
      </c>
      <c r="O19" s="4">
        <f t="shared" si="4"/>
        <v>3516816.1792000006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 t="shared" ref="F21:O21" si="6">0.5*(F15+F18)*anncostpermember</f>
        <v>50000</v>
      </c>
      <c r="G21" s="4">
        <f t="shared" si="6"/>
        <v>140000</v>
      </c>
      <c r="H21" s="4">
        <f t="shared" si="6"/>
        <v>212000</v>
      </c>
      <c r="I21" s="4">
        <f t="shared" si="6"/>
        <v>269600</v>
      </c>
      <c r="J21" s="4">
        <f t="shared" si="6"/>
        <v>315680</v>
      </c>
      <c r="K21" s="4">
        <f t="shared" si="6"/>
        <v>352544.00000000006</v>
      </c>
      <c r="L21" s="4">
        <f t="shared" si="6"/>
        <v>382035.20000000007</v>
      </c>
      <c r="M21" s="4">
        <f t="shared" si="6"/>
        <v>405628.16000000009</v>
      </c>
      <c r="N21" s="4">
        <f t="shared" si="6"/>
        <v>424502.52800000005</v>
      </c>
      <c r="O21" s="4">
        <f t="shared" si="6"/>
        <v>439602.02240000007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-90000</v>
      </c>
      <c r="G23" s="4">
        <f t="shared" ref="G23:O23" si="8">G19-G20-G21-G22</f>
        <v>540000</v>
      </c>
      <c r="H23" s="4">
        <f t="shared" si="8"/>
        <v>1044000</v>
      </c>
      <c r="I23" s="4">
        <f t="shared" si="8"/>
        <v>1447200</v>
      </c>
      <c r="J23" s="4">
        <f t="shared" si="8"/>
        <v>1769760</v>
      </c>
      <c r="K23" s="4">
        <f t="shared" si="8"/>
        <v>2027808.0000000005</v>
      </c>
      <c r="L23" s="4">
        <f t="shared" si="8"/>
        <v>2234246.4000000004</v>
      </c>
      <c r="M23" s="4">
        <f t="shared" si="8"/>
        <v>2399397.1200000006</v>
      </c>
      <c r="N23" s="4">
        <f t="shared" si="8"/>
        <v>2531517.6960000005</v>
      </c>
      <c r="O23" s="4">
        <f t="shared" si="8"/>
        <v>2637214.1568000005</v>
      </c>
      <c r="P23" s="4"/>
    </row>
    <row r="24" spans="3:16" x14ac:dyDescent="0.35">
      <c r="D24" s="1" t="s">
        <v>17</v>
      </c>
      <c r="F24" s="4">
        <f t="shared" ref="F24:O24" si="9">(1-taxrate)*F23</f>
        <v>-54000</v>
      </c>
      <c r="G24" s="4">
        <f t="shared" si="9"/>
        <v>324000</v>
      </c>
      <c r="H24" s="4">
        <f t="shared" si="9"/>
        <v>626400</v>
      </c>
      <c r="I24" s="4">
        <f t="shared" si="9"/>
        <v>868320</v>
      </c>
      <c r="J24" s="4">
        <f t="shared" si="9"/>
        <v>1061856</v>
      </c>
      <c r="K24" s="4">
        <f t="shared" si="9"/>
        <v>1216684.8000000003</v>
      </c>
      <c r="L24" s="4">
        <f t="shared" si="9"/>
        <v>1340547.8400000001</v>
      </c>
      <c r="M24" s="4">
        <f t="shared" si="9"/>
        <v>1439638.2720000003</v>
      </c>
      <c r="N24" s="4">
        <f t="shared" si="9"/>
        <v>1518910.6176000002</v>
      </c>
      <c r="O24" s="4">
        <f t="shared" si="9"/>
        <v>1582328.4940800003</v>
      </c>
      <c r="P24" s="4"/>
    </row>
    <row r="25" spans="3:16" x14ac:dyDescent="0.35">
      <c r="D25" s="1" t="s">
        <v>18</v>
      </c>
      <c r="E25" s="4">
        <v>0</v>
      </c>
      <c r="F25" s="4">
        <f>workingcappercentage*F19</f>
        <v>40000</v>
      </c>
      <c r="G25" s="4">
        <f t="shared" ref="G25:O25" si="10">workingcappercentage*G19</f>
        <v>112000</v>
      </c>
      <c r="H25" s="4">
        <f t="shared" si="10"/>
        <v>169600</v>
      </c>
      <c r="I25" s="4">
        <f t="shared" si="10"/>
        <v>215680</v>
      </c>
      <c r="J25" s="4">
        <f t="shared" si="10"/>
        <v>252544</v>
      </c>
      <c r="K25" s="4">
        <f t="shared" si="10"/>
        <v>282035.20000000007</v>
      </c>
      <c r="L25" s="4">
        <f t="shared" si="10"/>
        <v>305628.16000000009</v>
      </c>
      <c r="M25" s="4">
        <f t="shared" si="10"/>
        <v>324502.52800000011</v>
      </c>
      <c r="N25" s="4">
        <f t="shared" si="10"/>
        <v>339602.02240000007</v>
      </c>
      <c r="O25" s="4">
        <f t="shared" si="10"/>
        <v>351681.61792000011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72000</v>
      </c>
      <c r="H26" s="4">
        <f t="shared" ref="H26:O26" si="11">H25-G25</f>
        <v>57600</v>
      </c>
      <c r="I26" s="4">
        <f t="shared" si="11"/>
        <v>46080</v>
      </c>
      <c r="J26" s="4">
        <f t="shared" si="11"/>
        <v>36864</v>
      </c>
      <c r="K26" s="4">
        <f t="shared" si="11"/>
        <v>29491.20000000007</v>
      </c>
      <c r="L26" s="4">
        <f t="shared" si="11"/>
        <v>23592.960000000021</v>
      </c>
      <c r="M26" s="4">
        <f t="shared" si="11"/>
        <v>18874.368000000017</v>
      </c>
      <c r="N26" s="4">
        <f t="shared" si="11"/>
        <v>15099.494399999967</v>
      </c>
      <c r="O26" s="4">
        <f t="shared" si="11"/>
        <v>12079.595520000032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F24-F26+F22</f>
        <v>-4000</v>
      </c>
      <c r="G27" s="4">
        <f>G24-G26+G22</f>
        <v>342000</v>
      </c>
      <c r="H27" s="4">
        <f t="shared" ref="H27:O27" si="12">H24-H26+H22</f>
        <v>658800</v>
      </c>
      <c r="I27" s="4">
        <f t="shared" si="12"/>
        <v>912240</v>
      </c>
      <c r="J27" s="4">
        <f t="shared" si="12"/>
        <v>1114992</v>
      </c>
      <c r="K27" s="4">
        <f t="shared" si="12"/>
        <v>1277193.6000000001</v>
      </c>
      <c r="L27" s="4">
        <f t="shared" si="12"/>
        <v>1406954.8800000001</v>
      </c>
      <c r="M27" s="4">
        <f t="shared" si="12"/>
        <v>1510763.9040000003</v>
      </c>
      <c r="N27" s="4">
        <f t="shared" si="12"/>
        <v>1593811.1232000003</v>
      </c>
      <c r="O27" s="4">
        <f t="shared" si="12"/>
        <v>1660248.8985600004</v>
      </c>
      <c r="P27" s="4"/>
    </row>
    <row r="29" spans="3:16" x14ac:dyDescent="0.35">
      <c r="E29" s="1" t="s">
        <v>21</v>
      </c>
      <c r="F29" s="4">
        <f>XNPV(discountrate,E27:O27,E13:O13)</f>
        <v>4923416.5990841277</v>
      </c>
    </row>
    <row r="30" spans="3:16" x14ac:dyDescent="0.35">
      <c r="C30" s="4"/>
      <c r="E30" s="1" t="s">
        <v>23</v>
      </c>
      <c r="F30" s="5">
        <f>XIRR(E27:O27,E13:O13)</f>
        <v>0.61573991179466259</v>
      </c>
    </row>
    <row r="31" spans="3:16" x14ac:dyDescent="0.35">
      <c r="C31" s="3"/>
    </row>
    <row r="32" spans="3:16" x14ac:dyDescent="0.35">
      <c r="H32" s="1">
        <f>0.4*50</f>
        <v>20</v>
      </c>
    </row>
    <row r="34" spans="8:11" x14ac:dyDescent="0.35">
      <c r="H34" s="9"/>
    </row>
    <row r="36" spans="8:11" x14ac:dyDescent="0.35">
      <c r="J36" s="4"/>
      <c r="K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2"/>
  <sheetViews>
    <sheetView topLeftCell="A10" workbookViewId="0">
      <selection activeCell="F5" sqref="F5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6" width="14.6328125" style="1" customWidth="1"/>
    <col min="7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F29</f>
        <v>6831421.1246003006</v>
      </c>
      <c r="L2" s="5">
        <f>F30</f>
        <v>0.69372302293777466</v>
      </c>
    </row>
    <row r="3" spans="3:15" x14ac:dyDescent="0.35">
      <c r="C3" s="1" t="s">
        <v>4</v>
      </c>
      <c r="D3" s="4">
        <v>900000</v>
      </c>
      <c r="F3" s="1" t="s">
        <v>28</v>
      </c>
      <c r="G3" s="1">
        <v>6</v>
      </c>
      <c r="J3" s="1">
        <v>0.7</v>
      </c>
      <c r="K3" s="4"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F4" s="1" t="s">
        <v>29</v>
      </c>
      <c r="G4" s="1">
        <v>0.1</v>
      </c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F5" s="1" t="s">
        <v>30</v>
      </c>
      <c r="G5" s="1">
        <v>0.05</v>
      </c>
      <c r="I5" s="1" t="s">
        <v>24</v>
      </c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I6" s="1" t="s">
        <v>25</v>
      </c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1900</v>
      </c>
      <c r="I15" s="1">
        <f t="shared" si="0"/>
        <v>2730</v>
      </c>
      <c r="J15" s="1">
        <f>I18</f>
        <v>3515</v>
      </c>
      <c r="K15" s="1">
        <f t="shared" si="0"/>
        <v>4276.1000000000004</v>
      </c>
      <c r="L15" s="1">
        <f t="shared" si="0"/>
        <v>5031.3900000000003</v>
      </c>
      <c r="M15" s="1">
        <f t="shared" si="0"/>
        <v>5555.0964999999997</v>
      </c>
      <c r="N15" s="1">
        <f t="shared" si="0"/>
        <v>5897.5624749999997</v>
      </c>
      <c r="O15" s="1">
        <f t="shared" si="0"/>
        <v>6098.8609912499996</v>
      </c>
    </row>
    <row r="16" spans="3:15" x14ac:dyDescent="0.35">
      <c r="D16" s="1" t="s">
        <v>13</v>
      </c>
      <c r="F16" s="1">
        <f>newmembersperyear</f>
        <v>1000</v>
      </c>
      <c r="G16" s="1">
        <f t="shared" ref="G16:O16" si="1">IF(COLUMN()-5&lt;=growthyear,F16*(1+growthpercent),F16*(1-droppercent))</f>
        <v>1100</v>
      </c>
      <c r="H16" s="1">
        <f t="shared" si="1"/>
        <v>1210</v>
      </c>
      <c r="I16" s="1">
        <f t="shared" si="1"/>
        <v>1331</v>
      </c>
      <c r="J16" s="1">
        <f t="shared" si="1"/>
        <v>1464.1000000000001</v>
      </c>
      <c r="K16" s="1">
        <f t="shared" si="1"/>
        <v>1610.5100000000002</v>
      </c>
      <c r="L16" s="1">
        <f t="shared" si="1"/>
        <v>1529.9845</v>
      </c>
      <c r="M16" s="1">
        <f t="shared" si="1"/>
        <v>1453.485275</v>
      </c>
      <c r="N16" s="1">
        <f t="shared" si="1"/>
        <v>1380.8110112499999</v>
      </c>
      <c r="O16" s="1">
        <f t="shared" si="1"/>
        <v>1311.7704606874997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379.99999999999994</v>
      </c>
      <c r="I17" s="1">
        <f t="shared" si="2"/>
        <v>545.99999999999989</v>
      </c>
      <c r="J17" s="1">
        <f t="shared" si="2"/>
        <v>702.99999999999989</v>
      </c>
      <c r="K17" s="1">
        <f t="shared" si="2"/>
        <v>855.21999999999991</v>
      </c>
      <c r="L17" s="1">
        <f t="shared" si="2"/>
        <v>1006.2779999999998</v>
      </c>
      <c r="M17" s="1">
        <f t="shared" si="2"/>
        <v>1111.0192999999997</v>
      </c>
      <c r="N17" s="1">
        <f t="shared" si="2"/>
        <v>1179.5124949999997</v>
      </c>
      <c r="O17" s="1">
        <f t="shared" si="2"/>
        <v>1219.7721982499997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1900</v>
      </c>
      <c r="H18" s="1">
        <f t="shared" ref="H18:O18" si="3">H15+H16-H17</f>
        <v>2730</v>
      </c>
      <c r="I18" s="1">
        <f t="shared" si="3"/>
        <v>3515</v>
      </c>
      <c r="J18" s="1">
        <f t="shared" si="3"/>
        <v>4276.1000000000004</v>
      </c>
      <c r="K18" s="1">
        <f t="shared" si="3"/>
        <v>5031.3900000000003</v>
      </c>
      <c r="L18" s="1">
        <f t="shared" si="3"/>
        <v>5555.0964999999997</v>
      </c>
      <c r="M18" s="1">
        <f t="shared" si="3"/>
        <v>5897.5624749999997</v>
      </c>
      <c r="N18" s="1">
        <f t="shared" si="3"/>
        <v>6098.8609912499996</v>
      </c>
      <c r="O18" s="1">
        <f t="shared" si="3"/>
        <v>6190.8592536874994</v>
      </c>
    </row>
    <row r="19" spans="3:16" x14ac:dyDescent="0.35">
      <c r="D19" s="1" t="s">
        <v>8</v>
      </c>
      <c r="F19" s="4">
        <f t="shared" ref="F19:O19" si="4">annfee*(F15+F18)</f>
        <v>400000</v>
      </c>
      <c r="G19" s="4">
        <f t="shared" si="4"/>
        <v>1160000</v>
      </c>
      <c r="H19" s="4">
        <f t="shared" si="4"/>
        <v>1852000</v>
      </c>
      <c r="I19" s="4">
        <f t="shared" si="4"/>
        <v>2498000</v>
      </c>
      <c r="J19" s="4">
        <f t="shared" si="4"/>
        <v>3116440</v>
      </c>
      <c r="K19" s="4">
        <f t="shared" si="4"/>
        <v>3722996.0000000005</v>
      </c>
      <c r="L19" s="4">
        <f t="shared" si="4"/>
        <v>4234594.5999999996</v>
      </c>
      <c r="M19" s="4">
        <f t="shared" si="4"/>
        <v>4581063.59</v>
      </c>
      <c r="N19" s="4">
        <f t="shared" si="4"/>
        <v>4798569.3864999991</v>
      </c>
      <c r="O19" s="4">
        <f t="shared" si="4"/>
        <v>4915888.0979749998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 t="shared" ref="F21:O21" si="6">0.5*(F15+F18)*anncostpermember</f>
        <v>50000</v>
      </c>
      <c r="G21" s="4">
        <f t="shared" si="6"/>
        <v>145000</v>
      </c>
      <c r="H21" s="4">
        <f t="shared" si="6"/>
        <v>231500</v>
      </c>
      <c r="I21" s="4">
        <f t="shared" si="6"/>
        <v>312250</v>
      </c>
      <c r="J21" s="4">
        <f t="shared" si="6"/>
        <v>389555</v>
      </c>
      <c r="K21" s="4">
        <f t="shared" si="6"/>
        <v>465374.50000000006</v>
      </c>
      <c r="L21" s="4">
        <f t="shared" si="6"/>
        <v>529324.32499999995</v>
      </c>
      <c r="M21" s="4">
        <f t="shared" si="6"/>
        <v>572632.94874999998</v>
      </c>
      <c r="N21" s="4">
        <f t="shared" si="6"/>
        <v>599821.17331249989</v>
      </c>
      <c r="O21" s="4">
        <f t="shared" si="6"/>
        <v>614486.01224687498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-90000</v>
      </c>
      <c r="G23" s="4">
        <f t="shared" ref="G23:O23" si="8">G19-G20-G21-G22</f>
        <v>575000</v>
      </c>
      <c r="H23" s="4">
        <f t="shared" si="8"/>
        <v>1180500</v>
      </c>
      <c r="I23" s="4">
        <f t="shared" si="8"/>
        <v>1745750</v>
      </c>
      <c r="J23" s="4">
        <f t="shared" si="8"/>
        <v>2286885</v>
      </c>
      <c r="K23" s="4">
        <f t="shared" si="8"/>
        <v>2817621.5000000005</v>
      </c>
      <c r="L23" s="4">
        <f t="shared" si="8"/>
        <v>3265270.2749999994</v>
      </c>
      <c r="M23" s="4">
        <f t="shared" si="8"/>
        <v>3568430.6412499999</v>
      </c>
      <c r="N23" s="4">
        <f t="shared" si="8"/>
        <v>3758748.213187499</v>
      </c>
      <c r="O23" s="4">
        <f t="shared" si="8"/>
        <v>3861402.0857281247</v>
      </c>
      <c r="P23" s="4"/>
    </row>
    <row r="24" spans="3:16" x14ac:dyDescent="0.35">
      <c r="D24" s="1" t="s">
        <v>17</v>
      </c>
      <c r="F24" s="4">
        <f t="shared" ref="F24:O24" si="9">(1-taxrate)*F23</f>
        <v>-54000</v>
      </c>
      <c r="G24" s="4">
        <f t="shared" si="9"/>
        <v>345000</v>
      </c>
      <c r="H24" s="4">
        <f t="shared" si="9"/>
        <v>708300</v>
      </c>
      <c r="I24" s="4">
        <f t="shared" si="9"/>
        <v>1047450</v>
      </c>
      <c r="J24" s="4">
        <f t="shared" si="9"/>
        <v>1372131</v>
      </c>
      <c r="K24" s="4">
        <f t="shared" si="9"/>
        <v>1690572.9000000001</v>
      </c>
      <c r="L24" s="4">
        <f t="shared" si="9"/>
        <v>1959162.1649999996</v>
      </c>
      <c r="M24" s="4">
        <f t="shared" si="9"/>
        <v>2141058.3847499997</v>
      </c>
      <c r="N24" s="4">
        <f t="shared" si="9"/>
        <v>2255248.9279124993</v>
      </c>
      <c r="O24" s="4">
        <f t="shared" si="9"/>
        <v>2316841.2514368747</v>
      </c>
      <c r="P24" s="4"/>
    </row>
    <row r="25" spans="3:16" x14ac:dyDescent="0.35">
      <c r="D25" s="1" t="s">
        <v>18</v>
      </c>
      <c r="E25" s="4">
        <v>0</v>
      </c>
      <c r="F25" s="4">
        <f>workingcappercentage*F19</f>
        <v>40000</v>
      </c>
      <c r="G25" s="4">
        <f t="shared" ref="G25:O25" si="10">workingcappercentage*G19</f>
        <v>116000</v>
      </c>
      <c r="H25" s="4">
        <f t="shared" si="10"/>
        <v>185200</v>
      </c>
      <c r="I25" s="4">
        <f t="shared" si="10"/>
        <v>249800</v>
      </c>
      <c r="J25" s="4">
        <f t="shared" si="10"/>
        <v>311644</v>
      </c>
      <c r="K25" s="4">
        <f t="shared" si="10"/>
        <v>372299.60000000009</v>
      </c>
      <c r="L25" s="4">
        <f t="shared" si="10"/>
        <v>423459.45999999996</v>
      </c>
      <c r="M25" s="4">
        <f t="shared" si="10"/>
        <v>458106.359</v>
      </c>
      <c r="N25" s="4">
        <f t="shared" si="10"/>
        <v>479856.93864999991</v>
      </c>
      <c r="O25" s="4">
        <f t="shared" si="10"/>
        <v>491588.80979750003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76000</v>
      </c>
      <c r="H26" s="4">
        <f t="shared" ref="H26:O26" si="11">H25-G25</f>
        <v>69200</v>
      </c>
      <c r="I26" s="4">
        <f t="shared" si="11"/>
        <v>64600</v>
      </c>
      <c r="J26" s="4">
        <f t="shared" si="11"/>
        <v>61844</v>
      </c>
      <c r="K26" s="4">
        <f t="shared" si="11"/>
        <v>60655.600000000093</v>
      </c>
      <c r="L26" s="4">
        <f t="shared" si="11"/>
        <v>51159.85999999987</v>
      </c>
      <c r="M26" s="4">
        <f t="shared" si="11"/>
        <v>34646.899000000034</v>
      </c>
      <c r="N26" s="4">
        <f t="shared" si="11"/>
        <v>21750.579649999912</v>
      </c>
      <c r="O26" s="4">
        <f t="shared" si="11"/>
        <v>11731.871147500118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F24-F26+F22</f>
        <v>-4000</v>
      </c>
      <c r="G27" s="4">
        <f>G24-G26+G22</f>
        <v>359000</v>
      </c>
      <c r="H27" s="4">
        <f t="shared" ref="H27:O27" si="12">H24-H26+H22</f>
        <v>729100</v>
      </c>
      <c r="I27" s="4">
        <f t="shared" si="12"/>
        <v>1072850</v>
      </c>
      <c r="J27" s="4">
        <f t="shared" si="12"/>
        <v>1400287</v>
      </c>
      <c r="K27" s="4">
        <f t="shared" si="12"/>
        <v>1719917.3</v>
      </c>
      <c r="L27" s="4">
        <f t="shared" si="12"/>
        <v>1998002.3049999997</v>
      </c>
      <c r="M27" s="4">
        <f t="shared" si="12"/>
        <v>2196411.4857499995</v>
      </c>
      <c r="N27" s="4">
        <f t="shared" si="12"/>
        <v>2323498.3482624996</v>
      </c>
      <c r="O27" s="4">
        <f t="shared" si="12"/>
        <v>2395109.3802893749</v>
      </c>
      <c r="P27" s="4"/>
    </row>
    <row r="29" spans="3:16" x14ac:dyDescent="0.35">
      <c r="E29" s="1" t="s">
        <v>21</v>
      </c>
      <c r="F29" s="4">
        <f>XNPV(discountrate,E27:O27,E13:O13)</f>
        <v>6831421.1246003006</v>
      </c>
    </row>
    <row r="30" spans="3:16" x14ac:dyDescent="0.35">
      <c r="C30" s="4"/>
      <c r="E30" s="1" t="s">
        <v>23</v>
      </c>
      <c r="F30" s="5">
        <f>XIRR(E27:O27,E13:O13)</f>
        <v>0.69372302293777466</v>
      </c>
    </row>
    <row r="31" spans="3:16" x14ac:dyDescent="0.35">
      <c r="C31" s="3"/>
    </row>
    <row r="32" spans="3:16" x14ac:dyDescent="0.35">
      <c r="H32" s="1">
        <f>0.4*50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4"/>
  <sheetViews>
    <sheetView topLeftCell="A10" workbookViewId="0">
      <selection activeCell="E25" sqref="E25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F31</f>
        <v>9558552.2810973842</v>
      </c>
      <c r="L2" s="5">
        <f>F32</f>
        <v>0.76803590059280413</v>
      </c>
    </row>
    <row r="3" spans="3:15" x14ac:dyDescent="0.35">
      <c r="C3" s="1" t="s">
        <v>4</v>
      </c>
      <c r="D3" s="4">
        <v>900000</v>
      </c>
      <c r="F3"/>
      <c r="G3" s="1" t="s">
        <v>31</v>
      </c>
      <c r="H3" s="1">
        <v>0.1</v>
      </c>
      <c r="I3"/>
      <c r="J3" s="1">
        <v>0.7</v>
      </c>
      <c r="K3" s="4"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F4"/>
      <c r="G4" s="1" t="s">
        <v>32</v>
      </c>
      <c r="H4" s="1">
        <v>0.09</v>
      </c>
      <c r="I4"/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F5"/>
      <c r="G5" s="1" t="s">
        <v>33</v>
      </c>
      <c r="H5" s="1">
        <v>0.3</v>
      </c>
      <c r="I5"/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F6"/>
      <c r="G6"/>
      <c r="H6"/>
      <c r="I6"/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>I18</f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 t="shared" ref="F16:O16" si="1">newmembersperyear</f>
        <v>1000</v>
      </c>
      <c r="G16" s="1">
        <f t="shared" si="1"/>
        <v>1000</v>
      </c>
      <c r="H16" s="1">
        <f t="shared" si="1"/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3">H15+H16-H17</f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35">
      <c r="D19" s="1" t="s">
        <v>2</v>
      </c>
      <c r="F19" s="1">
        <f>annfee</f>
        <v>400</v>
      </c>
      <c r="G19" s="1">
        <f t="shared" ref="G19:O19" si="4">F19*(1+memfeegrowth)</f>
        <v>440.00000000000006</v>
      </c>
      <c r="H19" s="1">
        <f t="shared" si="4"/>
        <v>484.00000000000011</v>
      </c>
      <c r="I19" s="1">
        <f t="shared" si="4"/>
        <v>532.4000000000002</v>
      </c>
      <c r="J19" s="1">
        <f t="shared" si="4"/>
        <v>585.64000000000033</v>
      </c>
      <c r="K19" s="1">
        <f t="shared" si="4"/>
        <v>644.20400000000041</v>
      </c>
      <c r="L19" s="1">
        <f t="shared" si="4"/>
        <v>708.62440000000049</v>
      </c>
      <c r="M19" s="1">
        <f t="shared" si="4"/>
        <v>779.4868400000006</v>
      </c>
      <c r="N19" s="1">
        <f t="shared" si="4"/>
        <v>857.43552400000078</v>
      </c>
      <c r="O19" s="1">
        <f t="shared" si="4"/>
        <v>943.17907640000089</v>
      </c>
    </row>
    <row r="20" spans="3:16" x14ac:dyDescent="0.35">
      <c r="D20" s="1" t="s">
        <v>8</v>
      </c>
      <c r="F20" s="4">
        <f>F19*(F15+F18)</f>
        <v>400000</v>
      </c>
      <c r="G20" s="4">
        <f t="shared" ref="G20:O20" si="5">G19*(G15+G18)</f>
        <v>1232000.0000000002</v>
      </c>
      <c r="H20" s="4">
        <f t="shared" si="5"/>
        <v>2052160.0000000005</v>
      </c>
      <c r="I20" s="4">
        <f t="shared" si="5"/>
        <v>2870700.8000000012</v>
      </c>
      <c r="J20" s="4">
        <f t="shared" si="5"/>
        <v>3697496.7040000022</v>
      </c>
      <c r="K20" s="4">
        <f t="shared" si="5"/>
        <v>4542205.0995200034</v>
      </c>
      <c r="L20" s="4">
        <f t="shared" si="5"/>
        <v>5414389.2875776049</v>
      </c>
      <c r="M20" s="4">
        <f t="shared" si="5"/>
        <v>6323636.2530682944</v>
      </c>
      <c r="N20" s="4">
        <f t="shared" si="5"/>
        <v>7279670.9507001014</v>
      </c>
      <c r="O20" s="4">
        <f t="shared" si="5"/>
        <v>8292468.5894160913</v>
      </c>
      <c r="P20" s="4"/>
    </row>
    <row r="21" spans="3:16" x14ac:dyDescent="0.35">
      <c r="D21" s="1" t="s">
        <v>26</v>
      </c>
      <c r="F21" s="4">
        <f t="shared" ref="F21" si="6">annfixedcost</f>
        <v>350000</v>
      </c>
      <c r="G21" s="4">
        <f t="shared" ref="G21:O21" si="7">F21*(1+fixedcostgrowth)</f>
        <v>381500</v>
      </c>
      <c r="H21" s="4">
        <f t="shared" si="7"/>
        <v>415835.00000000006</v>
      </c>
      <c r="I21" s="4">
        <f t="shared" si="7"/>
        <v>453260.15000000008</v>
      </c>
      <c r="J21" s="4">
        <f t="shared" si="7"/>
        <v>494053.56350000011</v>
      </c>
      <c r="K21" s="4">
        <f t="shared" si="7"/>
        <v>538518.3842150002</v>
      </c>
      <c r="L21" s="4">
        <f t="shared" si="7"/>
        <v>586985.03879435023</v>
      </c>
      <c r="M21" s="4">
        <f t="shared" si="7"/>
        <v>639813.6922858418</v>
      </c>
      <c r="N21" s="4">
        <f t="shared" si="7"/>
        <v>697396.9245915676</v>
      </c>
      <c r="O21" s="4">
        <f t="shared" si="7"/>
        <v>760162.64780480869</v>
      </c>
      <c r="P21" s="4"/>
    </row>
    <row r="22" spans="3:16" x14ac:dyDescent="0.35">
      <c r="D22" s="1" t="s">
        <v>1</v>
      </c>
      <c r="F22" s="4">
        <f>anncostpermember</f>
        <v>100</v>
      </c>
      <c r="G22" s="4">
        <f t="shared" ref="G22:O22" si="8">F22*(1+costpermemgrowth)</f>
        <v>130</v>
      </c>
      <c r="H22" s="4">
        <f t="shared" si="8"/>
        <v>169</v>
      </c>
      <c r="I22" s="4">
        <f t="shared" si="8"/>
        <v>219.70000000000002</v>
      </c>
      <c r="J22" s="4">
        <f t="shared" si="8"/>
        <v>285.61</v>
      </c>
      <c r="K22" s="4">
        <f t="shared" si="8"/>
        <v>371.29300000000001</v>
      </c>
      <c r="L22" s="4">
        <f t="shared" si="8"/>
        <v>482.68090000000001</v>
      </c>
      <c r="M22" s="4">
        <f t="shared" si="8"/>
        <v>627.48517000000004</v>
      </c>
      <c r="N22" s="4">
        <f t="shared" si="8"/>
        <v>815.73072100000013</v>
      </c>
      <c r="O22" s="4">
        <f t="shared" si="8"/>
        <v>1060.4499373000001</v>
      </c>
      <c r="P22" s="4"/>
    </row>
    <row r="23" spans="3:16" x14ac:dyDescent="0.35">
      <c r="D23" s="1" t="s">
        <v>15</v>
      </c>
      <c r="F23" s="4">
        <f t="shared" ref="F23:O23" si="9">0.5*(F15+F18)*anncostpermember</f>
        <v>50000</v>
      </c>
      <c r="G23" s="4">
        <f t="shared" si="9"/>
        <v>140000</v>
      </c>
      <c r="H23" s="4">
        <f t="shared" si="9"/>
        <v>212000</v>
      </c>
      <c r="I23" s="4">
        <f t="shared" si="9"/>
        <v>269600</v>
      </c>
      <c r="J23" s="4">
        <f t="shared" si="9"/>
        <v>315680</v>
      </c>
      <c r="K23" s="4">
        <f t="shared" si="9"/>
        <v>352544.00000000006</v>
      </c>
      <c r="L23" s="4">
        <f t="shared" si="9"/>
        <v>382035.20000000007</v>
      </c>
      <c r="M23" s="4">
        <f t="shared" si="9"/>
        <v>405628.16000000009</v>
      </c>
      <c r="N23" s="4">
        <f t="shared" si="9"/>
        <v>424502.52800000005</v>
      </c>
      <c r="O23" s="4">
        <f t="shared" si="9"/>
        <v>439602.02240000007</v>
      </c>
      <c r="P23" s="4"/>
    </row>
    <row r="24" spans="3:16" x14ac:dyDescent="0.35">
      <c r="D24" s="1" t="s">
        <v>11</v>
      </c>
      <c r="F24" s="4">
        <f t="shared" ref="F24:O24" si="10">buildcost/10</f>
        <v>90000</v>
      </c>
      <c r="G24" s="4">
        <f t="shared" si="10"/>
        <v>90000</v>
      </c>
      <c r="H24" s="4">
        <f t="shared" si="10"/>
        <v>90000</v>
      </c>
      <c r="I24" s="4">
        <f t="shared" si="10"/>
        <v>90000</v>
      </c>
      <c r="J24" s="4">
        <f t="shared" si="10"/>
        <v>90000</v>
      </c>
      <c r="K24" s="4">
        <f t="shared" si="10"/>
        <v>90000</v>
      </c>
      <c r="L24" s="4">
        <f t="shared" si="10"/>
        <v>90000</v>
      </c>
      <c r="M24" s="4">
        <f t="shared" si="10"/>
        <v>90000</v>
      </c>
      <c r="N24" s="4">
        <f t="shared" si="10"/>
        <v>90000</v>
      </c>
      <c r="O24" s="4">
        <f t="shared" si="10"/>
        <v>90000</v>
      </c>
      <c r="P24" s="4"/>
    </row>
    <row r="25" spans="3:16" x14ac:dyDescent="0.35">
      <c r="D25" s="1" t="s">
        <v>16</v>
      </c>
      <c r="F25" s="4">
        <f>F20-F21-F23-F24</f>
        <v>-90000</v>
      </c>
      <c r="G25" s="4">
        <f t="shared" ref="G25:O25" si="11">G20-G21-G23-G24</f>
        <v>620500.00000000023</v>
      </c>
      <c r="H25" s="4">
        <f t="shared" si="11"/>
        <v>1334325.0000000005</v>
      </c>
      <c r="I25" s="4">
        <f t="shared" si="11"/>
        <v>2057840.6500000013</v>
      </c>
      <c r="J25" s="4">
        <f t="shared" si="11"/>
        <v>2797763.1405000021</v>
      </c>
      <c r="K25" s="4">
        <f t="shared" si="11"/>
        <v>3561142.7153050033</v>
      </c>
      <c r="L25" s="4">
        <f t="shared" si="11"/>
        <v>4355369.0487832548</v>
      </c>
      <c r="M25" s="4">
        <f t="shared" si="11"/>
        <v>5188194.4007824529</v>
      </c>
      <c r="N25" s="4">
        <f t="shared" si="11"/>
        <v>6067771.4981085341</v>
      </c>
      <c r="O25" s="4">
        <f t="shared" si="11"/>
        <v>7002703.9192112824</v>
      </c>
      <c r="P25" s="4"/>
    </row>
    <row r="26" spans="3:16" x14ac:dyDescent="0.35">
      <c r="D26" s="1" t="s">
        <v>17</v>
      </c>
      <c r="F26" s="4">
        <f t="shared" ref="F26:O26" si="12">(1-taxrate)*F25</f>
        <v>-54000</v>
      </c>
      <c r="G26" s="4">
        <f t="shared" si="12"/>
        <v>372300.00000000012</v>
      </c>
      <c r="H26" s="4">
        <f t="shared" si="12"/>
        <v>800595.00000000023</v>
      </c>
      <c r="I26" s="4">
        <f t="shared" si="12"/>
        <v>1234704.3900000008</v>
      </c>
      <c r="J26" s="4">
        <f t="shared" si="12"/>
        <v>1678657.8843000012</v>
      </c>
      <c r="K26" s="4">
        <f t="shared" si="12"/>
        <v>2136685.6291830018</v>
      </c>
      <c r="L26" s="4">
        <f t="shared" si="12"/>
        <v>2613221.4292699527</v>
      </c>
      <c r="M26" s="4">
        <f t="shared" si="12"/>
        <v>3112916.6404694715</v>
      </c>
      <c r="N26" s="4">
        <f t="shared" si="12"/>
        <v>3640662.8988651205</v>
      </c>
      <c r="O26" s="4">
        <f t="shared" si="12"/>
        <v>4201622.3515267689</v>
      </c>
      <c r="P26" s="4"/>
    </row>
    <row r="27" spans="3:16" x14ac:dyDescent="0.35">
      <c r="D27" s="1" t="s">
        <v>18</v>
      </c>
      <c r="E27" s="4">
        <v>0</v>
      </c>
      <c r="F27" s="4">
        <f>workingcappercentage*F20</f>
        <v>40000</v>
      </c>
      <c r="G27" s="4">
        <f t="shared" ref="G27:O27" si="13">workingcappercentage*G20</f>
        <v>123200.00000000003</v>
      </c>
      <c r="H27" s="4">
        <f t="shared" si="13"/>
        <v>205216.00000000006</v>
      </c>
      <c r="I27" s="4">
        <f t="shared" si="13"/>
        <v>287070.08000000013</v>
      </c>
      <c r="J27" s="4">
        <f t="shared" si="13"/>
        <v>369749.67040000024</v>
      </c>
      <c r="K27" s="4">
        <f t="shared" si="13"/>
        <v>454220.50995200034</v>
      </c>
      <c r="L27" s="4">
        <f t="shared" si="13"/>
        <v>541438.92875776056</v>
      </c>
      <c r="M27" s="4">
        <f t="shared" si="13"/>
        <v>632363.62530682946</v>
      </c>
      <c r="N27" s="4">
        <f t="shared" si="13"/>
        <v>727967.09507001017</v>
      </c>
      <c r="O27" s="4">
        <f t="shared" si="13"/>
        <v>829246.85894160916</v>
      </c>
      <c r="P27" s="4"/>
    </row>
    <row r="28" spans="3:16" x14ac:dyDescent="0.35">
      <c r="D28" s="1" t="s">
        <v>19</v>
      </c>
      <c r="E28" s="4"/>
      <c r="F28" s="4">
        <f>F27-E27</f>
        <v>40000</v>
      </c>
      <c r="G28" s="4">
        <f>G27-F27</f>
        <v>83200.000000000029</v>
      </c>
      <c r="H28" s="4">
        <f t="shared" ref="H28:O28" si="14">H27-G27</f>
        <v>82016.000000000029</v>
      </c>
      <c r="I28" s="4">
        <f t="shared" si="14"/>
        <v>81854.080000000075</v>
      </c>
      <c r="J28" s="4">
        <f t="shared" si="14"/>
        <v>82679.590400000103</v>
      </c>
      <c r="K28" s="4">
        <f t="shared" si="14"/>
        <v>84470.839552000107</v>
      </c>
      <c r="L28" s="4">
        <f t="shared" si="14"/>
        <v>87218.418805760215</v>
      </c>
      <c r="M28" s="4">
        <f t="shared" si="14"/>
        <v>90924.696549068904</v>
      </c>
      <c r="N28" s="4">
        <f t="shared" si="14"/>
        <v>95603.469763180707</v>
      </c>
      <c r="O28" s="4">
        <f t="shared" si="14"/>
        <v>101279.76387159899</v>
      </c>
      <c r="P28" s="4"/>
    </row>
    <row r="29" spans="3:16" x14ac:dyDescent="0.35">
      <c r="D29" s="1" t="s">
        <v>20</v>
      </c>
      <c r="E29" s="4">
        <f>-E14</f>
        <v>-900000</v>
      </c>
      <c r="F29" s="4">
        <f>F26-F28+F24</f>
        <v>-4000</v>
      </c>
      <c r="G29" s="4">
        <f>G26-G28+G24</f>
        <v>379100.00000000012</v>
      </c>
      <c r="H29" s="4">
        <f t="shared" ref="H29:O29" si="15">H26-H28+H24</f>
        <v>808579.00000000023</v>
      </c>
      <c r="I29" s="4">
        <f t="shared" si="15"/>
        <v>1242850.3100000008</v>
      </c>
      <c r="J29" s="4">
        <f t="shared" si="15"/>
        <v>1685978.2939000011</v>
      </c>
      <c r="K29" s="4">
        <f t="shared" si="15"/>
        <v>2142214.7896310017</v>
      </c>
      <c r="L29" s="4">
        <f t="shared" si="15"/>
        <v>2616003.0104641924</v>
      </c>
      <c r="M29" s="4">
        <f t="shared" si="15"/>
        <v>3111991.9439204028</v>
      </c>
      <c r="N29" s="4">
        <f t="shared" si="15"/>
        <v>3635059.4291019398</v>
      </c>
      <c r="O29" s="4">
        <f t="shared" si="15"/>
        <v>4190342.5876551699</v>
      </c>
      <c r="P29" s="4"/>
    </row>
    <row r="31" spans="3:16" x14ac:dyDescent="0.35">
      <c r="E31" s="1" t="s">
        <v>21</v>
      </c>
      <c r="F31" s="4">
        <f>XNPV(discountrate,E29:O29,E13:O13)</f>
        <v>9558552.2810973842</v>
      </c>
    </row>
    <row r="32" spans="3:16" x14ac:dyDescent="0.35">
      <c r="C32" s="4"/>
      <c r="E32" s="1" t="s">
        <v>23</v>
      </c>
      <c r="F32" s="5">
        <f>XIRR(E29:O29,E13:O13)</f>
        <v>0.76803590059280413</v>
      </c>
    </row>
    <row r="33" spans="3:8" x14ac:dyDescent="0.35">
      <c r="C33" s="3"/>
    </row>
    <row r="34" spans="3:8" x14ac:dyDescent="0.35">
      <c r="H34" s="1">
        <f>0.4*50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2"/>
  <sheetViews>
    <sheetView topLeftCell="B1" workbookViewId="0">
      <selection activeCell="C5" sqref="C5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F29</f>
        <v>8529934.0779744629</v>
      </c>
      <c r="L2" s="5">
        <f>F30</f>
        <v>1.06148601770401</v>
      </c>
    </row>
    <row r="3" spans="3:15" x14ac:dyDescent="0.35">
      <c r="C3" s="1" t="s">
        <v>4</v>
      </c>
      <c r="D3" s="4">
        <v>900000</v>
      </c>
      <c r="F3" s="1" t="s">
        <v>34</v>
      </c>
      <c r="G3" s="1">
        <v>2000</v>
      </c>
      <c r="J3" s="1">
        <v>0.7</v>
      </c>
      <c r="K3" s="4"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F4" s="1" t="s">
        <v>35</v>
      </c>
      <c r="G4" s="1">
        <v>0.1</v>
      </c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I5" s="1" t="s">
        <v>24</v>
      </c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I6" s="1" t="s">
        <v>25</v>
      </c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2000</v>
      </c>
      <c r="H15" s="1">
        <f t="shared" ref="H15:O15" si="0">G18</f>
        <v>3400</v>
      </c>
      <c r="I15" s="1">
        <f t="shared" si="0"/>
        <v>4340</v>
      </c>
      <c r="J15" s="1">
        <f>I18</f>
        <v>4930</v>
      </c>
      <c r="K15" s="1">
        <f t="shared" si="0"/>
        <v>5256.2</v>
      </c>
      <c r="L15" s="1">
        <f t="shared" si="0"/>
        <v>5385.9400000000005</v>
      </c>
      <c r="M15" s="1">
        <f t="shared" si="0"/>
        <v>5371.634</v>
      </c>
      <c r="N15" s="1">
        <f t="shared" si="0"/>
        <v>5253.9010000000007</v>
      </c>
      <c r="O15" s="1">
        <f t="shared" si="0"/>
        <v>5064.0552200000011</v>
      </c>
    </row>
    <row r="16" spans="3:15" x14ac:dyDescent="0.35">
      <c r="D16" s="1" t="s">
        <v>13</v>
      </c>
      <c r="F16" s="1">
        <f>year1customer</f>
        <v>2000</v>
      </c>
      <c r="G16" s="1">
        <f t="shared" ref="G16:O16" si="1">F16*(1-droprate)</f>
        <v>1800</v>
      </c>
      <c r="H16" s="1">
        <f t="shared" si="1"/>
        <v>1620</v>
      </c>
      <c r="I16" s="1">
        <f t="shared" si="1"/>
        <v>1458</v>
      </c>
      <c r="J16" s="1">
        <f t="shared" si="1"/>
        <v>1312.2</v>
      </c>
      <c r="K16" s="1">
        <f t="shared" si="1"/>
        <v>1180.98</v>
      </c>
      <c r="L16" s="1">
        <f t="shared" si="1"/>
        <v>1062.8820000000001</v>
      </c>
      <c r="M16" s="1">
        <f t="shared" si="1"/>
        <v>956.5938000000001</v>
      </c>
      <c r="N16" s="1">
        <f t="shared" si="1"/>
        <v>860.93442000000016</v>
      </c>
      <c r="O16" s="1">
        <f t="shared" si="1"/>
        <v>774.84097800000018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399.99999999999989</v>
      </c>
      <c r="H17" s="1">
        <f t="shared" si="2"/>
        <v>679.99999999999989</v>
      </c>
      <c r="I17" s="1">
        <f t="shared" si="2"/>
        <v>867.99999999999977</v>
      </c>
      <c r="J17" s="1">
        <f t="shared" si="2"/>
        <v>985.99999999999977</v>
      </c>
      <c r="K17" s="1">
        <f t="shared" si="2"/>
        <v>1051.2399999999998</v>
      </c>
      <c r="L17" s="1">
        <f t="shared" si="2"/>
        <v>1077.1879999999999</v>
      </c>
      <c r="M17" s="1">
        <f t="shared" si="2"/>
        <v>1074.3267999999998</v>
      </c>
      <c r="N17" s="1">
        <f t="shared" si="2"/>
        <v>1050.7801999999999</v>
      </c>
      <c r="O17" s="1">
        <f t="shared" si="2"/>
        <v>1012.811044</v>
      </c>
    </row>
    <row r="18" spans="3:16" x14ac:dyDescent="0.35">
      <c r="D18" s="1" t="s">
        <v>14</v>
      </c>
      <c r="F18" s="1">
        <f>F15+F16-F17</f>
        <v>2000</v>
      </c>
      <c r="G18" s="1">
        <f>G15+G16-G17</f>
        <v>3400</v>
      </c>
      <c r="H18" s="1">
        <f t="shared" ref="H18:O18" si="3">H15+H16-H17</f>
        <v>4340</v>
      </c>
      <c r="I18" s="1">
        <f t="shared" si="3"/>
        <v>4930</v>
      </c>
      <c r="J18" s="1">
        <f t="shared" si="3"/>
        <v>5256.2</v>
      </c>
      <c r="K18" s="1">
        <f t="shared" si="3"/>
        <v>5385.9400000000005</v>
      </c>
      <c r="L18" s="1">
        <f t="shared" si="3"/>
        <v>5371.634</v>
      </c>
      <c r="M18" s="1">
        <f t="shared" si="3"/>
        <v>5253.9010000000007</v>
      </c>
      <c r="N18" s="1">
        <f t="shared" si="3"/>
        <v>5064.0552200000011</v>
      </c>
      <c r="O18" s="1">
        <f t="shared" si="3"/>
        <v>4826.0851540000012</v>
      </c>
    </row>
    <row r="19" spans="3:16" x14ac:dyDescent="0.35">
      <c r="D19" s="1" t="s">
        <v>8</v>
      </c>
      <c r="F19" s="4">
        <f t="shared" ref="F19:O19" si="4">annfee*(F15+F18)</f>
        <v>800000</v>
      </c>
      <c r="G19" s="4">
        <f>annfee*(G15+G18)</f>
        <v>2160000</v>
      </c>
      <c r="H19" s="4">
        <f t="shared" si="4"/>
        <v>3096000</v>
      </c>
      <c r="I19" s="4">
        <f t="shared" si="4"/>
        <v>3708000</v>
      </c>
      <c r="J19" s="4">
        <f t="shared" si="4"/>
        <v>4074480.0000000005</v>
      </c>
      <c r="K19" s="4">
        <f t="shared" si="4"/>
        <v>4256856</v>
      </c>
      <c r="L19" s="4">
        <f t="shared" si="4"/>
        <v>4303029.6000000006</v>
      </c>
      <c r="M19" s="4">
        <f t="shared" si="4"/>
        <v>4250214</v>
      </c>
      <c r="N19" s="4">
        <f t="shared" si="4"/>
        <v>4127182.4880000008</v>
      </c>
      <c r="O19" s="4">
        <f t="shared" si="4"/>
        <v>3956056.1496000011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 t="shared" ref="F21:O21" si="6">0.5*(F15+F18)*anncostpermember</f>
        <v>100000</v>
      </c>
      <c r="G21" s="4">
        <f t="shared" si="6"/>
        <v>270000</v>
      </c>
      <c r="H21" s="4">
        <f t="shared" si="6"/>
        <v>387000</v>
      </c>
      <c r="I21" s="4">
        <f t="shared" si="6"/>
        <v>463500</v>
      </c>
      <c r="J21" s="4">
        <f t="shared" si="6"/>
        <v>509310.00000000006</v>
      </c>
      <c r="K21" s="4">
        <f t="shared" si="6"/>
        <v>532107</v>
      </c>
      <c r="L21" s="4">
        <f t="shared" si="6"/>
        <v>537878.70000000007</v>
      </c>
      <c r="M21" s="4">
        <f t="shared" si="6"/>
        <v>531276.75</v>
      </c>
      <c r="N21" s="4">
        <f t="shared" si="6"/>
        <v>515897.8110000001</v>
      </c>
      <c r="O21" s="4">
        <f t="shared" si="6"/>
        <v>494507.01870000013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260000</v>
      </c>
      <c r="G23" s="4">
        <f t="shared" ref="G23:O23" si="8">G19-G20-G21-G22</f>
        <v>1450000</v>
      </c>
      <c r="H23" s="4">
        <f t="shared" si="8"/>
        <v>2269000</v>
      </c>
      <c r="I23" s="4">
        <f t="shared" si="8"/>
        <v>2804500</v>
      </c>
      <c r="J23" s="4">
        <f t="shared" si="8"/>
        <v>3125170.0000000005</v>
      </c>
      <c r="K23" s="4">
        <f t="shared" si="8"/>
        <v>3284749</v>
      </c>
      <c r="L23" s="4">
        <f t="shared" si="8"/>
        <v>3325150.9000000004</v>
      </c>
      <c r="M23" s="4">
        <f t="shared" si="8"/>
        <v>3278937.25</v>
      </c>
      <c r="N23" s="4">
        <f t="shared" si="8"/>
        <v>3171284.6770000006</v>
      </c>
      <c r="O23" s="4">
        <f t="shared" si="8"/>
        <v>3021549.1309000012</v>
      </c>
      <c r="P23" s="4"/>
    </row>
    <row r="24" spans="3:16" x14ac:dyDescent="0.35">
      <c r="D24" s="1" t="s">
        <v>17</v>
      </c>
      <c r="F24" s="4">
        <f t="shared" ref="F24:O24" si="9">(1-taxrate)*F23</f>
        <v>156000</v>
      </c>
      <c r="G24" s="4">
        <f t="shared" si="9"/>
        <v>870000</v>
      </c>
      <c r="H24" s="4">
        <f t="shared" si="9"/>
        <v>1361400</v>
      </c>
      <c r="I24" s="4">
        <f t="shared" si="9"/>
        <v>1682700</v>
      </c>
      <c r="J24" s="4">
        <f t="shared" si="9"/>
        <v>1875102.0000000002</v>
      </c>
      <c r="K24" s="4">
        <f t="shared" si="9"/>
        <v>1970849.4</v>
      </c>
      <c r="L24" s="4">
        <f t="shared" si="9"/>
        <v>1995090.54</v>
      </c>
      <c r="M24" s="4">
        <f t="shared" si="9"/>
        <v>1967362.3499999999</v>
      </c>
      <c r="N24" s="4">
        <f t="shared" si="9"/>
        <v>1902770.8062000002</v>
      </c>
      <c r="O24" s="4">
        <f t="shared" si="9"/>
        <v>1812929.4785400007</v>
      </c>
      <c r="P24" s="4"/>
    </row>
    <row r="25" spans="3:16" x14ac:dyDescent="0.35">
      <c r="D25" s="1" t="s">
        <v>18</v>
      </c>
      <c r="E25" s="4">
        <v>0</v>
      </c>
      <c r="F25" s="4">
        <f>workingcappercentage*F19</f>
        <v>80000</v>
      </c>
      <c r="G25" s="4">
        <f t="shared" ref="G25:O25" si="10">workingcappercentage*G19</f>
        <v>216000</v>
      </c>
      <c r="H25" s="4">
        <f t="shared" si="10"/>
        <v>309600</v>
      </c>
      <c r="I25" s="4">
        <f t="shared" si="10"/>
        <v>370800</v>
      </c>
      <c r="J25" s="4">
        <f t="shared" si="10"/>
        <v>407448.00000000006</v>
      </c>
      <c r="K25" s="4">
        <f t="shared" si="10"/>
        <v>425685.60000000003</v>
      </c>
      <c r="L25" s="4">
        <f t="shared" si="10"/>
        <v>430302.96000000008</v>
      </c>
      <c r="M25" s="4">
        <f t="shared" si="10"/>
        <v>425021.4</v>
      </c>
      <c r="N25" s="4">
        <f t="shared" si="10"/>
        <v>412718.24880000012</v>
      </c>
      <c r="O25" s="4">
        <f t="shared" si="10"/>
        <v>395605.61496000015</v>
      </c>
      <c r="P25" s="4"/>
    </row>
    <row r="26" spans="3:16" x14ac:dyDescent="0.35">
      <c r="D26" s="1" t="s">
        <v>19</v>
      </c>
      <c r="E26" s="4"/>
      <c r="F26" s="4">
        <f>F25-E25</f>
        <v>80000</v>
      </c>
      <c r="G26" s="4">
        <f>G25-F25</f>
        <v>136000</v>
      </c>
      <c r="H26" s="4">
        <f t="shared" ref="H26:O26" si="11">H25-G25</f>
        <v>93600</v>
      </c>
      <c r="I26" s="4">
        <f t="shared" si="11"/>
        <v>61200</v>
      </c>
      <c r="J26" s="4">
        <f t="shared" si="11"/>
        <v>36648.000000000058</v>
      </c>
      <c r="K26" s="4">
        <f t="shared" si="11"/>
        <v>18237.599999999977</v>
      </c>
      <c r="L26" s="4">
        <f t="shared" si="11"/>
        <v>4617.3600000000442</v>
      </c>
      <c r="M26" s="4">
        <f t="shared" si="11"/>
        <v>-5281.5600000000559</v>
      </c>
      <c r="N26" s="4">
        <f t="shared" si="11"/>
        <v>-12303.151199999906</v>
      </c>
      <c r="O26" s="4">
        <f t="shared" si="11"/>
        <v>-17112.633839999966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F24-F26+F22</f>
        <v>166000</v>
      </c>
      <c r="G27" s="4">
        <f>G24-G26+G22</f>
        <v>824000</v>
      </c>
      <c r="H27" s="4">
        <f t="shared" ref="H27:O27" si="12">H24-H26+H22</f>
        <v>1357800</v>
      </c>
      <c r="I27" s="4">
        <f t="shared" si="12"/>
        <v>1711500</v>
      </c>
      <c r="J27" s="4">
        <f t="shared" si="12"/>
        <v>1928454.0000000002</v>
      </c>
      <c r="K27" s="4">
        <f t="shared" si="12"/>
        <v>2042611.7999999998</v>
      </c>
      <c r="L27" s="4">
        <f t="shared" si="12"/>
        <v>2080473.18</v>
      </c>
      <c r="M27" s="4">
        <f t="shared" si="12"/>
        <v>2062643.91</v>
      </c>
      <c r="N27" s="4">
        <f t="shared" si="12"/>
        <v>2005073.9574000002</v>
      </c>
      <c r="O27" s="4">
        <f t="shared" si="12"/>
        <v>1920042.1123800008</v>
      </c>
      <c r="P27" s="4"/>
    </row>
    <row r="29" spans="3:16" x14ac:dyDescent="0.35">
      <c r="E29" s="1" t="s">
        <v>21</v>
      </c>
      <c r="F29" s="4">
        <f>XNPV(discountrate,E27:O27,E13:O13)</f>
        <v>8529934.0779744629</v>
      </c>
    </row>
    <row r="30" spans="3:16" x14ac:dyDescent="0.35">
      <c r="C30" s="4"/>
      <c r="E30" s="1" t="s">
        <v>23</v>
      </c>
      <c r="F30" s="5">
        <f>XIRR(E27:O27,E13:O13)</f>
        <v>1.06148601770401</v>
      </c>
    </row>
    <row r="31" spans="3:16" x14ac:dyDescent="0.35">
      <c r="C31" s="3"/>
    </row>
    <row r="32" spans="3:16" x14ac:dyDescent="0.35">
      <c r="H32" s="1">
        <f>0.4*50</f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0"/>
  <sheetViews>
    <sheetView tabSelected="1" zoomScale="90" zoomScaleNormal="90" workbookViewId="0">
      <selection activeCell="J33" sqref="J33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F29</f>
        <v>4923416.5990841277</v>
      </c>
      <c r="L2" s="5">
        <f>F30</f>
        <v>0.61573991179466259</v>
      </c>
    </row>
    <row r="3" spans="3:15" x14ac:dyDescent="0.35">
      <c r="C3" s="1" t="s">
        <v>4</v>
      </c>
      <c r="D3" s="4">
        <v>900000</v>
      </c>
      <c r="J3" s="1">
        <v>0.7</v>
      </c>
      <c r="K3" s="4">
        <f t="dataTable" ref="K3:L8" dt2D="0" dtr="0" r1="D8"/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I5" s="1" t="s">
        <v>24</v>
      </c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I6" s="1" t="s">
        <v>25</v>
      </c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>I18</f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 t="shared" ref="F16:O16" si="1">newmembersperyear</f>
        <v>1000</v>
      </c>
      <c r="G16" s="1">
        <f t="shared" si="1"/>
        <v>1000</v>
      </c>
      <c r="H16" s="1">
        <f t="shared" si="1"/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3">H15+H16-H17</f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35">
      <c r="D19" s="1" t="s">
        <v>8</v>
      </c>
      <c r="F19" s="4">
        <f t="shared" ref="F19:O19" si="4">annfee*(F15+F18)</f>
        <v>400000</v>
      </c>
      <c r="G19" s="4">
        <f>annfee*(G15+G18)</f>
        <v>1120000</v>
      </c>
      <c r="H19" s="4">
        <f t="shared" si="4"/>
        <v>1696000</v>
      </c>
      <c r="I19" s="4">
        <f t="shared" si="4"/>
        <v>2156800</v>
      </c>
      <c r="J19" s="4">
        <f t="shared" si="4"/>
        <v>2525440</v>
      </c>
      <c r="K19" s="4">
        <f t="shared" si="4"/>
        <v>2820352.0000000005</v>
      </c>
      <c r="L19" s="4">
        <f t="shared" si="4"/>
        <v>3056281.6000000006</v>
      </c>
      <c r="M19" s="4">
        <f t="shared" si="4"/>
        <v>3245025.2800000007</v>
      </c>
      <c r="N19" s="4">
        <f t="shared" si="4"/>
        <v>3396020.2240000004</v>
      </c>
      <c r="O19" s="4">
        <f t="shared" si="4"/>
        <v>3516816.1792000006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 t="shared" ref="F21:O21" si="6">0.5*(F15+F18)*anncostpermember</f>
        <v>50000</v>
      </c>
      <c r="G21" s="4">
        <f t="shared" si="6"/>
        <v>140000</v>
      </c>
      <c r="H21" s="4">
        <f t="shared" si="6"/>
        <v>212000</v>
      </c>
      <c r="I21" s="4">
        <f t="shared" si="6"/>
        <v>269600</v>
      </c>
      <c r="J21" s="4">
        <f t="shared" si="6"/>
        <v>315680</v>
      </c>
      <c r="K21" s="4">
        <f t="shared" si="6"/>
        <v>352544.00000000006</v>
      </c>
      <c r="L21" s="4">
        <f t="shared" si="6"/>
        <v>382035.20000000007</v>
      </c>
      <c r="M21" s="4">
        <f t="shared" si="6"/>
        <v>405628.16000000009</v>
      </c>
      <c r="N21" s="4">
        <f t="shared" si="6"/>
        <v>424502.52800000005</v>
      </c>
      <c r="O21" s="4">
        <f t="shared" si="6"/>
        <v>439602.02240000007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-90000</v>
      </c>
      <c r="G23" s="4">
        <f t="shared" ref="G23:O23" si="8">G19-G20-G21-G22</f>
        <v>540000</v>
      </c>
      <c r="H23" s="4">
        <f t="shared" si="8"/>
        <v>1044000</v>
      </c>
      <c r="I23" s="4">
        <f t="shared" si="8"/>
        <v>1447200</v>
      </c>
      <c r="J23" s="4">
        <f t="shared" si="8"/>
        <v>1769760</v>
      </c>
      <c r="K23" s="4">
        <f t="shared" si="8"/>
        <v>2027808.0000000005</v>
      </c>
      <c r="L23" s="4">
        <f t="shared" si="8"/>
        <v>2234246.4000000004</v>
      </c>
      <c r="M23" s="4">
        <f t="shared" si="8"/>
        <v>2399397.1200000006</v>
      </c>
      <c r="N23" s="4">
        <f t="shared" si="8"/>
        <v>2531517.6960000005</v>
      </c>
      <c r="O23" s="4">
        <f t="shared" si="8"/>
        <v>2637214.1568000005</v>
      </c>
      <c r="P23" s="4"/>
    </row>
    <row r="24" spans="3:16" x14ac:dyDescent="0.35">
      <c r="D24" s="1" t="s">
        <v>17</v>
      </c>
      <c r="F24" s="4">
        <f t="shared" ref="F24:O24" si="9">(1-taxrate)*F23</f>
        <v>-54000</v>
      </c>
      <c r="G24" s="4">
        <f t="shared" si="9"/>
        <v>324000</v>
      </c>
      <c r="H24" s="4">
        <f t="shared" si="9"/>
        <v>626400</v>
      </c>
      <c r="I24" s="4">
        <f t="shared" si="9"/>
        <v>868320</v>
      </c>
      <c r="J24" s="4">
        <f t="shared" si="9"/>
        <v>1061856</v>
      </c>
      <c r="K24" s="4">
        <f t="shared" si="9"/>
        <v>1216684.8000000003</v>
      </c>
      <c r="L24" s="4">
        <f t="shared" si="9"/>
        <v>1340547.8400000001</v>
      </c>
      <c r="M24" s="4">
        <f t="shared" si="9"/>
        <v>1439638.2720000003</v>
      </c>
      <c r="N24" s="4">
        <f t="shared" si="9"/>
        <v>1518910.6176000002</v>
      </c>
      <c r="O24" s="4">
        <f t="shared" si="9"/>
        <v>1582328.4940800003</v>
      </c>
      <c r="P24" s="4"/>
    </row>
    <row r="25" spans="3:16" x14ac:dyDescent="0.35">
      <c r="D25" s="1" t="s">
        <v>18</v>
      </c>
      <c r="E25" s="4">
        <v>0</v>
      </c>
      <c r="F25" s="4">
        <f>workingcappercentage*F19</f>
        <v>40000</v>
      </c>
      <c r="G25" s="4">
        <f t="shared" ref="G25:O25" si="10">workingcappercentage*G19</f>
        <v>112000</v>
      </c>
      <c r="H25" s="4">
        <f t="shared" si="10"/>
        <v>169600</v>
      </c>
      <c r="I25" s="4">
        <f t="shared" si="10"/>
        <v>215680</v>
      </c>
      <c r="J25" s="4">
        <f t="shared" si="10"/>
        <v>252544</v>
      </c>
      <c r="K25" s="4">
        <f t="shared" si="10"/>
        <v>282035.20000000007</v>
      </c>
      <c r="L25" s="4">
        <f t="shared" si="10"/>
        <v>305628.16000000009</v>
      </c>
      <c r="M25" s="4">
        <f t="shared" si="10"/>
        <v>324502.52800000011</v>
      </c>
      <c r="N25" s="4">
        <f t="shared" si="10"/>
        <v>339602.02240000007</v>
      </c>
      <c r="O25" s="4">
        <f t="shared" si="10"/>
        <v>351681.61792000011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72000</v>
      </c>
      <c r="H26" s="4">
        <f t="shared" ref="H26:O26" si="11">H25-G25</f>
        <v>57600</v>
      </c>
      <c r="I26" s="4">
        <f t="shared" si="11"/>
        <v>46080</v>
      </c>
      <c r="J26" s="4">
        <f t="shared" si="11"/>
        <v>36864</v>
      </c>
      <c r="K26" s="4">
        <f t="shared" si="11"/>
        <v>29491.20000000007</v>
      </c>
      <c r="L26" s="4">
        <f t="shared" si="11"/>
        <v>23592.960000000021</v>
      </c>
      <c r="M26" s="4">
        <f t="shared" si="11"/>
        <v>18874.368000000017</v>
      </c>
      <c r="N26" s="4">
        <f t="shared" si="11"/>
        <v>15099.494399999967</v>
      </c>
      <c r="O26" s="4">
        <f t="shared" si="11"/>
        <v>12079.595520000032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F24-F26+F22</f>
        <v>-4000</v>
      </c>
      <c r="G27" s="4">
        <f>G24-G26+G22</f>
        <v>342000</v>
      </c>
      <c r="H27" s="4">
        <f t="shared" ref="H27:O27" si="12">H24-H26+H22</f>
        <v>658800</v>
      </c>
      <c r="I27" s="4">
        <f t="shared" si="12"/>
        <v>912240</v>
      </c>
      <c r="J27" s="4">
        <f t="shared" si="12"/>
        <v>1114992</v>
      </c>
      <c r="K27" s="4">
        <f t="shared" si="12"/>
        <v>1277193.6000000001</v>
      </c>
      <c r="L27" s="4">
        <f t="shared" si="12"/>
        <v>1406954.8800000001</v>
      </c>
      <c r="M27" s="4">
        <f t="shared" si="12"/>
        <v>1510763.9040000003</v>
      </c>
      <c r="N27" s="4">
        <f t="shared" si="12"/>
        <v>1593811.1232000003</v>
      </c>
      <c r="O27" s="4">
        <f t="shared" si="12"/>
        <v>1660248.8985600004</v>
      </c>
      <c r="P27" s="4"/>
    </row>
    <row r="29" spans="3:16" x14ac:dyDescent="0.35">
      <c r="E29" s="1" t="s">
        <v>21</v>
      </c>
      <c r="F29" s="4">
        <f>XNPV(discountrate,E27:O27,E13:O13)</f>
        <v>4923416.5990841277</v>
      </c>
    </row>
    <row r="30" spans="3:16" x14ac:dyDescent="0.35">
      <c r="C30" s="4"/>
      <c r="E30" s="1" t="s">
        <v>23</v>
      </c>
      <c r="F30" s="5">
        <f>XIRR(E27:O27,E13:O13)</f>
        <v>0.61573991179466259</v>
      </c>
    </row>
    <row r="31" spans="3:16" x14ac:dyDescent="0.35">
      <c r="C31" s="3"/>
    </row>
    <row r="32" spans="3:16" x14ac:dyDescent="0.35">
      <c r="H32" s="1">
        <f>0.4*50</f>
        <v>20</v>
      </c>
    </row>
    <row r="33" spans="8:13" ht="18.5" x14ac:dyDescent="0.45">
      <c r="K33" s="10" t="s">
        <v>36</v>
      </c>
      <c r="L33" s="10"/>
      <c r="M33" s="10"/>
    </row>
    <row r="34" spans="8:13" x14ac:dyDescent="0.35">
      <c r="H34" s="9"/>
    </row>
    <row r="35" spans="8:13" x14ac:dyDescent="0.35">
      <c r="K35" s="1" t="s">
        <v>21</v>
      </c>
      <c r="L35" s="1" t="s">
        <v>23</v>
      </c>
    </row>
    <row r="36" spans="8:13" x14ac:dyDescent="0.35">
      <c r="K36" s="4">
        <f>F29</f>
        <v>4923416.5990841277</v>
      </c>
      <c r="L36" s="5">
        <f>F30</f>
        <v>0.61573991179466259</v>
      </c>
    </row>
    <row r="37" spans="8:13" x14ac:dyDescent="0.35">
      <c r="J37" s="1">
        <v>7.0000000000000007E-2</v>
      </c>
      <c r="K37" s="4">
        <f t="dataTable" ref="K37:L40" dt2D="0" dtr="0" r1="D10" ca="1"/>
        <v>4999603.0041394643</v>
      </c>
      <c r="L37" s="5">
        <v>0.62972508072853095</v>
      </c>
    </row>
    <row r="38" spans="8:13" x14ac:dyDescent="0.35">
      <c r="I38" s="1" t="s">
        <v>18</v>
      </c>
      <c r="J38" s="1">
        <v>0.1</v>
      </c>
      <c r="K38" s="4">
        <v>4923416.5990841277</v>
      </c>
      <c r="L38" s="5">
        <v>0.61573991179466259</v>
      </c>
    </row>
    <row r="39" spans="8:13" x14ac:dyDescent="0.35">
      <c r="J39" s="1">
        <v>0.2</v>
      </c>
      <c r="K39" s="4">
        <v>4669461.9155663401</v>
      </c>
      <c r="L39" s="5">
        <v>0.57104639410972624</v>
      </c>
    </row>
    <row r="40" spans="8:13" x14ac:dyDescent="0.35">
      <c r="J40" s="1">
        <v>0.3</v>
      </c>
      <c r="K40" s="4">
        <v>4415507.2320485525</v>
      </c>
      <c r="L40" s="5">
        <v>0.52919830679893509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Sheet1 (2)</vt:lpstr>
      <vt:lpstr>Sheet1</vt:lpstr>
      <vt:lpstr>question 1</vt:lpstr>
      <vt:lpstr>question 2</vt:lpstr>
      <vt:lpstr>question 5</vt:lpstr>
      <vt:lpstr>question 7)</vt:lpstr>
      <vt:lpstr>'question 7)'!anncostpermember</vt:lpstr>
      <vt:lpstr>'Sheet1 (2)'!anncostpermember</vt:lpstr>
      <vt:lpstr>anncostpermember</vt:lpstr>
      <vt:lpstr>'question 7)'!annfee</vt:lpstr>
      <vt:lpstr>'Sheet1 (2)'!annfee</vt:lpstr>
      <vt:lpstr>annfee</vt:lpstr>
      <vt:lpstr>'question 7)'!annfixedcost</vt:lpstr>
      <vt:lpstr>'Sheet1 (2)'!annfixedcost</vt:lpstr>
      <vt:lpstr>annfixedcost</vt:lpstr>
      <vt:lpstr>'question 7)'!buildcost</vt:lpstr>
      <vt:lpstr>'Sheet1 (2)'!buildcost</vt:lpstr>
      <vt:lpstr>buildcost</vt:lpstr>
      <vt:lpstr>costpermemgrowth</vt:lpstr>
      <vt:lpstr>'question 7)'!discountrate</vt:lpstr>
      <vt:lpstr>'Sheet1 (2)'!discountrate</vt:lpstr>
      <vt:lpstr>discountrate</vt:lpstr>
      <vt:lpstr>droppercent</vt:lpstr>
      <vt:lpstr>droprate</vt:lpstr>
      <vt:lpstr>fixedcostgrowth</vt:lpstr>
      <vt:lpstr>growthpercent</vt:lpstr>
      <vt:lpstr>growthyear</vt:lpstr>
      <vt:lpstr>memfeegrowth</vt:lpstr>
      <vt:lpstr>'question 7)'!newmembersperyear</vt:lpstr>
      <vt:lpstr>'Sheet1 (2)'!newmembersperyear</vt:lpstr>
      <vt:lpstr>newmembersperyear</vt:lpstr>
      <vt:lpstr>'question 7)'!retentionrate</vt:lpstr>
      <vt:lpstr>'Sheet1 (2)'!retentionrate</vt:lpstr>
      <vt:lpstr>retentionrate</vt:lpstr>
      <vt:lpstr>'question 7)'!taxrate</vt:lpstr>
      <vt:lpstr>'Sheet1 (2)'!taxrate</vt:lpstr>
      <vt:lpstr>taxrate</vt:lpstr>
      <vt:lpstr>'question 7)'!workingcappercentage</vt:lpstr>
      <vt:lpstr>'Sheet1 (2)'!workingcappercentage</vt:lpstr>
      <vt:lpstr>workingcappercentage</vt:lpstr>
      <vt:lpstr>year1customer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hp</cp:lastModifiedBy>
  <dcterms:created xsi:type="dcterms:W3CDTF">2012-12-20T20:26:46Z</dcterms:created>
  <dcterms:modified xsi:type="dcterms:W3CDTF">2024-02-02T16:47:13Z</dcterms:modified>
</cp:coreProperties>
</file>