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vens\Algorithms\Algorithms_Stevens\HW1\hw1\"/>
    </mc:Choice>
  </mc:AlternateContent>
  <xr:revisionPtr revIDLastSave="0" documentId="13_ncr:1_{A0676D99-555D-4BBB-824B-564DAFECC18C}" xr6:coauthVersionLast="47" xr6:coauthVersionMax="47" xr10:uidLastSave="{00000000-0000-0000-0000-000000000000}"/>
  <bookViews>
    <workbookView xWindow="-120" yWindow="-120" windowWidth="20730" windowHeight="11040" activeTab="2" xr2:uid="{BD4F9241-EB14-4C8D-8A54-0D7370678DA6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3" l="1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8" i="1"/>
  <c r="I8" i="1"/>
  <c r="H8" i="1"/>
  <c r="B8" i="1"/>
  <c r="H7" i="1"/>
  <c r="G8" i="1"/>
  <c r="C8" i="1"/>
  <c r="G7" i="1"/>
  <c r="F7" i="1"/>
  <c r="F8" i="1" s="1"/>
  <c r="E7" i="1"/>
  <c r="E8" i="1" s="1"/>
  <c r="D7" i="1"/>
  <c r="D8" i="1" s="1"/>
  <c r="C7" i="1"/>
  <c r="B7" i="1"/>
  <c r="J6" i="1"/>
  <c r="J7" i="1" s="1"/>
  <c r="I6" i="1"/>
  <c r="I7" i="1" s="1"/>
  <c r="H6" i="1"/>
  <c r="G6" i="1"/>
  <c r="F6" i="1"/>
  <c r="E6" i="1"/>
  <c r="D6" i="1"/>
  <c r="C6" i="1"/>
  <c r="B6" i="1"/>
  <c r="D5" i="1"/>
  <c r="C5" i="1"/>
  <c r="B4" i="1"/>
  <c r="B5" i="1"/>
  <c r="G5" i="1"/>
  <c r="F5" i="1"/>
  <c r="E5" i="1"/>
  <c r="J5" i="1"/>
  <c r="I5" i="1"/>
  <c r="H5" i="1"/>
  <c r="D4" i="1"/>
  <c r="C4" i="1"/>
  <c r="G4" i="1"/>
  <c r="F4" i="1"/>
  <c r="E4" i="1"/>
  <c r="J4" i="1"/>
  <c r="I4" i="1"/>
  <c r="H4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<sst xmlns="http://schemas.openxmlformats.org/spreadsheetml/2006/main" count="60" uniqueCount="11">
  <si>
    <t>Random Vector</t>
  </si>
  <si>
    <t>Sorted Vector</t>
  </si>
  <si>
    <t>Inverse Sorted Vector</t>
  </si>
  <si>
    <t>m</t>
  </si>
  <si>
    <t>n=10</t>
  </si>
  <si>
    <t>n=25</t>
  </si>
  <si>
    <t>n=50</t>
  </si>
  <si>
    <t>Table: For Naïve Insertion Sort</t>
  </si>
  <si>
    <t>Table: For Improved Insertion Sort</t>
  </si>
  <si>
    <t>Table: For Merge Sort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</si>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</sst>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##&quot; 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3" xfId="0" applyFont="1" applyBorder="1"/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B3BB-C6B7-4923-9235-AFC08B4A7366}">
  <dimension ref="A1:J44"/>
  <sheetViews>
    <sheetView zoomScale="88" workbookViewId="0">
      <selection activeCell="H3" sqref="H3:J8"/>
    </sheetView>
  </sheetViews>
  <sheetFormatPr defaultRowHeight="15" x14ac:dyDescent="0.25"/>
  <cols>
    <col min="2" max="2" width="11.85546875" bestFit="1" customWidth="1"/>
    <col min="4" max="4" width="13.5703125" bestFit="1" customWidth="1"/>
    <col min="5" max="5" width="13.28515625" bestFit="1" customWidth="1"/>
    <col min="7" max="7" width="13.5703125" bestFit="1" customWidth="1"/>
    <col min="8" max="8" width="13.28515625" bestFit="1" customWidth="1"/>
    <col min="10" max="10" width="13.5703125" bestFit="1" customWidth="1"/>
  </cols>
  <sheetData>
    <row r="1" spans="1:10" x14ac:dyDescent="0.25">
      <c r="A1" s="1"/>
      <c r="B1" s="14" t="s">
        <v>4</v>
      </c>
      <c r="C1" s="14"/>
      <c r="D1" s="14"/>
      <c r="E1" s="14" t="s">
        <v>5</v>
      </c>
      <c r="F1" s="14"/>
      <c r="G1" s="14"/>
      <c r="H1" s="14" t="s">
        <v>6</v>
      </c>
      <c r="I1" s="14"/>
      <c r="J1" s="15"/>
    </row>
    <row r="2" spans="1:10" ht="45" x14ac:dyDescent="0.25">
      <c r="A2" s="2" t="s">
        <v>3</v>
      </c>
      <c r="B2" s="3" t="s">
        <v>0</v>
      </c>
      <c r="C2" s="3" t="s">
        <v>1</v>
      </c>
      <c r="D2" s="3" t="s">
        <v>2</v>
      </c>
      <c r="E2" s="3" t="s">
        <v>0</v>
      </c>
      <c r="F2" s="3" t="s">
        <v>1</v>
      </c>
      <c r="G2" s="3" t="s">
        <v>2</v>
      </c>
      <c r="H2" s="3" t="s">
        <v>0</v>
      </c>
      <c r="I2" s="3" t="s">
        <v>1</v>
      </c>
      <c r="J2" s="4" t="s">
        <v>2</v>
      </c>
    </row>
    <row r="3" spans="1:10" x14ac:dyDescent="0.25">
      <c r="A3" s="5">
        <v>10000</v>
      </c>
      <c r="B3" s="7">
        <f>AVERAGE(1353,1359,1356,1353,1339,1379,1373,1354,1350,1337)/1000</f>
        <v>1.3552999999999999</v>
      </c>
      <c r="C3" s="7">
        <f>AVERAGE(,1,1,1,1,1,1,1,1,1)/1000</f>
        <v>8.9999999999999998E-4</v>
      </c>
      <c r="D3" s="7">
        <f>AVERAGE(2658,2665,2688,2627,2671,2629,2886,3694,3419,3035)/1000</f>
        <v>2.8971999999999998</v>
      </c>
      <c r="E3" s="7">
        <f>AVERAGE(3885,3758,3775,4475,4070,3944,3912,3963,3768,3798)/1000</f>
        <v>3.9348000000000001</v>
      </c>
      <c r="F3" s="7">
        <f>AVERAGE(3,3,2,2,2,3,2,3,2,2)/1000</f>
        <v>2.3999999999999998E-3</v>
      </c>
      <c r="G3" s="7">
        <f>AVERAGE(7648,7900,7527,7552,7549,7547,7572,7515,7608,7543)/1000</f>
        <v>7.5961000000000007</v>
      </c>
      <c r="H3" s="7">
        <f>AVERAGE(10056,9405,10234,11583,9366,9277,9304,9337,9347,9306)/1000</f>
        <v>9.7215000000000007</v>
      </c>
      <c r="I3" s="7">
        <f>AVERAGE(4,5,6,5,4,6,6,6,5,6)/1000</f>
        <v>5.3E-3</v>
      </c>
      <c r="J3" s="8">
        <f>AVERAGE(18886,21840,26608,26409,26131,26027,26444,26491,27737,26672)/1000</f>
        <v>25.3245</v>
      </c>
    </row>
    <row r="4" spans="1:10" x14ac:dyDescent="0.25">
      <c r="A4" s="5">
        <v>25000</v>
      </c>
      <c r="B4" s="7">
        <f>AVERAGE(9594,8937,8845,9029,8813)/1000</f>
        <v>9.0435999999999996</v>
      </c>
      <c r="C4" s="7">
        <f>AVERAGE(2,3,2,2,2)/1000</f>
        <v>2.2000000000000001E-3</v>
      </c>
      <c r="D4" s="7">
        <f>AVERAGE(16892,16814,17070,17100,15468)/1000</f>
        <v>16.668800000000001</v>
      </c>
      <c r="E4" s="7">
        <f>AVERAGE(24459,24138,24082,24171,23830)/1000</f>
        <v>24.135999999999999</v>
      </c>
      <c r="F4" s="7">
        <f>AVERAGE(5,6,6,5,5)/1000</f>
        <v>5.4000000000000003E-3</v>
      </c>
      <c r="G4" s="7">
        <f>AVERAGE(47348,47548,47561,48360,47335)/1000</f>
        <v>47.630400000000002</v>
      </c>
      <c r="H4" s="7">
        <f>AVERAGE(107207,101733,43010,45019,43524)/1000</f>
        <v>68.098600000000005</v>
      </c>
      <c r="I4" s="7">
        <f>AVERAGE(9,6,7,7,6)/1000</f>
        <v>7.0000000000000001E-3</v>
      </c>
      <c r="J4" s="8">
        <f>AVERAGE(84336,101650,117806,118710,137680)/1000</f>
        <v>112.0364</v>
      </c>
    </row>
    <row r="5" spans="1:10" x14ac:dyDescent="0.25">
      <c r="A5" s="5">
        <v>50000</v>
      </c>
      <c r="B5" s="7">
        <f>AVERAGE(35320,37584,35020,35286,35242)/1000</f>
        <v>35.690400000000004</v>
      </c>
      <c r="C5" s="7">
        <f>AVERAGE(2,3,3,3,3)/1000</f>
        <v>2.8E-3</v>
      </c>
      <c r="D5" s="7">
        <f>AVERAGE(64980,65360,90625,67172,137752)/1000</f>
        <v>85.177800000000005</v>
      </c>
      <c r="E5" s="7">
        <f>AVERAGE(118100,103907,96051,104257,96622)/1000</f>
        <v>103.78739999999999</v>
      </c>
      <c r="F5" s="7">
        <f>AVERAGE(8,6,9,7,8)/1000</f>
        <v>7.6E-3</v>
      </c>
      <c r="G5" s="7">
        <f>AVERAGE(163910,161682,184202,184826,187917)/1000</f>
        <v>176.50739999999999</v>
      </c>
      <c r="H5" s="7">
        <f>AVERAGE(264891,311975,371275,429167,257581)/1000</f>
        <v>326.9778</v>
      </c>
      <c r="I5" s="7">
        <f>AVERAGE(15,17,23,14,13)/1000</f>
        <v>1.6399999999999998E-2</v>
      </c>
      <c r="J5" s="8">
        <f>AVERAGE(674967,630060,432033,401158,455239)/1000</f>
        <v>518.69140000000004</v>
      </c>
    </row>
    <row r="6" spans="1:10" x14ac:dyDescent="0.25">
      <c r="A6" s="5">
        <v>100000</v>
      </c>
      <c r="B6" s="7">
        <f>AVERAGE(224520,231475,232723,227840,230851)/1000</f>
        <v>229.48179999999999</v>
      </c>
      <c r="C6" s="7">
        <f>AVERAGE(8,7,6,7,10)/1000</f>
        <v>7.6E-3</v>
      </c>
      <c r="D6" s="7">
        <f>AVERAGE(339231,336135,338640,340640,336413)/1000</f>
        <v>338.21179999999998</v>
      </c>
      <c r="E6" s="7">
        <f>AVERAGE(612776,606206,617799,611632,609659)/1000</f>
        <v>611.61440000000005</v>
      </c>
      <c r="F6" s="7">
        <f>AVERAGE(18,16,18,25,18)/1000</f>
        <v>1.9E-2</v>
      </c>
      <c r="G6" s="7">
        <f>AVERAGE(939645,939902,940443,941550,949594)/1000</f>
        <v>942.22680000000003</v>
      </c>
      <c r="H6" s="7">
        <f>AVERAGE(1283234,1280171,1284482,1289852,1282039)/1000</f>
        <v>1283.9556</v>
      </c>
      <c r="I6" s="7">
        <f>AVERAGE(54,51,44,41,49)/1000</f>
        <v>4.7799999999999995E-2</v>
      </c>
      <c r="J6" s="8">
        <f>AVERAGE(2293954,1716547,1670989,1694244,1692323)/1000</f>
        <v>1813.6114</v>
      </c>
    </row>
    <row r="7" spans="1:10" x14ac:dyDescent="0.25">
      <c r="A7" s="5">
        <v>250000</v>
      </c>
      <c r="B7" s="7">
        <f>AVERAGE(1919625,1849712,1968131,1759656,1754286)/1000</f>
        <v>1850.2819999999999</v>
      </c>
      <c r="C7" s="7">
        <f>AVERAGE(18,17,26,17,17)/1000</f>
        <v>1.9E-2</v>
      </c>
      <c r="D7" s="7">
        <f>AVERAGE(2292349,2294513,2295788,2298444,2189703)/1000</f>
        <v>2274.1594</v>
      </c>
      <c r="E7" s="7">
        <f>AVERAGE(3807152,3278207,2746782,4366043,4152671)/1000</f>
        <v>3670.1709999999998</v>
      </c>
      <c r="F7" s="7">
        <f>AVERAGE(35,30,33,30,29)/1000</f>
        <v>3.1399999999999997E-2</v>
      </c>
      <c r="G7" s="7">
        <f>AVERAGE(4201995,3443491,5169674,4764553,4668745)/1000</f>
        <v>4449.6915999999992</v>
      </c>
      <c r="H7" s="7">
        <f>H6*5.24</f>
        <v>6727.9273440000006</v>
      </c>
      <c r="I7" s="7">
        <f>I6*2.19</f>
        <v>0.10468199999999998</v>
      </c>
      <c r="J7" s="8">
        <f>J6*4.3</f>
        <v>7798.5290199999999</v>
      </c>
    </row>
    <row r="8" spans="1:10" x14ac:dyDescent="0.25">
      <c r="A8" s="5">
        <v>1000000</v>
      </c>
      <c r="B8" s="7">
        <f>D8/2.36</f>
        <v>5184.312530508475</v>
      </c>
      <c r="C8" s="7">
        <f>56/1000</f>
        <v>5.6000000000000001E-2</v>
      </c>
      <c r="D8" s="7">
        <f>D7*5.38</f>
        <v>12234.977572</v>
      </c>
      <c r="E8" s="7">
        <f>E7*5.58</f>
        <v>20479.554179999999</v>
      </c>
      <c r="F8" s="7">
        <f>F7*1.97</f>
        <v>6.1857999999999996E-2</v>
      </c>
      <c r="G8" s="7">
        <f>G7*4.99</f>
        <v>22203.961083999999</v>
      </c>
      <c r="H8" s="7">
        <f>H7*5.24</f>
        <v>35254.339282560002</v>
      </c>
      <c r="I8" s="7">
        <f>I7*2.15</f>
        <v>0.22506629999999994</v>
      </c>
      <c r="J8" s="8">
        <f>J7*4.05</f>
        <v>31584.042530999999</v>
      </c>
    </row>
    <row r="9" spans="1:10" ht="15.75" thickBot="1" x14ac:dyDescent="0.3">
      <c r="A9" s="6">
        <v>2500000</v>
      </c>
      <c r="B9" s="9" t="s">
        <v>10</v>
      </c>
      <c r="C9" s="9" t="s">
        <v>10</v>
      </c>
      <c r="D9" s="9" t="s">
        <v>10</v>
      </c>
      <c r="E9" s="9" t="s">
        <v>10</v>
      </c>
      <c r="F9" s="9" t="s">
        <v>10</v>
      </c>
      <c r="G9" s="9" t="s">
        <v>10</v>
      </c>
      <c r="H9" s="9" t="s">
        <v>10</v>
      </c>
      <c r="I9" s="9" t="s">
        <v>10</v>
      </c>
      <c r="J9" s="10" t="s">
        <v>10</v>
      </c>
    </row>
    <row r="10" spans="1:10" x14ac:dyDescent="0.25">
      <c r="A10" s="16" t="s">
        <v>7</v>
      </c>
      <c r="B10" s="16"/>
      <c r="C10" s="16"/>
      <c r="D10" s="16"/>
      <c r="E10" s="16"/>
      <c r="F10" s="16"/>
      <c r="G10" s="16"/>
      <c r="H10" s="16"/>
      <c r="I10" s="16"/>
      <c r="J10" s="16"/>
    </row>
    <row r="37" spans="1:10" x14ac:dyDescent="0.25">
      <c r="A37" s="11"/>
      <c r="B37" s="12"/>
      <c r="C37" s="12"/>
      <c r="D37" s="12"/>
      <c r="E37" s="12"/>
      <c r="F37" s="12"/>
      <c r="G37" s="12"/>
      <c r="H37" s="12"/>
      <c r="I37" s="12"/>
      <c r="J37" s="12"/>
    </row>
    <row r="38" spans="1:10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</row>
    <row r="41" spans="1:10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</row>
    <row r="44" spans="1:10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</row>
  </sheetData>
  <mergeCells count="4">
    <mergeCell ref="B1:D1"/>
    <mergeCell ref="E1:G1"/>
    <mergeCell ref="H1:J1"/>
    <mergeCell ref="A10:J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03057-7663-4592-ABF8-912FB569272D}">
  <dimension ref="A1:J10"/>
  <sheetViews>
    <sheetView workbookViewId="0">
      <selection activeCell="H3" sqref="H3:J8"/>
    </sheetView>
  </sheetViews>
  <sheetFormatPr defaultRowHeight="15" x14ac:dyDescent="0.25"/>
  <cols>
    <col min="2" max="2" width="10.85546875" bestFit="1" customWidth="1"/>
    <col min="3" max="3" width="6.85546875" bestFit="1" customWidth="1"/>
    <col min="4" max="5" width="10.85546875" bestFit="1" customWidth="1"/>
    <col min="7" max="7" width="10.85546875" bestFit="1" customWidth="1"/>
    <col min="8" max="8" width="9.85546875" bestFit="1" customWidth="1"/>
    <col min="10" max="10" width="9.85546875" bestFit="1" customWidth="1"/>
  </cols>
  <sheetData>
    <row r="1" spans="1:10" x14ac:dyDescent="0.25">
      <c r="A1" s="1"/>
      <c r="B1" s="14" t="s">
        <v>4</v>
      </c>
      <c r="C1" s="14"/>
      <c r="D1" s="14"/>
      <c r="E1" s="14" t="s">
        <v>5</v>
      </c>
      <c r="F1" s="14"/>
      <c r="G1" s="14"/>
      <c r="H1" s="14" t="s">
        <v>6</v>
      </c>
      <c r="I1" s="14"/>
      <c r="J1" s="15"/>
    </row>
    <row r="2" spans="1:10" ht="45" x14ac:dyDescent="0.25">
      <c r="A2" s="2" t="s">
        <v>3</v>
      </c>
      <c r="B2" s="3" t="s">
        <v>0</v>
      </c>
      <c r="C2" s="3" t="s">
        <v>1</v>
      </c>
      <c r="D2" s="3" t="s">
        <v>2</v>
      </c>
      <c r="E2" s="3" t="s">
        <v>0</v>
      </c>
      <c r="F2" s="3" t="s">
        <v>1</v>
      </c>
      <c r="G2" s="3" t="s">
        <v>2</v>
      </c>
      <c r="H2" s="3" t="s">
        <v>0</v>
      </c>
      <c r="I2" s="3" t="s">
        <v>1</v>
      </c>
      <c r="J2" s="4" t="s">
        <v>2</v>
      </c>
    </row>
    <row r="3" spans="1:10" x14ac:dyDescent="0.25">
      <c r="A3" s="5">
        <v>10000</v>
      </c>
      <c r="B3" s="7">
        <f>AVERAGE(87,80,77,78,82)/1000</f>
        <v>8.0799999999999997E-2</v>
      </c>
      <c r="C3" s="7">
        <f>AVERAGE(0,1,0,0,0)/1000</f>
        <v>2.0000000000000001E-4</v>
      </c>
      <c r="D3" s="7">
        <f>AVERAGE(167,160,173,168,164)/1000</f>
        <v>0.16639999999999999</v>
      </c>
      <c r="E3" s="7">
        <f>AVERAGE(84,95,94,80,95)/1000</f>
        <v>8.9599999999999999E-2</v>
      </c>
      <c r="F3" s="7">
        <f>AVERAGE(1,1,1,1,1)/1000</f>
        <v>1E-3</v>
      </c>
      <c r="G3" s="7">
        <f>AVERAGE(160,160,172,177,162)/1000</f>
        <v>0.16619999999999999</v>
      </c>
      <c r="H3" s="7">
        <f>AVERAGE(96,85,86,81,88)/1000</f>
        <v>8.72E-2</v>
      </c>
      <c r="I3" s="7">
        <f>AVERAGE(2,2,1,2,2)/1000</f>
        <v>1.8E-3</v>
      </c>
      <c r="J3" s="8">
        <f>AVERAGE(170,163,163,157,176)/1000</f>
        <v>0.1658</v>
      </c>
    </row>
    <row r="4" spans="1:10" x14ac:dyDescent="0.25">
      <c r="A4" s="5">
        <v>25000</v>
      </c>
      <c r="B4" s="7">
        <f>AVERAGE(559,564,478,486,474)/1000</f>
        <v>0.5122000000000001</v>
      </c>
      <c r="C4" s="7">
        <f>AVERAGE(0,0,1,2,1)/1000</f>
        <v>8.0000000000000004E-4</v>
      </c>
      <c r="D4" s="7">
        <f>AVERAGE(983,986,997,979,995)/1000</f>
        <v>0.98799999999999999</v>
      </c>
      <c r="E4" s="7">
        <f>AVERAGE(504,573,523,486,513)/1000</f>
        <v>0.51979999999999993</v>
      </c>
      <c r="F4" s="7">
        <f>AVERAGE(3,1,3,1,1)/1000</f>
        <v>1.8E-3</v>
      </c>
      <c r="G4" s="7">
        <f>AVERAGE(987,996,965,1007,976)/1000</f>
        <v>0.98620000000000008</v>
      </c>
      <c r="H4" s="7">
        <f>AVERAGE(505,485,501,494,483)/1000</f>
        <v>0.49360000000000004</v>
      </c>
      <c r="I4" s="7">
        <f>AVERAGE(5,3,5,3,4)/1000</f>
        <v>4.0000000000000001E-3</v>
      </c>
      <c r="J4" s="8">
        <f>AVERAGE(1001,972,983,966,976)/1000</f>
        <v>0.97960000000000003</v>
      </c>
    </row>
    <row r="5" spans="1:10" x14ac:dyDescent="0.25">
      <c r="A5" s="5">
        <v>50000</v>
      </c>
      <c r="B5" s="7">
        <f>AVERAGE(7942,2262,2212,1992,1980)/1000</f>
        <v>3.2776000000000001</v>
      </c>
      <c r="C5" s="7">
        <f>AVERAGE(2,1,2,3,2)/1000</f>
        <v>2E-3</v>
      </c>
      <c r="D5" s="7">
        <f>AVERAGE(3995,3984,3882,3897,3856)/1000</f>
        <v>3.9228000000000001</v>
      </c>
      <c r="E5" s="7">
        <f>AVERAGE(1963,1953,1942,1982,1929)/1000</f>
        <v>1.9538</v>
      </c>
      <c r="F5" s="7">
        <f>AVERAGE(4,5,3,3,3)/1000</f>
        <v>3.5999999999999999E-3</v>
      </c>
      <c r="G5" s="7">
        <f>AVERAGE(3887,3894,3857,3852,3847)/1000</f>
        <v>3.8673999999999999</v>
      </c>
      <c r="H5" s="7">
        <f>AVERAGE(1944,1932,1967,1959,1951)/1000</f>
        <v>1.9505999999999999</v>
      </c>
      <c r="I5" s="7">
        <f>AVERAGE(8,7,7,7,7)/1000</f>
        <v>7.1999999999999998E-3</v>
      </c>
      <c r="J5" s="8">
        <f>AVERAGE(3875,3921,3909,3897,3890)/1000</f>
        <v>3.8984000000000001</v>
      </c>
    </row>
    <row r="6" spans="1:10" x14ac:dyDescent="0.25">
      <c r="A6" s="5">
        <v>100000</v>
      </c>
      <c r="B6" s="7">
        <f>AVERAGE(7800,7859,7747,7748,7698)/1000</f>
        <v>7.7703999999999995</v>
      </c>
      <c r="C6" s="7">
        <f>AVERAGE(3,3,3,4,5)/1000</f>
        <v>3.5999999999999999E-3</v>
      </c>
      <c r="D6" s="7">
        <f>AVERAGE(15602,15521,15549,51622,15687)/1000</f>
        <v>22.796200000000002</v>
      </c>
      <c r="E6" s="7">
        <f>AVERAGE(7750,7767,7686,7728,7795)/1000</f>
        <v>7.7451999999999996</v>
      </c>
      <c r="F6" s="7">
        <f>AVERAGE(10,7,6,10,6)/1000</f>
        <v>7.7999999999999996E-3</v>
      </c>
      <c r="G6" s="7">
        <f>AVERAGE(15650,15537,15493,15471,15419)/1000</f>
        <v>15.513999999999999</v>
      </c>
      <c r="H6" s="7">
        <f>AVERAGE(7847,7696,7798,7701,7759)/1000</f>
        <v>7.7602000000000002</v>
      </c>
      <c r="I6" s="7">
        <f>AVERAGE(18,14,14,14,14)/1000</f>
        <v>1.4800000000000001E-2</v>
      </c>
      <c r="J6" s="8">
        <f>AVERAGE(15747,15596,15499,15454,15486)/1000</f>
        <v>15.5564</v>
      </c>
    </row>
    <row r="7" spans="1:10" x14ac:dyDescent="0.25">
      <c r="A7" s="5">
        <v>250000</v>
      </c>
      <c r="B7" s="7">
        <f>AVERAGE(128322,48167,48496,50675,48669)/1000</f>
        <v>64.865800000000007</v>
      </c>
      <c r="C7" s="7">
        <f>AVERAGE(11,6,6,6,7)/1000</f>
        <v>7.1999999999999998E-3</v>
      </c>
      <c r="D7" s="7">
        <f>AVERAGE(244387,304916,304325,215199,106229)/1000</f>
        <v>235.0112</v>
      </c>
      <c r="E7" s="7">
        <f>AVERAGE(54231,52019,48316,48367,48397)/1000</f>
        <v>50.265999999999998</v>
      </c>
      <c r="F7" s="7">
        <f>AVERAGE(16,19,16,15,18)/1000</f>
        <v>1.6800000000000002E-2</v>
      </c>
      <c r="G7" s="7">
        <f>AVERAGE(98481,288274,290322,212562,143586)/1000</f>
        <v>206.64500000000001</v>
      </c>
      <c r="H7" s="7">
        <f>AVERAGE(70316,69912,69347,70181,68312)/1000</f>
        <v>69.613600000000005</v>
      </c>
      <c r="I7" s="7">
        <f>AVERAGE(49,57,52,54,58)/1000</f>
        <v>5.3999999999999999E-2</v>
      </c>
      <c r="J7" s="8">
        <f>AVERAGE(139837,140376,140163,138494,138930)/1000</f>
        <v>139.56</v>
      </c>
    </row>
    <row r="8" spans="1:10" x14ac:dyDescent="0.25">
      <c r="A8" s="5">
        <v>1000000</v>
      </c>
      <c r="B8" s="7">
        <f>AVERAGE(1111779,1102074,1107859,1107476,1284861)/1000</f>
        <v>1142.8098</v>
      </c>
      <c r="C8" s="7">
        <f>AVERAGE(25,29,24,28,25)/1000</f>
        <v>2.6199999999999998E-2</v>
      </c>
      <c r="D8" s="7">
        <f>AVERAGE(2034225,2165237,2182499,2166415,2249403)/1000</f>
        <v>2159.5557999999996</v>
      </c>
      <c r="E8" s="7">
        <f>AVERAGE(2206845,1041865,1330758,1324976,1421124)/1000</f>
        <v>1465.1136000000001</v>
      </c>
      <c r="F8" s="7">
        <f>AVERAGE(92,91,93,93,92)/1000</f>
        <v>9.2200000000000004E-2</v>
      </c>
      <c r="G8" s="7">
        <f>AVERAGE(3151938,2711097,3299691,2486488,2843990)/1000</f>
        <v>2898.6407999999997</v>
      </c>
      <c r="H8" s="7">
        <f>AVERAGE(1661388,1084916,1084101,1084803,1081862)/1000</f>
        <v>1199.414</v>
      </c>
      <c r="I8" s="7">
        <f>AVERAGE(201,198,197,200,200)/1000</f>
        <v>0.19919999999999999</v>
      </c>
      <c r="J8" s="8">
        <f>AVERAGE(2179749,2184233,2185523,2184636,2189874)/1000</f>
        <v>2184.8029999999999</v>
      </c>
    </row>
    <row r="9" spans="1:10" ht="15.75" thickBot="1" x14ac:dyDescent="0.3">
      <c r="A9" s="6">
        <v>2500000</v>
      </c>
      <c r="B9" s="9" t="s">
        <v>10</v>
      </c>
      <c r="C9" s="9" t="s">
        <v>10</v>
      </c>
      <c r="D9" s="9" t="s">
        <v>10</v>
      </c>
      <c r="E9" s="9" t="s">
        <v>10</v>
      </c>
      <c r="F9" s="9" t="s">
        <v>10</v>
      </c>
      <c r="G9" s="9" t="s">
        <v>10</v>
      </c>
      <c r="H9" s="9" t="s">
        <v>10</v>
      </c>
      <c r="I9" s="9" t="s">
        <v>10</v>
      </c>
      <c r="J9" s="10" t="s">
        <v>10</v>
      </c>
    </row>
    <row r="10" spans="1:10" x14ac:dyDescent="0.25">
      <c r="A10" s="16" t="s">
        <v>8</v>
      </c>
      <c r="B10" s="16"/>
      <c r="C10" s="16"/>
      <c r="D10" s="16"/>
      <c r="E10" s="16"/>
      <c r="F10" s="16"/>
      <c r="G10" s="16"/>
      <c r="H10" s="16"/>
      <c r="I10" s="16"/>
      <c r="J10" s="16"/>
    </row>
  </sheetData>
  <mergeCells count="4">
    <mergeCell ref="A10:J10"/>
    <mergeCell ref="B1:D1"/>
    <mergeCell ref="E1:G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0B731-97DE-4D1F-91EB-9598E371BB20}">
  <dimension ref="A1:J10"/>
  <sheetViews>
    <sheetView tabSelected="1" workbookViewId="0">
      <selection activeCell="H3" sqref="H3:J9"/>
    </sheetView>
  </sheetViews>
  <sheetFormatPr defaultRowHeight="15" x14ac:dyDescent="0.25"/>
  <sheetData>
    <row r="1" spans="1:10" x14ac:dyDescent="0.25">
      <c r="A1" s="1"/>
      <c r="B1" s="17" t="s">
        <v>4</v>
      </c>
      <c r="C1" s="18"/>
      <c r="D1" s="19"/>
      <c r="E1" s="17" t="s">
        <v>5</v>
      </c>
      <c r="F1" s="18"/>
      <c r="G1" s="19"/>
      <c r="H1" s="17" t="s">
        <v>6</v>
      </c>
      <c r="I1" s="18"/>
      <c r="J1" s="20"/>
    </row>
    <row r="2" spans="1:10" ht="45" x14ac:dyDescent="0.25">
      <c r="A2" s="2" t="s">
        <v>3</v>
      </c>
      <c r="B2" s="3" t="s">
        <v>0</v>
      </c>
      <c r="C2" s="3" t="s">
        <v>1</v>
      </c>
      <c r="D2" s="3" t="s">
        <v>2</v>
      </c>
      <c r="E2" s="3" t="s">
        <v>0</v>
      </c>
      <c r="F2" s="3" t="s">
        <v>1</v>
      </c>
      <c r="G2" s="3" t="s">
        <v>2</v>
      </c>
      <c r="H2" s="3" t="s">
        <v>0</v>
      </c>
      <c r="I2" s="3" t="s">
        <v>1</v>
      </c>
      <c r="J2" s="4" t="s">
        <v>2</v>
      </c>
    </row>
    <row r="3" spans="1:10" x14ac:dyDescent="0.25">
      <c r="A3" s="5">
        <v>10000</v>
      </c>
      <c r="B3" s="7">
        <f>AVERAGE(18,15,13,11,13)/1000</f>
        <v>1.4E-2</v>
      </c>
      <c r="C3" s="7">
        <f>AVERAGE(11,12,13,14,12)/1000</f>
        <v>1.24E-2</v>
      </c>
      <c r="D3" s="7">
        <f>AVERAGE(13,14,11,14,14)/1000</f>
        <v>1.32E-2</v>
      </c>
      <c r="E3" s="7">
        <f>AVERAGE(17,17,16,17,19)/1000</f>
        <v>1.72E-2</v>
      </c>
      <c r="F3" s="7">
        <f>AVERAGE(16,13,17,15,15)/1000</f>
        <v>1.52E-2</v>
      </c>
      <c r="G3" s="7">
        <f>AVERAGE(14,21,14,14,13)/1000</f>
        <v>1.52E-2</v>
      </c>
      <c r="H3" s="7">
        <f>AVERAGE(21,22,21,23,21)/1000</f>
        <v>2.1600000000000001E-2</v>
      </c>
      <c r="I3" s="7">
        <f>AVERAGE(21,19,21,18,23)/1000</f>
        <v>2.0399999999999998E-2</v>
      </c>
      <c r="J3" s="8">
        <f>AVERAGE(32,21,20,22,26)/1000</f>
        <v>2.4199999999999999E-2</v>
      </c>
    </row>
    <row r="4" spans="1:10" x14ac:dyDescent="0.25">
      <c r="A4" s="5">
        <v>25000</v>
      </c>
      <c r="B4" s="7">
        <f>AVERAGE(39,36,32,36,39)/1000</f>
        <v>3.6400000000000002E-2</v>
      </c>
      <c r="C4" s="7">
        <f>AVERAGE(37,39,38,40,37)/1000</f>
        <v>3.8200000000000005E-2</v>
      </c>
      <c r="D4" s="7">
        <f>AVERAGE(33,34,37,36,34)/1000</f>
        <v>3.4799999999999998E-2</v>
      </c>
      <c r="E4" s="7">
        <f>AVERAGE(51,57,41,43,43)/1000</f>
        <v>4.7E-2</v>
      </c>
      <c r="F4" s="7">
        <f>AVERAGE(44,42,44,43,39)/1000</f>
        <v>4.24E-2</v>
      </c>
      <c r="G4" s="7">
        <f>AVERAGE(46,43,43,45,38)/1000</f>
        <v>4.2999999999999997E-2</v>
      </c>
      <c r="H4" s="7">
        <f>AVERAGE(75,56,60,57,57)/1000</f>
        <v>6.0999999999999999E-2</v>
      </c>
      <c r="I4" s="7">
        <f>AVERAGE(61,55,63,58,46)/1000</f>
        <v>5.6600000000000004E-2</v>
      </c>
      <c r="J4" s="8">
        <f>AVERAGE(56,56,55,52,62)/1000</f>
        <v>5.62E-2</v>
      </c>
    </row>
    <row r="5" spans="1:10" x14ac:dyDescent="0.25">
      <c r="A5" s="5">
        <v>50000</v>
      </c>
      <c r="B5" s="7">
        <f>AVERAGE(76,73,83,70,73)/1000</f>
        <v>7.4999999999999997E-2</v>
      </c>
      <c r="C5" s="7">
        <f>AVERAGE(69,75,70,78,73)/1000</f>
        <v>7.2999999999999995E-2</v>
      </c>
      <c r="D5" s="7">
        <f>AVERAGE(73,71,73,79,75)/1000</f>
        <v>7.4200000000000002E-2</v>
      </c>
      <c r="E5" s="7">
        <f>AVERAGE(95,99,103,89,93)/1000</f>
        <v>9.5799999999999996E-2</v>
      </c>
      <c r="F5" s="7">
        <f>AVERAGE(92,91,97,91,88)/1000</f>
        <v>9.1799999999999993E-2</v>
      </c>
      <c r="G5" s="7">
        <f>AVERAGE(86,86,85,88,99)/1000</f>
        <v>8.8800000000000004E-2</v>
      </c>
      <c r="H5" s="7">
        <f>AVERAGE(114,118,126,117,109)/1000</f>
        <v>0.1168</v>
      </c>
      <c r="I5" s="7">
        <f>AVERAGE(106,114,126,125,118)/1000</f>
        <v>0.1178</v>
      </c>
      <c r="J5" s="8">
        <f>AVERAGE(112,105,115,,113,106)/1000</f>
        <v>9.1833333333333322E-2</v>
      </c>
    </row>
    <row r="6" spans="1:10" x14ac:dyDescent="0.25">
      <c r="A6" s="5">
        <v>100000</v>
      </c>
      <c r="B6" s="7">
        <f>AVERAGE(160,151,156,143,158)/1000</f>
        <v>0.15359999999999999</v>
      </c>
      <c r="C6" s="7">
        <f>AVERAGE(160,143,139,140,153)/1000</f>
        <v>0.14699999999999999</v>
      </c>
      <c r="D6" s="7">
        <f>AVERAGE(162,148,146,153,158)/1000</f>
        <v>0.15340000000000001</v>
      </c>
      <c r="E6" s="7">
        <f>AVERAGE(190,211,193,178,198)/1000</f>
        <v>0.19400000000000001</v>
      </c>
      <c r="F6" s="7">
        <f>AVERAGE(205,213,169,191,177)/1000</f>
        <v>0.191</v>
      </c>
      <c r="G6" s="7">
        <f>AVERAGE(172,194,184,197,166)/1000</f>
        <v>0.18259999999999998</v>
      </c>
      <c r="H6" s="7">
        <f>AVERAGE(229,231,231,264,254)/1000</f>
        <v>0.24180000000000001</v>
      </c>
      <c r="I6" s="7">
        <f>AVERAGE(247,215,215,242,259)/1000</f>
        <v>0.2356</v>
      </c>
      <c r="J6" s="8">
        <f>AVERAGE(281,232,235,230,251)/1000</f>
        <v>0.24580000000000002</v>
      </c>
    </row>
    <row r="7" spans="1:10" x14ac:dyDescent="0.25">
      <c r="A7" s="5">
        <v>250000</v>
      </c>
      <c r="B7" s="7">
        <f>AVERAGE(429,369,414,372,393)/1000</f>
        <v>0.39539999999999997</v>
      </c>
      <c r="C7" s="7">
        <f>AVERAGE(388,364,379,375,365)/1000</f>
        <v>0.37419999999999998</v>
      </c>
      <c r="D7" s="7">
        <f>AVERAGE(366,355,392,360,404)/1000</f>
        <v>0.37539999999999996</v>
      </c>
      <c r="E7" s="7">
        <f>AVERAGE(523,474,491,448,475)/1000</f>
        <v>0.48219999999999996</v>
      </c>
      <c r="F7" s="7">
        <f>AVERAGE(445,466,493,435,516)/1000</f>
        <v>0.47099999999999997</v>
      </c>
      <c r="G7" s="7">
        <f>AVERAGE(460,472,464,452,503)/1000</f>
        <v>0.47020000000000001</v>
      </c>
      <c r="H7" s="7">
        <f>AVERAGE(601,644,660,651,646)/1000</f>
        <v>0.64039999999999997</v>
      </c>
      <c r="I7" s="7">
        <f>AVERAGE(597,603,620,615,664)/1000</f>
        <v>0.61979999999999991</v>
      </c>
      <c r="J7" s="8">
        <f>AVERAGE(577,595,626,650,628)/1000</f>
        <v>0.61520000000000008</v>
      </c>
    </row>
    <row r="8" spans="1:10" x14ac:dyDescent="0.25">
      <c r="A8" s="5">
        <v>1000000</v>
      </c>
      <c r="B8" s="7">
        <f>AVERAGE(1789,1713,1719,1703,1735)/1000</f>
        <v>1.7318</v>
      </c>
      <c r="C8" s="7">
        <f>AVERAGE(1658,1661,1611,1673,1651)/1000</f>
        <v>1.6508</v>
      </c>
      <c r="D8" s="7">
        <f>AVERAGE(1657,1619,1668,1661,1659)/1000</f>
        <v>1.6528</v>
      </c>
      <c r="E8" s="7">
        <f>AVERAGE(2164,2194,2117,2250,2199)/1000</f>
        <v>2.1848000000000001</v>
      </c>
      <c r="F8" s="7">
        <f>AVERAGE(2107,2077,2061,2132,2083)/1000</f>
        <v>2.0920000000000001</v>
      </c>
      <c r="G8" s="7">
        <f>AVERAGE(2091,1966,2132,2150,2080)/1000</f>
        <v>2.0838000000000001</v>
      </c>
      <c r="H8" s="7">
        <f>AVERAGE(2652,2709,2813,2775,2659)/1000</f>
        <v>2.7216</v>
      </c>
      <c r="I8" s="7">
        <f>AVERAGE(2691,2679,2730,2704,2725)/1000</f>
        <v>2.7058</v>
      </c>
      <c r="J8" s="8">
        <f>AVERAGE(2713,2707,2667,2732,2752)/1000</f>
        <v>2.7141999999999999</v>
      </c>
    </row>
    <row r="9" spans="1:10" ht="15.75" thickBot="1" x14ac:dyDescent="0.3">
      <c r="A9" s="6">
        <v>2500000</v>
      </c>
      <c r="B9" s="9">
        <f>AVERAGE(4402,4398,4339,4736,4295)/1000</f>
        <v>4.4340000000000002</v>
      </c>
      <c r="C9" s="9">
        <f>AVERAGE(4260,4205,4283,4205,4194)/1000</f>
        <v>4.2294</v>
      </c>
      <c r="D9" s="9">
        <f>AVERAGE(4179,4226,4222,4239,2412)/1000</f>
        <v>3.8555999999999999</v>
      </c>
      <c r="E9" s="9">
        <f>AVERAGE(6986,7270,7640,7288,6837)/1000</f>
        <v>7.2042000000000002</v>
      </c>
      <c r="F9" s="9">
        <f>AVERAGE(5919,7152,5933,5933,5881)/1000</f>
        <v>6.1636000000000006</v>
      </c>
      <c r="G9" s="9">
        <f>AVERAGE(7176,7030,6984,5660,5913)/1000</f>
        <v>6.5526</v>
      </c>
      <c r="H9" s="9">
        <f>AVERAGE(15430,15048,15394,14603,14948)/1000</f>
        <v>15.0846</v>
      </c>
      <c r="I9" s="9">
        <f>AVERAGE(14091,14042,14060,14238,15661)/1000</f>
        <v>14.4184</v>
      </c>
      <c r="J9" s="10">
        <f>AVERAGE(15505,15852,14997,14302,13193)/1000</f>
        <v>14.7698</v>
      </c>
    </row>
    <row r="10" spans="1:10" x14ac:dyDescent="0.25">
      <c r="A10" s="16" t="s">
        <v>9</v>
      </c>
      <c r="B10" s="16"/>
      <c r="C10" s="16"/>
      <c r="D10" s="16"/>
      <c r="E10" s="16"/>
      <c r="F10" s="16"/>
      <c r="G10" s="16"/>
      <c r="H10" s="16"/>
      <c r="I10" s="16"/>
      <c r="J10" s="16"/>
    </row>
  </sheetData>
  <mergeCells count="4">
    <mergeCell ref="B1:D1"/>
    <mergeCell ref="E1:G1"/>
    <mergeCell ref="H1:J1"/>
    <mergeCell ref="A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Owais</dc:creator>
  <cp:lastModifiedBy>Muhammad Owais</cp:lastModifiedBy>
  <dcterms:created xsi:type="dcterms:W3CDTF">2023-09-22T20:47:17Z</dcterms:created>
  <dcterms:modified xsi:type="dcterms:W3CDTF">2023-09-27T23:17:08Z</dcterms:modified>
</cp:coreProperties>
</file>