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100M\"/>
    </mc:Choice>
  </mc:AlternateContent>
  <xr:revisionPtr revIDLastSave="0" documentId="13_ncr:1_{25CBAB4F-F768-483A-A4A1-B8FD0ADFC5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GC" sheetId="29" r:id="rId1"/>
    <sheet name="лист (2)" sheetId="25" r:id="rId2"/>
    <sheet name="48" sheetId="27" r:id="rId3"/>
    <sheet name="1" sheetId="28" r:id="rId4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9" l="1"/>
  <c r="I6" i="29"/>
  <c r="I7" i="29"/>
  <c r="I8" i="29"/>
  <c r="I9" i="29" s="1"/>
  <c r="I10" i="29"/>
  <c r="I11" i="29"/>
  <c r="I17" i="29"/>
  <c r="I18" i="29"/>
  <c r="I19" i="29"/>
  <c r="I20" i="29"/>
  <c r="I21" i="29"/>
  <c r="I22" i="29"/>
  <c r="I23" i="29"/>
  <c r="F24" i="29"/>
  <c r="C24" i="29"/>
  <c r="F12" i="29" l="1"/>
  <c r="C12" i="29"/>
  <c r="J11" i="29"/>
  <c r="K11" i="29" s="1"/>
  <c r="J9" i="29"/>
  <c r="K9" i="29" s="1"/>
  <c r="J7" i="29"/>
  <c r="K7" i="29" s="1"/>
  <c r="J6" i="29"/>
  <c r="K6" i="29" s="1"/>
  <c r="I12" i="29"/>
  <c r="G11" i="28"/>
  <c r="C11" i="28"/>
  <c r="D10" i="28"/>
  <c r="H10" i="28" s="1"/>
  <c r="I10" i="28" s="1"/>
  <c r="D9" i="28"/>
  <c r="H9" i="28" s="1"/>
  <c r="I9" i="28" s="1"/>
  <c r="D8" i="28"/>
  <c r="H8" i="28" s="1"/>
  <c r="I8" i="28" s="1"/>
  <c r="D7" i="28"/>
  <c r="H7" i="28" s="1"/>
  <c r="I7" i="28" s="1"/>
  <c r="D6" i="28"/>
  <c r="H6" i="28" s="1"/>
  <c r="I6" i="28" s="1"/>
  <c r="D5" i="28"/>
  <c r="H5" i="28" s="1"/>
  <c r="I5" i="28" s="1"/>
  <c r="D4" i="28"/>
  <c r="D4" i="27"/>
  <c r="H4" i="27" s="1"/>
  <c r="D5" i="27"/>
  <c r="D6" i="27"/>
  <c r="D7" i="27"/>
  <c r="D8" i="27"/>
  <c r="D9" i="27"/>
  <c r="D10" i="27"/>
  <c r="H10" i="27" s="1"/>
  <c r="D11" i="27"/>
  <c r="H11" i="27" s="1"/>
  <c r="I11" i="27" s="1"/>
  <c r="D12" i="27"/>
  <c r="H12" i="27" s="1"/>
  <c r="H6" i="27"/>
  <c r="I30" i="25"/>
  <c r="G13" i="27"/>
  <c r="C13" i="27"/>
  <c r="H7" i="27"/>
  <c r="I42" i="25"/>
  <c r="I41" i="25"/>
  <c r="I40" i="25"/>
  <c r="I5" i="25"/>
  <c r="I4" i="25"/>
  <c r="I6" i="25"/>
  <c r="I7" i="25"/>
  <c r="I8" i="25"/>
  <c r="I9" i="25"/>
  <c r="I10" i="25"/>
  <c r="I11" i="25"/>
  <c r="I12" i="25"/>
  <c r="I13" i="25"/>
  <c r="J5" i="29" l="1"/>
  <c r="D11" i="28"/>
  <c r="H4" i="28"/>
  <c r="D13" i="27"/>
  <c r="H8" i="27"/>
  <c r="I8" i="27" s="1"/>
  <c r="H9" i="27"/>
  <c r="I9" i="27" s="1"/>
  <c r="I7" i="27"/>
  <c r="I12" i="27"/>
  <c r="I10" i="27"/>
  <c r="I6" i="27"/>
  <c r="I4" i="27"/>
  <c r="H13" i="27"/>
  <c r="I14" i="25"/>
  <c r="F46" i="25"/>
  <c r="C46" i="25"/>
  <c r="I45" i="25"/>
  <c r="J45" i="25" s="1"/>
  <c r="K45" i="25" s="1"/>
  <c r="J40" i="25"/>
  <c r="K40" i="25" s="1"/>
  <c r="I39" i="25"/>
  <c r="J39" i="25" s="1"/>
  <c r="K39" i="25" s="1"/>
  <c r="I38" i="25"/>
  <c r="J38" i="25" s="1"/>
  <c r="F30" i="25"/>
  <c r="C30" i="25"/>
  <c r="I29" i="25"/>
  <c r="J29" i="25" s="1"/>
  <c r="K29" i="25" s="1"/>
  <c r="I28" i="25"/>
  <c r="I27" i="25"/>
  <c r="J27" i="25" s="1"/>
  <c r="K27" i="25" s="1"/>
  <c r="I26" i="25"/>
  <c r="J26" i="25" s="1"/>
  <c r="K26" i="25" s="1"/>
  <c r="I25" i="25"/>
  <c r="J25" i="25" s="1"/>
  <c r="K25" i="25" s="1"/>
  <c r="I24" i="25"/>
  <c r="J24" i="25" s="1"/>
  <c r="K24" i="25" s="1"/>
  <c r="I23" i="25"/>
  <c r="I22" i="25"/>
  <c r="J22" i="25" s="1"/>
  <c r="K22" i="25" s="1"/>
  <c r="I21" i="25"/>
  <c r="F14" i="25"/>
  <c r="C14" i="25"/>
  <c r="J13" i="25"/>
  <c r="K13" i="25" s="1"/>
  <c r="J11" i="25"/>
  <c r="K11" i="25" s="1"/>
  <c r="J10" i="25"/>
  <c r="K10" i="25" s="1"/>
  <c r="J9" i="25"/>
  <c r="K9" i="25" s="1"/>
  <c r="J8" i="25"/>
  <c r="K8" i="25" s="1"/>
  <c r="J7" i="25"/>
  <c r="K7" i="25" s="1"/>
  <c r="J6" i="25"/>
  <c r="K6" i="25" s="1"/>
  <c r="J4" i="25"/>
  <c r="J12" i="29" l="1"/>
  <c r="K5" i="29"/>
  <c r="K12" i="29" s="1"/>
  <c r="H11" i="28"/>
  <c r="I4" i="28"/>
  <c r="I11" i="28" s="1"/>
  <c r="I13" i="27"/>
  <c r="K38" i="25"/>
  <c r="J14" i="25"/>
  <c r="K4" i="25"/>
  <c r="K14" i="25" s="1"/>
  <c r="J41" i="25"/>
  <c r="K41" i="25" s="1"/>
  <c r="J21" i="25"/>
  <c r="K46" i="25" l="1"/>
  <c r="J30" i="25"/>
  <c r="K21" i="25"/>
  <c r="K30" i="25" s="1"/>
  <c r="I46" i="25"/>
  <c r="J46" i="25"/>
  <c r="J17" i="29" l="1"/>
  <c r="K17" i="29" s="1"/>
  <c r="J23" i="29"/>
  <c r="K23" i="29" s="1"/>
  <c r="J19" i="29"/>
  <c r="K19" i="29" s="1"/>
  <c r="J20" i="29"/>
  <c r="K20" i="29" s="1"/>
  <c r="I24" i="29"/>
  <c r="J18" i="29"/>
  <c r="K18" i="29" s="1"/>
  <c r="K24" i="29" l="1"/>
  <c r="J24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G4" authorId="0" shapeId="0" xr:uid="{4855E84B-0B97-4671-AC82-11F9252CFD8A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  <comment ref="G38" authorId="0" shapeId="0" xr:uid="{E517B9D5-D9C3-4941-A94F-D44AD780CA34}">
      <text>
        <r>
          <rPr>
            <b/>
            <sz val="9"/>
            <color indexed="81"/>
            <rFont val="Tahoma"/>
            <charset val="1"/>
          </rPr>
          <t>Андрей Овчаренко:</t>
        </r>
        <r>
          <rPr>
            <sz val="9"/>
            <color indexed="81"/>
            <rFont val="Tahoma"/>
            <charset val="1"/>
          </rPr>
          <t xml:space="preserve">
24.06.2021 МешИнвест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E4" authorId="0" shapeId="0" xr:uid="{AF7FB4F2-ADD6-40FB-BCB1-3BBC08E9AED3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E4" authorId="0" shapeId="0" xr:uid="{4A8BC1B5-AE96-4BA1-B6D5-A7B5370CE333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</commentList>
</comments>
</file>

<file path=xl/sharedStrings.xml><?xml version="1.0" encoding="utf-8"?>
<sst xmlns="http://schemas.openxmlformats.org/spreadsheetml/2006/main" count="229" uniqueCount="79">
  <si>
    <t>Клубанівсько-Зубренківське №1</t>
  </si>
  <si>
    <t>Карайкозiвська №48</t>
  </si>
  <si>
    <t>Клубанівсько-Зубренківське №3</t>
  </si>
  <si>
    <t>Факт</t>
  </si>
  <si>
    <t>План</t>
  </si>
  <si>
    <t>Штраф, грн</t>
  </si>
  <si>
    <t>Факт - План</t>
  </si>
  <si>
    <t>Підготовчі роботи, мобілізація та монтаж</t>
  </si>
  <si>
    <t>Етап 1</t>
  </si>
  <si>
    <t>Демонтаж, демобілізація</t>
  </si>
  <si>
    <t>Етап 2</t>
  </si>
  <si>
    <t>Етап 8</t>
  </si>
  <si>
    <t>Кондуктор Ø473,08</t>
  </si>
  <si>
    <t>Перша технічна колона Ø339,7</t>
  </si>
  <si>
    <t>Друга технічна колона Ø244,5</t>
  </si>
  <si>
    <t>Етап 3</t>
  </si>
  <si>
    <t>Етап 4</t>
  </si>
  <si>
    <t>Технічна колона "хвостовик" Ø177,8</t>
  </si>
  <si>
    <t>Етап 5</t>
  </si>
  <si>
    <t>Етап 6</t>
  </si>
  <si>
    <t>Етап 7</t>
  </si>
  <si>
    <t>Експлуатаційна колона Ø177,8</t>
  </si>
  <si>
    <t>Експлуатаційна колона Ø168,3x139,7x127 (0 - 6000)</t>
  </si>
  <si>
    <t>Технічна колона "хвостовик" Ø193,7 (4400 - 5100)</t>
  </si>
  <si>
    <t>Друга технічна колона Ø244,5 (0 - 4500)</t>
  </si>
  <si>
    <t>Перша технічна колона Ø339,7 (0 - 2180)</t>
  </si>
  <si>
    <t>Кондуктор Ø473,1 (0 - 300)</t>
  </si>
  <si>
    <t>Кондуктор Ø473,1 (0 - 320)</t>
  </si>
  <si>
    <t>Перша технічна колона Ø339,7 (0 - 2600)</t>
  </si>
  <si>
    <t>Друга технічна колона Ø244,5 (0 - 4900)</t>
  </si>
  <si>
    <t>Технічна колона "хвостовик" Ø193,7 (4750 - 5560)</t>
  </si>
  <si>
    <t>15.01.2021</t>
  </si>
  <si>
    <t>29.01.2021</t>
  </si>
  <si>
    <t>31.03.2021</t>
  </si>
  <si>
    <t>30.07.2021</t>
  </si>
  <si>
    <t>31.08.2021</t>
  </si>
  <si>
    <t>12.01.2022</t>
  </si>
  <si>
    <t>Акт</t>
  </si>
  <si>
    <t>20.03.2020</t>
  </si>
  <si>
    <t>01.04.2020</t>
  </si>
  <si>
    <t>31.05.2020</t>
  </si>
  <si>
    <t>07.07.2020</t>
  </si>
  <si>
    <t>17.09.2021</t>
  </si>
  <si>
    <t>31.10.2021</t>
  </si>
  <si>
    <t>31.12.2021</t>
  </si>
  <si>
    <t>09.08.2022</t>
  </si>
  <si>
    <t>31.08.2022</t>
  </si>
  <si>
    <t>Начало</t>
  </si>
  <si>
    <t>Конец</t>
  </si>
  <si>
    <t>Етап</t>
  </si>
  <si>
    <t>Акт, грн</t>
  </si>
  <si>
    <t>Акт №</t>
  </si>
  <si>
    <t>7, 8,
9 и 10</t>
  </si>
  <si>
    <t>Назва робіт</t>
  </si>
  <si>
    <t>Простой</t>
  </si>
  <si>
    <t>Експлуатаційна колона "хвостовик" Ø127
минус керн 927288,00грн</t>
  </si>
  <si>
    <t>+</t>
  </si>
  <si>
    <t>оренда</t>
  </si>
  <si>
    <t>в т.ч. аварія</t>
  </si>
  <si>
    <t>12.07.2022</t>
  </si>
  <si>
    <t>Простой з 24.02.2022 по 02.07.2022, включно</t>
  </si>
  <si>
    <t>Простой з 28.12.2019 по 19.02.2020, включно</t>
  </si>
  <si>
    <t>Кількість днів прострочення</t>
  </si>
  <si>
    <t>Вартість етапу (грн.)</t>
  </si>
  <si>
    <t>Сума неустойки в розмірі 20% від вартості етапу робіт (грн.)</t>
  </si>
  <si>
    <t>Простой з 10.11.2020 по 12.01.2021, включно</t>
  </si>
  <si>
    <t>Початк</t>
  </si>
  <si>
    <t>Закінчення</t>
  </si>
  <si>
    <t>Кількість днів фактична</t>
  </si>
  <si>
    <t>Кількість днів відповідно до календарного плану</t>
  </si>
  <si>
    <t>св. №716 Пролетарського НГКР</t>
  </si>
  <si>
    <t>Кондуктор Ø323,9</t>
  </si>
  <si>
    <t>Технічна колона Ø244,5</t>
  </si>
  <si>
    <t>Експлуатаційна колона Ø168,3</t>
  </si>
  <si>
    <t>03.02.2022</t>
  </si>
  <si>
    <t>Випробовування</t>
  </si>
  <si>
    <t>простой</t>
  </si>
  <si>
    <t>* по датам актов</t>
  </si>
  <si>
    <t>* по рапортам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</si>
</sst>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4" tint="-0.249977111117893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b/>
      <sz val="12"/>
      <color theme="5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9" tint="-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0" fillId="0" borderId="0" xfId="0" applyAlignment="1">
      <alignment horizontal="center" vertical="center" wrapText="1"/>
    </xf>
    <xf numFmtId="9" fontId="5" fillId="0" borderId="0" xfId="0" applyNumberFormat="1" applyFont="1"/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14" fontId="4" fillId="0" borderId="0" xfId="0" quotePrefix="1" applyNumberFormat="1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4" fillId="0" borderId="0" xfId="0" quotePrefix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vertical="center" wrapText="1"/>
    </xf>
    <xf numFmtId="4" fontId="8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vertical="center" wrapText="1"/>
    </xf>
    <xf numFmtId="14" fontId="4" fillId="0" borderId="1" xfId="0" quotePrefix="1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2" fontId="3" fillId="3" borderId="0" xfId="0" applyNumberFormat="1" applyFont="1" applyFill="1" applyAlignment="1">
      <alignment vertical="center" wrapText="1"/>
    </xf>
    <xf numFmtId="4" fontId="3" fillId="3" borderId="0" xfId="0" applyNumberFormat="1" applyFont="1" applyFill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2" fontId="4" fillId="4" borderId="0" xfId="0" applyNumberFormat="1" applyFont="1" applyFill="1" applyBorder="1" applyAlignment="1">
      <alignment vertical="center" wrapText="1"/>
    </xf>
    <xf numFmtId="4" fontId="4" fillId="4" borderId="0" xfId="0" applyNumberFormat="1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vertical="center" wrapText="1"/>
    </xf>
    <xf numFmtId="0" fontId="7" fillId="0" borderId="1" xfId="0" quotePrefix="1" applyNumberFormat="1" applyFont="1" applyBorder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14" fontId="7" fillId="0" borderId="0" xfId="0" quotePrefix="1" applyNumberFormat="1" applyFont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2" fontId="7" fillId="5" borderId="0" xfId="0" applyNumberFormat="1" applyFont="1" applyFill="1" applyBorder="1" applyAlignment="1">
      <alignment vertical="center" wrapText="1"/>
    </xf>
    <xf numFmtId="4" fontId="7" fillId="5" borderId="0" xfId="0" applyNumberFormat="1" applyFont="1" applyFill="1" applyBorder="1" applyAlignment="1">
      <alignment vertical="center" wrapText="1"/>
    </xf>
    <xf numFmtId="14" fontId="7" fillId="0" borderId="0" xfId="0" applyNumberFormat="1" applyFont="1" applyAlignment="1">
      <alignment horizontal="right" vertical="center" wrapText="1"/>
    </xf>
    <xf numFmtId="4" fontId="4" fillId="6" borderId="1" xfId="0" applyNumberFormat="1" applyFont="1" applyFill="1" applyBorder="1" applyAlignment="1">
      <alignment vertical="center" wrapText="1"/>
    </xf>
    <xf numFmtId="4" fontId="3" fillId="6" borderId="0" xfId="0" applyNumberFormat="1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vertical="center" wrapText="1"/>
    </xf>
    <xf numFmtId="4" fontId="8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4" fontId="7" fillId="0" borderId="0" xfId="0" applyNumberFormat="1" applyFont="1"/>
    <xf numFmtId="14" fontId="13" fillId="0" borderId="0" xfId="0" applyNumberFormat="1" applyFont="1" applyAlignment="1">
      <alignment vertical="center" wrapText="1"/>
    </xf>
    <xf numFmtId="14" fontId="13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2" fontId="16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horizontal="right" vertical="center" wrapText="1"/>
    </xf>
    <xf numFmtId="0" fontId="4" fillId="4" borderId="0" xfId="0" applyFont="1" applyFill="1" applyAlignment="1">
      <alignment vertical="center" wrapText="1"/>
    </xf>
    <xf numFmtId="2" fontId="4" fillId="4" borderId="0" xfId="0" applyNumberFormat="1" applyFont="1" applyFill="1" applyAlignment="1">
      <alignment vertical="center" wrapText="1"/>
    </xf>
    <xf numFmtId="4" fontId="4" fillId="4" borderId="0" xfId="0" applyNumberFormat="1" applyFont="1" applyFill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vertical="center" wrapText="1"/>
    </xf>
    <xf numFmtId="14" fontId="20" fillId="0" borderId="0" xfId="0" applyNumberFormat="1" applyFont="1" applyAlignment="1">
      <alignment horizontal="center" vertical="center" wrapText="1"/>
    </xf>
    <xf numFmtId="4" fontId="20" fillId="0" borderId="0" xfId="0" applyNumberFormat="1" applyFont="1" applyAlignment="1">
      <alignment vertical="center" wrapText="1"/>
    </xf>
    <xf numFmtId="14" fontId="20" fillId="0" borderId="0" xfId="0" applyNumberFormat="1" applyFont="1" applyAlignment="1">
      <alignment vertical="center" wrapText="1"/>
    </xf>
    <xf numFmtId="0" fontId="20" fillId="7" borderId="0" xfId="0" applyFont="1" applyFill="1" applyAlignment="1">
      <alignment vertical="center" wrapText="1"/>
    </xf>
    <xf numFmtId="2" fontId="20" fillId="7" borderId="0" xfId="0" applyNumberFormat="1" applyFont="1" applyFill="1" applyAlignment="1">
      <alignment vertical="center" wrapText="1"/>
    </xf>
    <xf numFmtId="4" fontId="20" fillId="7" borderId="0" xfId="0" applyNumberFormat="1" applyFont="1" applyFill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3" fillId="0" borderId="0" xfId="0" applyFont="1" applyAlignment="1">
      <alignment horizontal="right" vertical="center" wrapText="1"/>
    </xf>
  </cellXfs>
  <cellStyles count="2">
    <cellStyle name="Обычный" xfId="0" builtinId="0"/>
    <cellStyle name="Обычный 2" xfId="1" xr:uid="{287F091F-B9B9-4901-89BD-5600F9D07466}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305496"/>
        <name val="Calibri"/>
        <family val="2"/>
        <charset val="204"/>
        <scheme val="none"/>
      </font>
      <fill>
        <patternFill patternType="solid">
          <fgColor rgb="FF000000"/>
          <bgColor rgb="FFD9E1F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000000"/>
          <bgColor rgb="FFFCE4D6"/>
        </patternFill>
      </fill>
    </dxf>
    <dxf>
      <border outline="0">
        <top style="thin">
          <color rgb="FFA5A5A5"/>
        </top>
        <bottom style="double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ill>
        <patternFill patternType="solid">
          <fgColor rgb="FF000000"/>
          <bgColor rgb="FFE2EFDA"/>
        </patternFill>
      </fill>
    </dxf>
    <dxf>
      <border outline="0">
        <top style="thin">
          <color rgb="FFA5A5A5"/>
        </top>
        <bottom style="double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305496"/>
        <name val="Calibri"/>
        <family val="2"/>
        <charset val="204"/>
        <scheme val="none"/>
      </font>
      <fill>
        <patternFill patternType="solid">
          <fgColor rgb="FF000000"/>
          <bgColor rgb="FFD9E1F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2FF35E-F6BD-4674-AB53-00DEF70A1D7A}" name="Таблица4673426" displayName="Таблица4673426" ref="A4:K12" totalsRowCount="1" headerRowDxfId="40" dataDxfId="39" totalsRowDxfId="38">
  <autoFilter ref="A4:K11" xr:uid="{A56199DB-EAD2-42BD-A1E2-09CBD0338F78}"/>
  <sortState xmlns:xlrd2="http://schemas.microsoft.com/office/spreadsheetml/2017/richdata2" ref="A5:K9">
    <sortCondition ref="A4:A11"/>
  </sortState>
  <tableColumns count="11">
    <tableColumn id="9" xr3:uid="{23310775-E55B-4473-963E-D510B223571A}" name="Етап" dataDxfId="47" totalsRowDxfId="10"/>
    <tableColumn id="2" xr3:uid="{922A11D3-308F-42F8-95EA-31B5BAE2EACC}" name="Назва робіт" dataDxfId="46" totalsRowDxfId="9"/>
    <tableColumn id="16" xr3:uid="{B7FA4A6A-B5DE-4327-B35F-A04222D3BB68}" name="План" totalsRowFunction="sum" dataDxfId="45" totalsRowDxfId="8"/>
    <tableColumn id="15" xr3:uid="{864DABBD-B6E6-4D2D-AEEC-DA0CD28D78BF}" name="Акт №" dataDxfId="44" totalsRowDxfId="7"/>
    <tableColumn id="17" xr3:uid="{C68E4822-2AB0-4BDA-B189-8BCA59D15DC9}" name="Акт" dataDxfId="43" totalsRowDxfId="6"/>
    <tableColumn id="14" xr3:uid="{D586AA24-DF6C-4265-AA46-56F5C9C71A65}" name="Акт, грн" totalsRowFunction="sum" dataDxfId="37" totalsRowDxfId="5"/>
    <tableColumn id="10" xr3:uid="{DD4D724B-7F3C-4C81-BE8B-6F16B45CD515}" name="Начало" dataDxfId="36" totalsRowDxfId="4"/>
    <tableColumn id="11" xr3:uid="{DA6EC3F0-855C-4C33-A19E-14AC5451AB3D}" name="Конец" dataDxfId="35" totalsRowDxfId="3"/>
    <tableColumn id="12" xr3:uid="{87F85209-523B-4057-91BC-FA5D2971BDE4}" name="Факт" totalsRowFunction="custom" dataDxfId="0">
      <calculatedColumnFormula>Таблица4673426[[#This Row],[Конец]]-Таблица4673426[[#This Row],[Начало]]+1</calculatedColumnFormula>
      <totalsRowFormula>SUBTOTAL(109,Таблица4673426[Факт])-I8</totalsRowFormula>
    </tableColumn>
    <tableColumn id="5" xr3:uid="{A651DD5F-7FA3-4756-B245-B0E8168801A7}" name="Факт - План" totalsRowFunction="sum" dataDxfId="42" totalsRowDxfId="2">
      <calculatedColumnFormula>Таблица4673426[[#This Row],[Факт]]-Таблица4673426[[#This Row],[План]]</calculatedColumnFormula>
    </tableColumn>
    <tableColumn id="8" xr3:uid="{8CCD8EE8-EC6B-4404-8C9F-D14B9B2C76B2}" name="Штраф, грн" totalsRowFunction="sum" dataDxfId="41" totalsRowDxfId="1">
      <calculatedColumnFormula>IF(#REF!=1,Таблица4673426[[#This Row],[Акт, грн]]*$K$1,0)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ADF90B-2C7E-4D9F-8C88-592EB42E9290}" name="Таблица467342610" displayName="Таблица467342610" ref="A16:K24" totalsRowCount="1" headerRowDxfId="34" dataDxfId="33" totalsRowDxfId="32">
  <autoFilter ref="A16:K23" xr:uid="{CEADF90B-2C7E-4D9F-8C88-592EB42E9290}"/>
  <sortState xmlns:xlrd2="http://schemas.microsoft.com/office/spreadsheetml/2017/richdata2" ref="A17:K20">
    <sortCondition ref="A4:A11"/>
  </sortState>
  <tableColumns count="11">
    <tableColumn id="9" xr3:uid="{DFF8D043-25D9-42A1-80C0-6AD6D6C3A799}" name="Етап" dataDxfId="31" totalsRowDxfId="21"/>
    <tableColumn id="2" xr3:uid="{9249FB6B-6D50-40B1-946A-9644F8E698C6}" name="Назва робіт" dataDxfId="30" totalsRowDxfId="20"/>
    <tableColumn id="16" xr3:uid="{90E98076-9A30-46C4-B35E-714ACB4C14D5}" name="План" totalsRowFunction="sum" dataDxfId="29" totalsRowDxfId="19"/>
    <tableColumn id="15" xr3:uid="{E2BFFFF0-63BA-43ED-A752-57BC7A6FA421}" name="Акт №" dataDxfId="28" totalsRowDxfId="18"/>
    <tableColumn id="17" xr3:uid="{009D1343-61B0-46AA-B68F-06BC5E74666E}" name="Акт" dataDxfId="27" totalsRowDxfId="17"/>
    <tableColumn id="14" xr3:uid="{43FB04D4-2EB1-4989-9B61-5C29F8BC8082}" name="Акт, грн" totalsRowFunction="sum" dataDxfId="26" totalsRowDxfId="16"/>
    <tableColumn id="10" xr3:uid="{B0F1DAC6-4F34-42AD-9B51-EF5CF50480C7}" name="Начало" dataDxfId="25" totalsRowDxfId="15"/>
    <tableColumn id="11" xr3:uid="{A4AC5877-F642-4ADC-B301-AFCEB136F5DF}" name="Конец" dataDxfId="24" totalsRowDxfId="14"/>
    <tableColumn id="12" xr3:uid="{18A59CC4-9FA0-4B32-B76B-A2E3D6D354A6}" name="Факт" totalsRowFunction="custom" dataDxfId="11">
      <calculatedColumnFormula>Таблица467342610[[#This Row],[Конец]]-Таблица467342610[[#This Row],[Начало]]+1</calculatedColumnFormula>
      <totalsRowFormula>SUBTOTAL(109,Таблица467342610[Факт])-I21</totalsRowFormula>
    </tableColumn>
    <tableColumn id="5" xr3:uid="{1ADFBFFE-D609-46BE-8E7A-502C0EA7449F}" name="Факт - План" totalsRowFunction="sum" dataDxfId="23" totalsRowDxfId="13">
      <calculatedColumnFormula>Таблица467342610[[#This Row],[Факт]]-Таблица467342610[[#This Row],[План]]</calculatedColumnFormula>
    </tableColumn>
    <tableColumn id="8" xr3:uid="{A9FD84ED-980F-41F2-AB80-8F8794762D2F}" name="Штраф, грн" totalsRowFunction="sum" dataDxfId="22" totalsRowDxfId="12">
      <calculatedColumnFormula>IF(#REF!=1,Таблица467342610[[#This Row],[Акт, грн]]*$K$1,0)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2FBF2C-8D24-4BD5-B222-1979C385B522}" name="Таблица467342" displayName="Таблица467342" ref="A3:K14" totalsRowCount="1" headerRowDxfId="155" dataDxfId="154" totalsRowDxfId="153">
  <autoFilter ref="A3:K13" xr:uid="{A56199DB-EAD2-42BD-A1E2-09CBD0338F78}"/>
  <sortState xmlns:xlrd2="http://schemas.microsoft.com/office/spreadsheetml/2017/richdata2" ref="A4:K11">
    <sortCondition ref="A3:A13"/>
  </sortState>
  <tableColumns count="11">
    <tableColumn id="9" xr3:uid="{3A2122FC-4C91-4C96-86F0-5ED82BC4A39B}" name="Етап" dataDxfId="152" totalsRowDxfId="151"/>
    <tableColumn id="2" xr3:uid="{232E01F4-7F4D-4763-8566-8D6E0715E8CB}" name="Назва робіт" dataDxfId="150" totalsRowDxfId="149"/>
    <tableColumn id="16" xr3:uid="{E2A15CE0-005B-4A80-837D-FF06DB5A98C4}" name="План" totalsRowFunction="sum" dataDxfId="148" totalsRowDxfId="147"/>
    <tableColumn id="15" xr3:uid="{EB9D9E1E-3B06-4D4C-B88D-D21ADC845C83}" name="Акт №" dataDxfId="146" totalsRowDxfId="145"/>
    <tableColumn id="17" xr3:uid="{33CC1BC1-4C53-4BFF-8999-681CDC66DE5C}" name="Акт" dataDxfId="144" totalsRowDxfId="143"/>
    <tableColumn id="14" xr3:uid="{C019A16B-5659-4225-8E29-EAA3E073294C}" name="Акт, грн" totalsRowFunction="sum" dataDxfId="142" totalsRowDxfId="141"/>
    <tableColumn id="10" xr3:uid="{7AC529E4-80EF-4706-B612-0EC457AC6DE5}" name="Начало" dataDxfId="140" totalsRowDxfId="139"/>
    <tableColumn id="11" xr3:uid="{65BC1A5D-4289-4116-BD48-19D6818390D6}" name="Конец" dataDxfId="138" totalsRowDxfId="137"/>
    <tableColumn id="12" xr3:uid="{17575FDA-8C7B-423A-864F-1883BDAB9DAE}" name="Факт" totalsRowFunction="custom" dataDxfId="136" totalsRowDxfId="135">
      <calculatedColumnFormula>Таблица467342[[#This Row],[Конец]]-Таблица467342[[#This Row],[Начало]]+1</calculatedColumnFormula>
      <totalsRowFormula>SUBTOTAL(109,Таблица467342[Факт])-I12-I5</totalsRowFormula>
    </tableColumn>
    <tableColumn id="5" xr3:uid="{5B20B5CB-42AF-4496-AE70-C069DF18DCCB}" name="Факт - План" totalsRowFunction="sum" dataDxfId="134" totalsRowDxfId="133">
      <calculatedColumnFormula>Таблица467342[[#This Row],[Факт]]-Таблица467342[[#This Row],[План]]</calculatedColumnFormula>
    </tableColumn>
    <tableColumn id="8" xr3:uid="{09B75F9F-F73E-46E0-B382-06C7193CAD6F}" name="Штраф, грн" totalsRowFunction="sum" dataDxfId="132" totalsRowDxfId="131">
      <calculatedColumnFormula>IF(#REF!=1,Таблица467342[[#This Row],[Акт, грн]]*$K$1,0)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CC650A-CD8D-4851-8CB2-CEE24B16D417}" name="Таблица63" displayName="Таблица63" ref="A20:K30" totalsRowCount="1" headerRowDxfId="130" dataDxfId="129" totalsRowDxfId="127" tableBorderDxfId="128">
  <autoFilter ref="A20:K29" xr:uid="{2618D608-B717-485B-8F46-226FFFA278EB}"/>
  <tableColumns count="11">
    <tableColumn id="1" xr3:uid="{2EDFEB3B-37A1-46EC-B6DC-B8B128398157}" name="Етап" dataDxfId="126" totalsRowDxfId="125"/>
    <tableColumn id="2" xr3:uid="{4478CE4D-5A18-4ECB-8F60-543D7DB7A75B}" name="Назва робіт" dataDxfId="124" totalsRowDxfId="123"/>
    <tableColumn id="3" xr3:uid="{3CCC51EC-FC81-4D0A-91DD-90E234F6B6A6}" name="План" totalsRowFunction="sum" dataDxfId="122" totalsRowDxfId="121"/>
    <tableColumn id="4" xr3:uid="{C3CA69E9-ABC4-497E-80AA-0219EAB092EB}" name="Акт №" dataDxfId="120" totalsRowDxfId="119"/>
    <tableColumn id="5" xr3:uid="{0E6CA5F9-29BB-47A0-B898-D61973DF4AE8}" name="Акт" dataDxfId="118" totalsRowDxfId="117"/>
    <tableColumn id="6" xr3:uid="{F6CCCC60-A0B2-467D-A79A-68AD06F957BF}" name="Акт, грн" totalsRowFunction="sum" dataDxfId="116" totalsRowDxfId="115"/>
    <tableColumn id="7" xr3:uid="{7AB14CDF-1759-4035-9D62-8468D47EA8A5}" name="Начало" dataDxfId="114" totalsRowDxfId="113"/>
    <tableColumn id="8" xr3:uid="{A301424C-B7EE-4A46-8583-9789EA4BD5F2}" name="Конец" dataDxfId="112" totalsRowDxfId="111"/>
    <tableColumn id="9" xr3:uid="{F3308698-78B1-4DA4-90E7-C8E85B9892CB}" name="Факт" totalsRowFunction="sum" dataDxfId="110" totalsRowDxfId="109">
      <calculatedColumnFormula>Таблица63[[#This Row],[Конец]]-Таблица63[[#This Row],[Начало]]+1</calculatedColumnFormula>
    </tableColumn>
    <tableColumn id="10" xr3:uid="{6293B449-204B-4C9B-8284-FD8D64654047}" name="Факт - План" totalsRowFunction="sum" dataDxfId="108" totalsRowDxfId="107">
      <calculatedColumnFormula>Таблица63[[#This Row],[Факт]]-Таблица63[[#This Row],[План]]</calculatedColumnFormula>
    </tableColumn>
    <tableColumn id="11" xr3:uid="{32DD1483-8DAB-4D84-B9BD-6DB6A46EF941}" name="Штраф, грн" totalsRowFunction="sum" dataDxfId="106" totalsRowDxfId="105">
      <calculatedColumnFormula>IF(Таблица63[[#This Row],[Факт - План]]&gt;10,Таблица63[[#This Row],[Акт, грн]]*$K$1,0)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13D4A5-3DFE-4336-AA4B-9565B173771C}" name="Таблица685" displayName="Таблица685" ref="A37:K46" totalsRowCount="1" headerRowDxfId="104" dataDxfId="103" totalsRowDxfId="101" tableBorderDxfId="102">
  <autoFilter ref="A37:K45" xr:uid="{9508C14B-C400-4E59-BF15-8B6B04039631}"/>
  <tableColumns count="11">
    <tableColumn id="1" xr3:uid="{7C3F97DD-5DEB-41F3-AF41-193B061891F9}" name="Етап" totalsRowDxfId="100"/>
    <tableColumn id="2" xr3:uid="{A14748AB-5537-491D-8612-23E1F537499B}" name="Назва робіт" totalsRowDxfId="99"/>
    <tableColumn id="3" xr3:uid="{D2E56C60-913B-496E-B84F-8525293E092F}" name="План" totalsRowFunction="sum" totalsRowDxfId="98"/>
    <tableColumn id="4" xr3:uid="{3F72E7AC-18F3-4EB3-AFB5-313136805151}" name="Акт №" totalsRowDxfId="97"/>
    <tableColumn id="5" xr3:uid="{75C96FDE-A658-4301-879B-9DB001B480B1}" name="Акт" totalsRowDxfId="96"/>
    <tableColumn id="6" xr3:uid="{9082FC13-7990-4C42-A7EB-9729698A0D0E}" name="Акт, грн" totalsRowFunction="sum" totalsRowDxfId="95"/>
    <tableColumn id="7" xr3:uid="{C6529A42-6DA7-4A8C-B794-0EA4D8C653A8}" name="Начало" totalsRowDxfId="94"/>
    <tableColumn id="8" xr3:uid="{F467B8F6-E426-4D18-BF64-9E7A701024DE}" name="Конец" totalsRowDxfId="93"/>
    <tableColumn id="9" xr3:uid="{B85DD893-4A7C-4657-BBFB-B044E1E87A6D}" name="Факт" totalsRowFunction="custom" totalsRowDxfId="92">
      <calculatedColumnFormula>Таблица685[[#This Row],[Конец]]-Таблица685[[#This Row],[Начало]]+1</calculatedColumnFormula>
      <totalsRowFormula>SUBTOTAL(109,Таблица685[Факт])-I42</totalsRowFormula>
    </tableColumn>
    <tableColumn id="10" xr3:uid="{2BDD391D-C55A-44C5-9A05-6E45D14C0928}" name="Факт - План" totalsRowFunction="sum" totalsRowDxfId="91">
      <calculatedColumnFormula>Таблица685[[#This Row],[Факт]]-Таблица685[[#This Row],[План]]</calculatedColumnFormula>
    </tableColumn>
    <tableColumn id="11" xr3:uid="{A45C2164-5F24-4F8F-ABCE-3725D488DA35}" name="Штраф, грн" totalsRowFunction="sum" totalsRowDxfId="90">
      <calculatedColumnFormula>IF(Таблица685[[#This Row],[Факт - План]]&gt;10,Таблица685[[#This Row],[Акт, грн]]*$K$1,0)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2031B-6781-4D91-B99F-747F730520F2}" name="Таблица4673424" displayName="Таблица4673424" ref="A3:I13" totalsRowCount="1" headerRowDxfId="89" dataDxfId="88" totalsRowDxfId="87">
  <autoFilter ref="A3:I12" xr:uid="{A56199DB-EAD2-42BD-A1E2-09CBD0338F78}"/>
  <sortState xmlns:xlrd2="http://schemas.microsoft.com/office/spreadsheetml/2017/richdata2" ref="A4:I11">
    <sortCondition ref="A3:A12"/>
  </sortState>
  <tableColumns count="9">
    <tableColumn id="9" xr3:uid="{6D183609-B0D0-49E2-9194-C852DD07D37D}" name="Етап" dataDxfId="86" totalsRowDxfId="85"/>
    <tableColumn id="2" xr3:uid="{42B03EBD-283D-4F6F-B082-CAEB28E81CBA}" name="Назва робіт" dataDxfId="84" totalsRowDxfId="83"/>
    <tableColumn id="16" xr3:uid="{F64460C1-01EF-47FE-8E61-B1E6F625F840}" name="Кількість днів відповідно до календарного плану" totalsRowFunction="sum" dataDxfId="82" totalsRowDxfId="81"/>
    <tableColumn id="1" xr3:uid="{690603A9-ED61-4BF3-9F90-3BA3B59C5486}" name="Кількість днів фактична" totalsRowFunction="sum" dataDxfId="80" totalsRowDxfId="79">
      <calculatedColumnFormula>Таблица4673424[[#This Row],[Закінчення]]-Таблица4673424[[#This Row],[Початк]]+1</calculatedColumnFormula>
    </tableColumn>
    <tableColumn id="3" xr3:uid="{E8BA92BA-AFCC-4CE4-B0F2-F617AC9DAA91}" name="Початк" dataDxfId="78" totalsRowDxfId="77"/>
    <tableColumn id="4" xr3:uid="{BFDF2955-72C4-4F1B-AC00-61BB696EA792}" name="Закінчення" dataDxfId="76" totalsRowDxfId="75"/>
    <tableColumn id="14" xr3:uid="{BE88070E-1DE5-4D55-9FDA-513E05C4B8C6}" name="Вартість етапу (грн.)" totalsRowFunction="sum" dataDxfId="74" totalsRowDxfId="73"/>
    <tableColumn id="5" xr3:uid="{112636DF-04FF-48E0-BA02-3A759A1F0F99}" name="Кількість днів прострочення" totalsRowFunction="sum" dataDxfId="72" totalsRowDxfId="71">
      <calculatedColumnFormula>#REF!-Таблица4673424[[#This Row],[Кількість днів відповідно до календарного плану]]</calculatedColumnFormula>
    </tableColumn>
    <tableColumn id="8" xr3:uid="{8EC8ABAC-0CF1-4D30-AEA2-AB05B423ED44}" name="Сума неустойки в розмірі 20% від вартості етапу робіт (грн.)" totalsRowFunction="sum" dataDxfId="70" totalsRowDxfId="69">
      <calculatedColumnFormula>IF(#REF!=1,Таблица4673424[[#This Row],[Вартість етапу (грн.)]]*$I$1,0)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50858C-E302-4F3F-A637-4C9768FED1DE}" name="Таблица46734248" displayName="Таблица46734248" ref="A3:I11" totalsRowCount="1" headerRowDxfId="68" dataDxfId="67" totalsRowDxfId="66">
  <autoFilter ref="A3:I10" xr:uid="{A56199DB-EAD2-42BD-A1E2-09CBD0338F78}"/>
  <sortState xmlns:xlrd2="http://schemas.microsoft.com/office/spreadsheetml/2017/richdata2" ref="A4:I9">
    <sortCondition ref="A3:A10"/>
  </sortState>
  <tableColumns count="9">
    <tableColumn id="9" xr3:uid="{978E7D47-D096-4D4A-8D7D-5E38A4A729EA}" name="Етап" dataDxfId="65" totalsRowDxfId="64"/>
    <tableColumn id="2" xr3:uid="{7E2E1FF9-63F4-45A2-B95A-2CADCEDCD439}" name="Назва робіт" dataDxfId="63" totalsRowDxfId="62"/>
    <tableColumn id="16" xr3:uid="{A3224EC4-3750-4A76-8519-959B284BA714}" name="Кількість днів відповідно до календарного плану" totalsRowFunction="sum" dataDxfId="61" totalsRowDxfId="60"/>
    <tableColumn id="1" xr3:uid="{43005A52-8E8D-4A53-87D8-A314A1EA4654}" name="Кількість днів фактична" totalsRowFunction="sum" dataDxfId="59" totalsRowDxfId="58">
      <calculatedColumnFormula>Таблица46734248[[#This Row],[Закінчення]]-Таблица46734248[[#This Row],[Початк]]+1</calculatedColumnFormula>
    </tableColumn>
    <tableColumn id="3" xr3:uid="{EB9AB1CA-925A-4474-BEF7-FDCB1A56CBC9}" name="Початк" dataDxfId="57" totalsRowDxfId="56"/>
    <tableColumn id="4" xr3:uid="{D4059993-7585-4FB6-8553-CBE782C91BB7}" name="Закінчення" dataDxfId="55" totalsRowDxfId="54"/>
    <tableColumn id="14" xr3:uid="{962E6281-0990-47A3-9288-B673F0128591}" name="Вартість етапу (грн.)" totalsRowFunction="sum" dataDxfId="53" totalsRowDxfId="52"/>
    <tableColumn id="5" xr3:uid="{5F8D943A-5621-43A1-9797-B3E18C85326B}" name="Кількість днів прострочення" totalsRowFunction="sum" dataDxfId="51" totalsRowDxfId="50">
      <calculatedColumnFormula>#REF!-Таблица46734248[[#This Row],[Кількість днів відповідно до календарного плану]]</calculatedColumnFormula>
    </tableColumn>
    <tableColumn id="8" xr3:uid="{C1729ABA-40C5-4A17-8A6A-BC566CE9AC98}" name="Сума неустойки в розмірі 20% від вартості етапу робіт (грн.)" totalsRowFunction="sum" dataDxfId="49" totalsRowDxfId="48">
      <calculatedColumnFormula>IF(#REF!=1,Таблица46734248[[#This Row],[Вартість етапу (грн.)]]*$I$1,0)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2F09-231D-408C-958F-1C8FB85671F6}">
  <sheetPr>
    <pageSetUpPr fitToPage="1"/>
  </sheetPr>
  <dimension ref="A1:K24"/>
  <sheetViews>
    <sheetView tabSelected="1" topLeftCell="A7" workbookViewId="0">
      <selection activeCell="I12" sqref="I12"/>
    </sheetView>
  </sheetViews>
  <sheetFormatPr defaultRowHeight="15" x14ac:dyDescent="0.25"/>
  <cols>
    <col min="1" max="1" width="9.85546875" customWidth="1"/>
    <col min="2" max="2" width="41.85546875" customWidth="1"/>
    <col min="3" max="5" width="14.5703125" customWidth="1"/>
    <col min="6" max="6" width="16.5703125" customWidth="1"/>
    <col min="7" max="10" width="14.5703125" customWidth="1"/>
    <col min="11" max="11" width="16.570312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2578125" bestFit="1" customWidth="1"/>
    <col min="73" max="73" width="11.85546875" bestFit="1" customWidth="1"/>
    <col min="74" max="125" width="4.5703125" bestFit="1" customWidth="1"/>
    <col min="126" max="316" width="5.5703125" bestFit="1" customWidth="1"/>
    <col min="317" max="332" width="6.5703125" bestFit="1" customWidth="1"/>
    <col min="333" max="333" width="11.85546875" bestFit="1" customWidth="1"/>
    <col min="334" max="345" width="5.5703125" bestFit="1" customWidth="1"/>
    <col min="346" max="347" width="6.5703125" bestFit="1" customWidth="1"/>
    <col min="348" max="348" width="7.5703125" bestFit="1" customWidth="1"/>
    <col min="349" max="349" width="4.85546875" bestFit="1" customWidth="1"/>
    <col min="350" max="350" width="7.5703125" bestFit="1" customWidth="1"/>
    <col min="351" max="351" width="4.85546875" bestFit="1" customWidth="1"/>
    <col min="352" max="352" width="5.5703125" bestFit="1" customWidth="1"/>
    <col min="353" max="353" width="7.5703125" bestFit="1" customWidth="1"/>
    <col min="354" max="354" width="4.85546875" bestFit="1" customWidth="1"/>
    <col min="355" max="355" width="7.5703125" bestFit="1" customWidth="1"/>
    <col min="356" max="362" width="5.5703125" bestFit="1" customWidth="1"/>
    <col min="363" max="363" width="7.5703125" bestFit="1" customWidth="1"/>
    <col min="364" max="364" width="4.85546875" bestFit="1" customWidth="1"/>
    <col min="365" max="365" width="4.5703125" bestFit="1" customWidth="1"/>
    <col min="366" max="368" width="5.5703125" bestFit="1" customWidth="1"/>
    <col min="369" max="369" width="7.5703125" bestFit="1" customWidth="1"/>
    <col min="370" max="370" width="4.85546875" bestFit="1" customWidth="1"/>
    <col min="371" max="371" width="7.5703125" bestFit="1" customWidth="1"/>
    <col min="372" max="372" width="11.85546875" bestFit="1" customWidth="1"/>
    <col min="373" max="373" width="14.28515625" bestFit="1" customWidth="1"/>
    <col min="374" max="375" width="5.5703125" bestFit="1" customWidth="1"/>
    <col min="376" max="376" width="7.5703125" bestFit="1" customWidth="1"/>
    <col min="377" max="377" width="5.5703125" bestFit="1" customWidth="1"/>
    <col min="378" max="378" width="7.5703125" bestFit="1" customWidth="1"/>
    <col min="379" max="381" width="5.5703125" bestFit="1" customWidth="1"/>
    <col min="382" max="382" width="7.5703125" bestFit="1" customWidth="1"/>
    <col min="383" max="383" width="6.85546875" bestFit="1" customWidth="1"/>
    <col min="385" max="385" width="5.5703125" bestFit="1" customWidth="1"/>
    <col min="386" max="386" width="7.5703125" bestFit="1" customWidth="1"/>
    <col min="387" max="387" width="4.85546875" bestFit="1" customWidth="1"/>
    <col min="388" max="388" width="7.5703125" bestFit="1" customWidth="1"/>
    <col min="389" max="390" width="5.5703125" bestFit="1" customWidth="1"/>
    <col min="391" max="391" width="6.5703125" bestFit="1" customWidth="1"/>
    <col min="392" max="392" width="7.5703125" bestFit="1" customWidth="1"/>
    <col min="393" max="393" width="5.5703125" bestFit="1" customWidth="1"/>
    <col min="394" max="394" width="7.5703125" bestFit="1" customWidth="1"/>
    <col min="395" max="395" width="6.5703125" bestFit="1" customWidth="1"/>
    <col min="396" max="396" width="7.5703125" bestFit="1" customWidth="1"/>
    <col min="397" max="398" width="5.5703125" bestFit="1" customWidth="1"/>
    <col min="399" max="399" width="6.5703125" bestFit="1" customWidth="1"/>
    <col min="400" max="400" width="7.5703125" bestFit="1" customWidth="1"/>
    <col min="401" max="401" width="5.5703125" bestFit="1" customWidth="1"/>
    <col min="402" max="402" width="7.5703125" bestFit="1" customWidth="1"/>
    <col min="403" max="403" width="4.85546875" bestFit="1" customWidth="1"/>
    <col min="404" max="404" width="7.5703125" bestFit="1" customWidth="1"/>
    <col min="405" max="405" width="11.85546875" bestFit="1" customWidth="1"/>
    <col min="406" max="406" width="14.28515625" bestFit="1" customWidth="1"/>
    <col min="407" max="408" width="6.5703125" bestFit="1" customWidth="1"/>
    <col min="409" max="409" width="7.5703125" bestFit="1" customWidth="1"/>
    <col min="410" max="410" width="4.8554687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7" width="5.5703125" bestFit="1" customWidth="1"/>
    <col min="418" max="418" width="7.5703125" bestFit="1" customWidth="1"/>
    <col min="419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6.5703125" bestFit="1" customWidth="1"/>
    <col min="427" max="427" width="7.5703125" bestFit="1" customWidth="1"/>
    <col min="428" max="428" width="5.5703125" bestFit="1" customWidth="1"/>
    <col min="429" max="429" width="7.5703125" bestFit="1" customWidth="1"/>
    <col min="430" max="430" width="5.85546875" bestFit="1" customWidth="1"/>
    <col min="431" max="431" width="8.5703125" bestFit="1" customWidth="1"/>
    <col min="432" max="432" width="9.28515625" bestFit="1" customWidth="1"/>
    <col min="433" max="433" width="12" bestFit="1" customWidth="1"/>
    <col min="434" max="434" width="11.85546875" bestFit="1" customWidth="1"/>
  </cols>
  <sheetData>
    <row r="1" spans="1:11" ht="18.75" x14ac:dyDescent="0.3">
      <c r="B1" s="95" t="s">
        <v>70</v>
      </c>
      <c r="K1" s="2">
        <v>0.2</v>
      </c>
    </row>
    <row r="3" spans="1:11" x14ac:dyDescent="0.25">
      <c r="B3" t="s">
        <v>78</v>
      </c>
    </row>
    <row r="4" spans="1:11" ht="30" customHeight="1" x14ac:dyDescent="0.25">
      <c r="A4" s="86" t="s">
        <v>49</v>
      </c>
      <c r="B4" s="86" t="s">
        <v>53</v>
      </c>
      <c r="C4" s="86" t="s">
        <v>4</v>
      </c>
      <c r="D4" s="86" t="s">
        <v>51</v>
      </c>
      <c r="E4" s="86" t="s">
        <v>37</v>
      </c>
      <c r="F4" s="86" t="s">
        <v>50</v>
      </c>
      <c r="G4" s="86" t="s">
        <v>47</v>
      </c>
      <c r="H4" s="86" t="s">
        <v>48</v>
      </c>
      <c r="I4" s="86" t="s">
        <v>3</v>
      </c>
      <c r="J4" s="86" t="s">
        <v>6</v>
      </c>
      <c r="K4" s="86" t="s">
        <v>5</v>
      </c>
    </row>
    <row r="5" spans="1:11" ht="30" customHeight="1" x14ac:dyDescent="0.25">
      <c r="A5" s="86" t="s">
        <v>8</v>
      </c>
      <c r="B5" s="87" t="s">
        <v>7</v>
      </c>
      <c r="C5" s="88">
        <v>50</v>
      </c>
      <c r="D5" s="86">
        <v>1</v>
      </c>
      <c r="E5" s="89" t="s">
        <v>44</v>
      </c>
      <c r="F5" s="90">
        <v>3730356</v>
      </c>
      <c r="G5" s="91">
        <v>44397</v>
      </c>
      <c r="H5" s="91">
        <v>44542</v>
      </c>
      <c r="I5" s="90">
        <f>Таблица4673426[[#This Row],[Конец]]-Таблица4673426[[#This Row],[Начало]]+1</f>
        <v>146</v>
      </c>
      <c r="J5" s="90">
        <f>Таблица4673426[[#This Row],[Факт]]-Таблица4673426[[#This Row],[План]]</f>
        <v>96</v>
      </c>
      <c r="K5" s="90">
        <f>IF(Таблица4673426[[#This Row],[Факт - План]]&gt;10,Таблица4673426[[#This Row],[Акт, грн]]*$K$1,0)</f>
        <v>746071.20000000007</v>
      </c>
    </row>
    <row r="6" spans="1:11" ht="30" customHeight="1" x14ac:dyDescent="0.25">
      <c r="A6" s="86" t="s">
        <v>10</v>
      </c>
      <c r="B6" s="87" t="s">
        <v>71</v>
      </c>
      <c r="C6" s="88">
        <v>13</v>
      </c>
      <c r="D6" s="86">
        <v>2</v>
      </c>
      <c r="E6" s="86" t="s">
        <v>44</v>
      </c>
      <c r="F6" s="90">
        <v>9416064</v>
      </c>
      <c r="G6" s="91">
        <v>44542</v>
      </c>
      <c r="H6" s="91">
        <v>44556</v>
      </c>
      <c r="I6" s="90">
        <f>Таблица4673426[[#This Row],[Конец]]-Таблица4673426[[#This Row],[Начало]]+1</f>
        <v>15</v>
      </c>
      <c r="J6" s="90">
        <f>Таблица4673426[[#This Row],[Факт]]-Таблица4673426[[#This Row],[План]]</f>
        <v>2</v>
      </c>
      <c r="K6" s="90">
        <f>IF(Таблица4673426[[#This Row],[Факт - План]]&gt;10,Таблица4673426[[#This Row],[Акт, грн]]*$K$1,0)</f>
        <v>0</v>
      </c>
    </row>
    <row r="7" spans="1:11" ht="30" customHeight="1" x14ac:dyDescent="0.25">
      <c r="A7" s="86" t="s">
        <v>15</v>
      </c>
      <c r="B7" s="87" t="s">
        <v>72</v>
      </c>
      <c r="C7" s="88">
        <v>25</v>
      </c>
      <c r="D7" s="86">
        <v>3</v>
      </c>
      <c r="E7" s="86" t="s">
        <v>74</v>
      </c>
      <c r="F7" s="90">
        <v>21712272</v>
      </c>
      <c r="G7" s="91">
        <v>44556</v>
      </c>
      <c r="H7" s="91">
        <v>44605</v>
      </c>
      <c r="I7" s="90">
        <f>Таблица4673426[[#This Row],[Конец]]-Таблица4673426[[#This Row],[Начало]]+1</f>
        <v>50</v>
      </c>
      <c r="J7" s="90">
        <f>Таблица4673426[[#This Row],[Факт]]-Таблица4673426[[#This Row],[План]]</f>
        <v>25</v>
      </c>
      <c r="K7" s="90">
        <f>IF(Таблица4673426[[#This Row],[Факт - План]]&gt;10,Таблица4673426[[#This Row],[Акт, грн]]*$K$1,0)</f>
        <v>4342454.4000000004</v>
      </c>
    </row>
    <row r="8" spans="1:11" ht="30" customHeight="1" x14ac:dyDescent="0.25">
      <c r="A8" s="86"/>
      <c r="B8" s="87" t="s">
        <v>54</v>
      </c>
      <c r="C8" s="88"/>
      <c r="D8" s="86">
        <v>4</v>
      </c>
      <c r="E8" s="86" t="s">
        <v>59</v>
      </c>
      <c r="F8" s="90">
        <v>14910060</v>
      </c>
      <c r="G8" s="91">
        <v>44616</v>
      </c>
      <c r="H8" s="91">
        <v>44710</v>
      </c>
      <c r="I8" s="90">
        <f>Таблица4673426[[#This Row],[Конец]]-Таблица4673426[[#This Row],[Начало]]+1</f>
        <v>95</v>
      </c>
      <c r="J8" s="90"/>
      <c r="K8" s="90"/>
    </row>
    <row r="9" spans="1:11" ht="30" customHeight="1" x14ac:dyDescent="0.25">
      <c r="A9" s="86" t="s">
        <v>16</v>
      </c>
      <c r="B9" s="87" t="s">
        <v>73</v>
      </c>
      <c r="C9" s="88">
        <v>33</v>
      </c>
      <c r="D9" s="86">
        <v>5</v>
      </c>
      <c r="E9" s="86" t="s">
        <v>59</v>
      </c>
      <c r="F9" s="90">
        <v>24893448</v>
      </c>
      <c r="G9" s="91">
        <v>44605</v>
      </c>
      <c r="H9" s="77">
        <v>44783</v>
      </c>
      <c r="I9" s="90">
        <f>Таблица4673426[[#This Row],[Конец]]-Таблица4673426[[#This Row],[Начало]]+1-I8</f>
        <v>84</v>
      </c>
      <c r="J9" s="90">
        <f>Таблица4673426[[#This Row],[Факт]]-Таблица4673426[[#This Row],[План]]</f>
        <v>51</v>
      </c>
      <c r="K9" s="90">
        <f>IF(Таблица4673426[[#This Row],[Факт - План]]&gt;10,Таблица4673426[[#This Row],[Акт, грн]]*$K$1,0)</f>
        <v>4978689.6000000006</v>
      </c>
    </row>
    <row r="10" spans="1:11" ht="30" customHeight="1" x14ac:dyDescent="0.25">
      <c r="A10" s="86"/>
      <c r="B10" s="87" t="s">
        <v>75</v>
      </c>
      <c r="C10" s="88"/>
      <c r="D10" s="86"/>
      <c r="E10" s="86"/>
      <c r="F10" s="90"/>
      <c r="G10" s="91">
        <v>44784</v>
      </c>
      <c r="H10" s="91">
        <v>44798</v>
      </c>
      <c r="I10" s="90">
        <f>Таблица4673426[[#This Row],[Конец]]-Таблица4673426[[#This Row],[Начало]]+1</f>
        <v>15</v>
      </c>
      <c r="J10" s="90"/>
      <c r="K10" s="90"/>
    </row>
    <row r="11" spans="1:11" ht="30" customHeight="1" x14ac:dyDescent="0.25">
      <c r="A11" s="86" t="s">
        <v>18</v>
      </c>
      <c r="B11" s="87" t="s">
        <v>9</v>
      </c>
      <c r="C11" s="88">
        <v>25</v>
      </c>
      <c r="D11" s="86">
        <v>6</v>
      </c>
      <c r="E11" s="89" t="s">
        <v>59</v>
      </c>
      <c r="F11" s="90">
        <v>2157396</v>
      </c>
      <c r="G11" s="91">
        <v>44798</v>
      </c>
      <c r="H11" s="91">
        <v>44829</v>
      </c>
      <c r="I11" s="90">
        <f>Таблица4673426[[#This Row],[Конец]]-Таблица4673426[[#This Row],[Начало]]+1</f>
        <v>32</v>
      </c>
      <c r="J11" s="90">
        <f>Таблица4673426[[#This Row],[Факт]]-Таблица4673426[[#This Row],[План]]</f>
        <v>7</v>
      </c>
      <c r="K11" s="90">
        <f>IF(Таблица4673426[[#This Row],[Факт - План]]&gt;10,Таблица4673426[[#This Row],[Акт, грн]]*$K$1,0)</f>
        <v>0</v>
      </c>
    </row>
    <row r="12" spans="1:11" ht="30" customHeight="1" x14ac:dyDescent="0.25">
      <c r="A12" s="92"/>
      <c r="B12" s="92"/>
      <c r="C12" s="93">
        <f>SUBTOTAL(109,Таблица4673426[План])</f>
        <v>146</v>
      </c>
      <c r="D12" s="92"/>
      <c r="E12" s="92"/>
      <c r="F12" s="94">
        <f>SUBTOTAL(109,Таблица4673426[Акт, грн])</f>
        <v>76819596</v>
      </c>
      <c r="G12" s="92"/>
      <c r="H12" s="92"/>
      <c r="I12" s="94">
        <f>SUBTOTAL(109,Таблица4673426[Факт])-I8</f>
        <v>342</v>
      </c>
      <c r="J12" s="94">
        <f>SUBTOTAL(109,Таблица4673426[Факт - План])</f>
        <v>181</v>
      </c>
      <c r="K12" s="94">
        <f>SUBTOTAL(109,Таблица4673426[Штраф, грн])</f>
        <v>10067215.200000001</v>
      </c>
    </row>
    <row r="15" spans="1:11" x14ac:dyDescent="0.25">
      <c r="B15" t="s">
        <v>77</v>
      </c>
    </row>
    <row r="16" spans="1:11" ht="30" customHeight="1" x14ac:dyDescent="0.25">
      <c r="A16" s="86" t="s">
        <v>49</v>
      </c>
      <c r="B16" s="86" t="s">
        <v>53</v>
      </c>
      <c r="C16" s="86" t="s">
        <v>4</v>
      </c>
      <c r="D16" s="86" t="s">
        <v>51</v>
      </c>
      <c r="E16" s="86" t="s">
        <v>37</v>
      </c>
      <c r="F16" s="86" t="s">
        <v>50</v>
      </c>
      <c r="G16" s="86" t="s">
        <v>47</v>
      </c>
      <c r="H16" s="86" t="s">
        <v>48</v>
      </c>
      <c r="I16" s="86" t="s">
        <v>3</v>
      </c>
      <c r="J16" s="86" t="s">
        <v>6</v>
      </c>
      <c r="K16" s="86" t="s">
        <v>5</v>
      </c>
    </row>
    <row r="17" spans="1:11" ht="30" customHeight="1" x14ac:dyDescent="0.25">
      <c r="A17" s="86" t="s">
        <v>8</v>
      </c>
      <c r="B17" s="87" t="s">
        <v>7</v>
      </c>
      <c r="C17" s="88">
        <v>50</v>
      </c>
      <c r="D17" s="86">
        <v>1</v>
      </c>
      <c r="E17" s="89" t="s">
        <v>44</v>
      </c>
      <c r="F17" s="90">
        <v>3730356</v>
      </c>
      <c r="G17" s="91">
        <v>44397</v>
      </c>
      <c r="H17" s="91">
        <v>44542</v>
      </c>
      <c r="I17" s="90">
        <f>Таблица467342610[[#This Row],[Конец]]-Таблица467342610[[#This Row],[Начало]]+1</f>
        <v>146</v>
      </c>
      <c r="J17" s="90">
        <f>Таблица467342610[[#This Row],[Факт]]-Таблица467342610[[#This Row],[План]]</f>
        <v>96</v>
      </c>
      <c r="K17" s="90">
        <f>IF(Таблица467342610[[#This Row],[Факт - План]]&gt;10,Таблица467342610[[#This Row],[Акт, грн]]*$K$1,0)</f>
        <v>746071.20000000007</v>
      </c>
    </row>
    <row r="18" spans="1:11" ht="30" customHeight="1" x14ac:dyDescent="0.25">
      <c r="A18" s="86" t="s">
        <v>10</v>
      </c>
      <c r="B18" s="87" t="s">
        <v>71</v>
      </c>
      <c r="C18" s="88">
        <v>13</v>
      </c>
      <c r="D18" s="86">
        <v>2</v>
      </c>
      <c r="E18" s="86" t="s">
        <v>44</v>
      </c>
      <c r="F18" s="90">
        <v>9416064</v>
      </c>
      <c r="G18" s="91">
        <v>44542</v>
      </c>
      <c r="H18" s="91">
        <v>44556</v>
      </c>
      <c r="I18" s="90">
        <f>Таблица467342610[[#This Row],[Конец]]-Таблица467342610[[#This Row],[Начало]]+1</f>
        <v>15</v>
      </c>
      <c r="J18" s="90">
        <f>Таблица467342610[[#This Row],[Факт]]-Таблица467342610[[#This Row],[План]]</f>
        <v>2</v>
      </c>
      <c r="K18" s="90">
        <f>IF(Таблица467342610[[#This Row],[Факт - План]]&gt;10,Таблица467342610[[#This Row],[Акт, грн]]*$K$1,0)</f>
        <v>0</v>
      </c>
    </row>
    <row r="19" spans="1:11" ht="30" customHeight="1" x14ac:dyDescent="0.25">
      <c r="A19" s="86" t="s">
        <v>15</v>
      </c>
      <c r="B19" s="87" t="s">
        <v>72</v>
      </c>
      <c r="C19" s="88">
        <v>25</v>
      </c>
      <c r="D19" s="86">
        <v>3</v>
      </c>
      <c r="E19" s="86" t="s">
        <v>74</v>
      </c>
      <c r="F19" s="90">
        <v>21712272</v>
      </c>
      <c r="G19" s="91">
        <v>44556</v>
      </c>
      <c r="H19" s="91">
        <v>44605</v>
      </c>
      <c r="I19" s="90">
        <f>Таблица467342610[[#This Row],[Конец]]-Таблица467342610[[#This Row],[Начало]]+1</f>
        <v>50</v>
      </c>
      <c r="J19" s="90">
        <f>Таблица467342610[[#This Row],[Факт]]-Таблица467342610[[#This Row],[План]]</f>
        <v>25</v>
      </c>
      <c r="K19" s="90">
        <f>IF(Таблица467342610[[#This Row],[Факт - План]]&gt;10,Таблица467342610[[#This Row],[Акт, грн]]*$K$1,0)</f>
        <v>4342454.4000000004</v>
      </c>
    </row>
    <row r="20" spans="1:11" ht="30" customHeight="1" x14ac:dyDescent="0.25">
      <c r="A20" s="86" t="s">
        <v>16</v>
      </c>
      <c r="B20" s="87" t="s">
        <v>73</v>
      </c>
      <c r="C20" s="88">
        <v>33</v>
      </c>
      <c r="D20" s="86">
        <v>5</v>
      </c>
      <c r="E20" s="86" t="s">
        <v>59</v>
      </c>
      <c r="F20" s="90">
        <v>24893448</v>
      </c>
      <c r="G20" s="91">
        <v>44605</v>
      </c>
      <c r="H20" s="96" t="s">
        <v>59</v>
      </c>
      <c r="I20" s="90">
        <f>Таблица467342610[[#This Row],[Конец]]-Таблица467342610[[#This Row],[Начало]]+1-95</f>
        <v>55</v>
      </c>
      <c r="J20" s="90">
        <f>Таблица467342610[[#This Row],[Факт]]-Таблица467342610[[#This Row],[План]]</f>
        <v>22</v>
      </c>
      <c r="K20" s="90">
        <f>IF(Таблица467342610[[#This Row],[Факт - План]]&gt;10,Таблица467342610[[#This Row],[Акт, грн]]*$K$1,0)</f>
        <v>4978689.6000000006</v>
      </c>
    </row>
    <row r="21" spans="1:11" ht="30" customHeight="1" x14ac:dyDescent="0.25">
      <c r="A21" s="86"/>
      <c r="B21" s="87" t="s">
        <v>76</v>
      </c>
      <c r="C21" s="88"/>
      <c r="D21" s="86">
        <v>4</v>
      </c>
      <c r="E21" s="86" t="s">
        <v>59</v>
      </c>
      <c r="F21" s="90">
        <v>14910060</v>
      </c>
      <c r="G21" s="91">
        <v>44616</v>
      </c>
      <c r="H21" s="91">
        <v>44710</v>
      </c>
      <c r="I21" s="90">
        <f>Таблица467342610[[#This Row],[Конец]]-Таблица467342610[[#This Row],[Начало]]+1</f>
        <v>95</v>
      </c>
      <c r="J21" s="90"/>
      <c r="K21" s="90"/>
    </row>
    <row r="22" spans="1:11" ht="30" customHeight="1" x14ac:dyDescent="0.25">
      <c r="A22" s="86"/>
      <c r="B22" s="87" t="s">
        <v>75</v>
      </c>
      <c r="C22" s="88"/>
      <c r="D22" s="86"/>
      <c r="E22" s="86"/>
      <c r="F22" s="90"/>
      <c r="G22" s="91">
        <v>44784</v>
      </c>
      <c r="H22" s="91">
        <v>44798</v>
      </c>
      <c r="I22" s="90">
        <f>Таблица467342610[[#This Row],[Конец]]-Таблица467342610[[#This Row],[Начало]]+1</f>
        <v>15</v>
      </c>
      <c r="J22" s="90"/>
      <c r="K22" s="90"/>
    </row>
    <row r="23" spans="1:11" ht="30" customHeight="1" x14ac:dyDescent="0.25">
      <c r="A23" s="86" t="s">
        <v>18</v>
      </c>
      <c r="B23" s="87" t="s">
        <v>9</v>
      </c>
      <c r="C23" s="88">
        <v>25</v>
      </c>
      <c r="D23" s="86">
        <v>6</v>
      </c>
      <c r="E23" s="89" t="s">
        <v>59</v>
      </c>
      <c r="F23" s="90">
        <v>2157396</v>
      </c>
      <c r="G23" s="91">
        <v>44798</v>
      </c>
      <c r="H23" s="91">
        <v>44829</v>
      </c>
      <c r="I23" s="90">
        <f>Таблица467342610[[#This Row],[Конец]]-Таблица467342610[[#This Row],[Начало]]+1</f>
        <v>32</v>
      </c>
      <c r="J23" s="90">
        <f>Таблица467342610[[#This Row],[Факт]]-Таблица467342610[[#This Row],[План]]</f>
        <v>7</v>
      </c>
      <c r="K23" s="90">
        <f>IF(Таблица467342610[[#This Row],[Факт - План]]&gt;10,Таблица467342610[[#This Row],[Акт, грн]]*$K$1,0)</f>
        <v>0</v>
      </c>
    </row>
    <row r="24" spans="1:11" ht="30" customHeight="1" x14ac:dyDescent="0.25">
      <c r="A24" s="92"/>
      <c r="B24" s="92"/>
      <c r="C24" s="93">
        <f>SUBTOTAL(109,Таблица467342610[План])</f>
        <v>146</v>
      </c>
      <c r="D24" s="92"/>
      <c r="E24" s="92"/>
      <c r="F24" s="94">
        <f>SUBTOTAL(109,Таблица467342610[Акт, грн])</f>
        <v>76819596</v>
      </c>
      <c r="G24" s="92"/>
      <c r="H24" s="92"/>
      <c r="I24" s="94">
        <f>SUBTOTAL(109,Таблица467342610[Факт])-I21</f>
        <v>313</v>
      </c>
      <c r="J24" s="94">
        <f>SUBTOTAL(109,Таблица467342610[Факт - План])</f>
        <v>152</v>
      </c>
      <c r="K24" s="94">
        <f>SUBTOTAL(109,Таблица467342610[Штраф, грн])</f>
        <v>10067215.200000001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K11 K5:K9 K17:K23 I20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AEAE-7D9E-40DE-AF5A-EA8C6182B3EE}">
  <sheetPr>
    <pageSetUpPr fitToPage="1"/>
  </sheetPr>
  <dimension ref="A1:K47"/>
  <sheetViews>
    <sheetView topLeftCell="A37" workbookViewId="0">
      <selection activeCell="G7" sqref="G7"/>
    </sheetView>
  </sheetViews>
  <sheetFormatPr defaultRowHeight="15" x14ac:dyDescent="0.25"/>
  <cols>
    <col min="1" max="1" width="9.85546875" customWidth="1"/>
    <col min="2" max="2" width="41.85546875" customWidth="1"/>
    <col min="3" max="5" width="14.5703125" customWidth="1"/>
    <col min="6" max="6" width="16.5703125" customWidth="1"/>
    <col min="7" max="10" width="14.5703125" customWidth="1"/>
    <col min="11" max="11" width="16.570312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2578125" bestFit="1" customWidth="1"/>
    <col min="73" max="73" width="11.85546875" bestFit="1" customWidth="1"/>
    <col min="74" max="125" width="4.5703125" bestFit="1" customWidth="1"/>
    <col min="126" max="316" width="5.5703125" bestFit="1" customWidth="1"/>
    <col min="317" max="332" width="6.5703125" bestFit="1" customWidth="1"/>
    <col min="333" max="333" width="11.85546875" bestFit="1" customWidth="1"/>
    <col min="334" max="345" width="5.5703125" bestFit="1" customWidth="1"/>
    <col min="346" max="347" width="6.5703125" bestFit="1" customWidth="1"/>
    <col min="348" max="348" width="7.5703125" bestFit="1" customWidth="1"/>
    <col min="349" max="349" width="4.85546875" bestFit="1" customWidth="1"/>
    <col min="350" max="350" width="7.5703125" bestFit="1" customWidth="1"/>
    <col min="351" max="351" width="4.85546875" bestFit="1" customWidth="1"/>
    <col min="352" max="352" width="5.5703125" bestFit="1" customWidth="1"/>
    <col min="353" max="353" width="7.5703125" bestFit="1" customWidth="1"/>
    <col min="354" max="354" width="4.85546875" bestFit="1" customWidth="1"/>
    <col min="355" max="355" width="7.5703125" bestFit="1" customWidth="1"/>
    <col min="356" max="362" width="5.5703125" bestFit="1" customWidth="1"/>
    <col min="363" max="363" width="7.5703125" bestFit="1" customWidth="1"/>
    <col min="364" max="364" width="4.85546875" bestFit="1" customWidth="1"/>
    <col min="365" max="365" width="4.5703125" bestFit="1" customWidth="1"/>
    <col min="366" max="368" width="5.5703125" bestFit="1" customWidth="1"/>
    <col min="369" max="369" width="7.5703125" bestFit="1" customWidth="1"/>
    <col min="370" max="370" width="4.85546875" bestFit="1" customWidth="1"/>
    <col min="371" max="371" width="7.5703125" bestFit="1" customWidth="1"/>
    <col min="372" max="372" width="11.85546875" bestFit="1" customWidth="1"/>
    <col min="373" max="373" width="14.28515625" bestFit="1" customWidth="1"/>
    <col min="374" max="375" width="5.5703125" bestFit="1" customWidth="1"/>
    <col min="376" max="376" width="7.5703125" bestFit="1" customWidth="1"/>
    <col min="377" max="377" width="5.5703125" bestFit="1" customWidth="1"/>
    <col min="378" max="378" width="7.5703125" bestFit="1" customWidth="1"/>
    <col min="379" max="381" width="5.5703125" bestFit="1" customWidth="1"/>
    <col min="382" max="382" width="7.5703125" bestFit="1" customWidth="1"/>
    <col min="383" max="383" width="6.85546875" bestFit="1" customWidth="1"/>
    <col min="385" max="385" width="5.5703125" bestFit="1" customWidth="1"/>
    <col min="386" max="386" width="7.5703125" bestFit="1" customWidth="1"/>
    <col min="387" max="387" width="4.85546875" bestFit="1" customWidth="1"/>
    <col min="388" max="388" width="7.5703125" bestFit="1" customWidth="1"/>
    <col min="389" max="390" width="5.5703125" bestFit="1" customWidth="1"/>
    <col min="391" max="391" width="6.5703125" bestFit="1" customWidth="1"/>
    <col min="392" max="392" width="7.5703125" bestFit="1" customWidth="1"/>
    <col min="393" max="393" width="5.5703125" bestFit="1" customWidth="1"/>
    <col min="394" max="394" width="7.5703125" bestFit="1" customWidth="1"/>
    <col min="395" max="395" width="6.5703125" bestFit="1" customWidth="1"/>
    <col min="396" max="396" width="7.5703125" bestFit="1" customWidth="1"/>
    <col min="397" max="398" width="5.5703125" bestFit="1" customWidth="1"/>
    <col min="399" max="399" width="6.5703125" bestFit="1" customWidth="1"/>
    <col min="400" max="400" width="7.5703125" bestFit="1" customWidth="1"/>
    <col min="401" max="401" width="5.5703125" bestFit="1" customWidth="1"/>
    <col min="402" max="402" width="7.5703125" bestFit="1" customWidth="1"/>
    <col min="403" max="403" width="4.85546875" bestFit="1" customWidth="1"/>
    <col min="404" max="404" width="7.5703125" bestFit="1" customWidth="1"/>
    <col min="405" max="405" width="11.85546875" bestFit="1" customWidth="1"/>
    <col min="406" max="406" width="14.28515625" bestFit="1" customWidth="1"/>
    <col min="407" max="408" width="6.5703125" bestFit="1" customWidth="1"/>
    <col min="409" max="409" width="7.5703125" bestFit="1" customWidth="1"/>
    <col min="410" max="410" width="4.8554687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7" width="5.5703125" bestFit="1" customWidth="1"/>
    <col min="418" max="418" width="7.5703125" bestFit="1" customWidth="1"/>
    <col min="419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6.5703125" bestFit="1" customWidth="1"/>
    <col min="427" max="427" width="7.5703125" bestFit="1" customWidth="1"/>
    <col min="428" max="428" width="5.5703125" bestFit="1" customWidth="1"/>
    <col min="429" max="429" width="7.5703125" bestFit="1" customWidth="1"/>
    <col min="430" max="430" width="5.85546875" bestFit="1" customWidth="1"/>
    <col min="431" max="431" width="8.5703125" bestFit="1" customWidth="1"/>
    <col min="432" max="432" width="9.28515625" bestFit="1" customWidth="1"/>
    <col min="433" max="433" width="12" bestFit="1" customWidth="1"/>
    <col min="434" max="434" width="11.85546875" bestFit="1" customWidth="1"/>
  </cols>
  <sheetData>
    <row r="1" spans="1:11" ht="18.75" x14ac:dyDescent="0.3">
      <c r="B1" s="25" t="s">
        <v>1</v>
      </c>
      <c r="K1" s="2">
        <v>0.2</v>
      </c>
    </row>
    <row r="3" spans="1:11" x14ac:dyDescent="0.25">
      <c r="A3" s="1" t="s">
        <v>49</v>
      </c>
      <c r="B3" s="1" t="s">
        <v>53</v>
      </c>
      <c r="C3" s="1" t="s">
        <v>4</v>
      </c>
      <c r="D3" s="1" t="s">
        <v>51</v>
      </c>
      <c r="E3" s="1" t="s">
        <v>37</v>
      </c>
      <c r="F3" s="1" t="s">
        <v>50</v>
      </c>
      <c r="G3" s="1" t="s">
        <v>47</v>
      </c>
      <c r="H3" s="1" t="s">
        <v>48</v>
      </c>
      <c r="I3" s="1" t="s">
        <v>3</v>
      </c>
      <c r="J3" s="1" t="s">
        <v>6</v>
      </c>
      <c r="K3" s="1" t="s">
        <v>5</v>
      </c>
    </row>
    <row r="4" spans="1:11" ht="30" customHeight="1" x14ac:dyDescent="0.25">
      <c r="A4" s="8" t="s">
        <v>8</v>
      </c>
      <c r="B4" s="3" t="s">
        <v>7</v>
      </c>
      <c r="C4" s="4">
        <v>30</v>
      </c>
      <c r="D4" s="8">
        <v>1</v>
      </c>
      <c r="E4" s="24" t="s">
        <v>31</v>
      </c>
      <c r="F4" s="5">
        <v>6592140</v>
      </c>
      <c r="G4" s="77">
        <v>44093</v>
      </c>
      <c r="H4" s="11">
        <v>44144</v>
      </c>
      <c r="I4" s="5">
        <f>Таблица467342[[#This Row],[Конец]]-Таблица467342[[#This Row],[Начало]]+1</f>
        <v>52</v>
      </c>
      <c r="J4" s="5">
        <f>Таблица467342[[#This Row],[Факт]]-Таблица467342[[#This Row],[План]]</f>
        <v>22</v>
      </c>
      <c r="K4" s="5">
        <f>IF(Таблица467342[[#This Row],[Факт - План]]&gt;10,Таблица467342[[#This Row],[Акт, грн]]*$K$1,0)</f>
        <v>1318428</v>
      </c>
    </row>
    <row r="5" spans="1:11" ht="30" customHeight="1" x14ac:dyDescent="0.25">
      <c r="A5" s="10"/>
      <c r="B5" s="3" t="s">
        <v>65</v>
      </c>
      <c r="C5" s="14"/>
      <c r="D5" s="8">
        <v>2</v>
      </c>
      <c r="E5" s="8" t="s">
        <v>31</v>
      </c>
      <c r="F5" s="5">
        <v>15789312</v>
      </c>
      <c r="G5" s="11">
        <v>44145</v>
      </c>
      <c r="H5" s="11">
        <v>44208</v>
      </c>
      <c r="I5" s="66">
        <f>Таблица467342[[#This Row],[Конец]]-Таблица467342[[#This Row],[Начало]]+1</f>
        <v>64</v>
      </c>
      <c r="J5" s="5"/>
      <c r="K5" s="5"/>
    </row>
    <row r="6" spans="1:11" ht="30" customHeight="1" x14ac:dyDescent="0.25">
      <c r="A6" s="8" t="s">
        <v>10</v>
      </c>
      <c r="B6" s="3" t="s">
        <v>12</v>
      </c>
      <c r="C6" s="4">
        <v>6</v>
      </c>
      <c r="D6" s="8">
        <v>3</v>
      </c>
      <c r="E6" s="8" t="s">
        <v>32</v>
      </c>
      <c r="F6" s="5">
        <v>7462315.2000000002</v>
      </c>
      <c r="G6" s="11">
        <v>44208</v>
      </c>
      <c r="H6" s="11">
        <v>44223</v>
      </c>
      <c r="I6" s="5">
        <f>Таблица467342[[#This Row],[Конец]]-Таблица467342[[#This Row],[Начало]]+1</f>
        <v>16</v>
      </c>
      <c r="J6" s="5">
        <f>Таблица467342[[#This Row],[Факт]]-Таблица467342[[#This Row],[План]]</f>
        <v>10</v>
      </c>
      <c r="K6" s="5">
        <f>IF(Таблица467342[[#This Row],[Факт - План]]&gt;10,Таблица467342[[#This Row],[Акт, грн]]*$K$1,0)</f>
        <v>0</v>
      </c>
    </row>
    <row r="7" spans="1:11" ht="30" customHeight="1" x14ac:dyDescent="0.25">
      <c r="A7" s="8" t="s">
        <v>15</v>
      </c>
      <c r="B7" s="3" t="s">
        <v>13</v>
      </c>
      <c r="C7" s="4">
        <v>52</v>
      </c>
      <c r="D7" s="8">
        <v>4</v>
      </c>
      <c r="E7" s="8" t="s">
        <v>33</v>
      </c>
      <c r="F7" s="5">
        <v>81495132</v>
      </c>
      <c r="G7" s="11">
        <v>44223</v>
      </c>
      <c r="H7" s="11">
        <v>44274</v>
      </c>
      <c r="I7" s="5">
        <f>Таблица467342[[#This Row],[Конец]]-Таблица467342[[#This Row],[Начало]]+1</f>
        <v>52</v>
      </c>
      <c r="J7" s="5">
        <f>Таблица467342[[#This Row],[Факт]]-Таблица467342[[#This Row],[План]]</f>
        <v>0</v>
      </c>
      <c r="K7" s="5">
        <f>IF(Таблица467342[[#This Row],[Факт - План]]&gt;10,Таблица467342[[#This Row],[Акт, грн]]*$K$1,0)</f>
        <v>0</v>
      </c>
    </row>
    <row r="8" spans="1:11" ht="30" customHeight="1" x14ac:dyDescent="0.25">
      <c r="A8" s="8" t="s">
        <v>16</v>
      </c>
      <c r="B8" s="3" t="s">
        <v>14</v>
      </c>
      <c r="C8" s="4">
        <v>99</v>
      </c>
      <c r="D8" s="8">
        <v>5</v>
      </c>
      <c r="E8" s="8" t="s">
        <v>34</v>
      </c>
      <c r="F8" s="5">
        <v>140602046.40000001</v>
      </c>
      <c r="G8" s="11">
        <v>44274</v>
      </c>
      <c r="H8" s="11">
        <v>44388</v>
      </c>
      <c r="I8" s="5">
        <f>Таблица467342[[#This Row],[Конец]]-Таблица467342[[#This Row],[Начало]]+1</f>
        <v>115</v>
      </c>
      <c r="J8" s="5">
        <f>Таблица467342[[#This Row],[Факт]]-Таблица467342[[#This Row],[План]]</f>
        <v>16</v>
      </c>
      <c r="K8" s="5">
        <f>IF(Таблица467342[[#This Row],[Факт - План]]&gt;10,Таблица467342[[#This Row],[Акт, грн]]*$K$1,0)</f>
        <v>28120409.280000001</v>
      </c>
    </row>
    <row r="9" spans="1:11" ht="30" customHeight="1" x14ac:dyDescent="0.25">
      <c r="A9" s="8" t="s">
        <v>18</v>
      </c>
      <c r="B9" s="3" t="s">
        <v>17</v>
      </c>
      <c r="C9" s="4">
        <v>61</v>
      </c>
      <c r="D9" s="8">
        <v>6</v>
      </c>
      <c r="E9" s="8" t="s">
        <v>35</v>
      </c>
      <c r="F9" s="5">
        <v>81960556.799999997</v>
      </c>
      <c r="G9" s="11">
        <v>44388</v>
      </c>
      <c r="H9" s="11">
        <v>44436</v>
      </c>
      <c r="I9" s="5">
        <f>Таблица467342[[#This Row],[Конец]]-Таблица467342[[#This Row],[Начало]]+1</f>
        <v>49</v>
      </c>
      <c r="J9" s="5">
        <f>Таблица467342[[#This Row],[Факт]]-Таблица467342[[#This Row],[План]]</f>
        <v>-12</v>
      </c>
      <c r="K9" s="5">
        <f>IF(Таблица467342[[#This Row],[Факт - План]]&gt;10,Таблица467342[[#This Row],[Акт, грн]]*$K$1,0)</f>
        <v>0</v>
      </c>
    </row>
    <row r="10" spans="1:11" ht="30" customHeight="1" x14ac:dyDescent="0.25">
      <c r="A10" s="8" t="s">
        <v>19</v>
      </c>
      <c r="B10" s="3" t="s">
        <v>55</v>
      </c>
      <c r="C10" s="4">
        <v>104</v>
      </c>
      <c r="D10" s="8" t="s">
        <v>52</v>
      </c>
      <c r="E10" s="24" t="s">
        <v>36</v>
      </c>
      <c r="F10" s="5">
        <v>208502928.47999999</v>
      </c>
      <c r="G10" s="11">
        <v>44436</v>
      </c>
      <c r="H10" s="11">
        <v>44551</v>
      </c>
      <c r="I10" s="5">
        <f>Таблица467342[[#This Row],[Конец]]-Таблица467342[[#This Row],[Начало]]+1</f>
        <v>116</v>
      </c>
      <c r="J10" s="5">
        <f>Таблица467342[[#This Row],[Факт]]-Таблица467342[[#This Row],[План]]</f>
        <v>12</v>
      </c>
      <c r="K10" s="5">
        <f>IF(Таблица467342[[#This Row],[Факт - План]]&gt;10,Таблица467342[[#This Row],[Акт, грн]]*$K$1,0)</f>
        <v>41700585.696000002</v>
      </c>
    </row>
    <row r="11" spans="1:11" ht="30" customHeight="1" x14ac:dyDescent="0.25">
      <c r="A11" s="8" t="s">
        <v>20</v>
      </c>
      <c r="B11" s="3" t="s">
        <v>21</v>
      </c>
      <c r="C11" s="4">
        <v>18</v>
      </c>
      <c r="D11" s="8">
        <v>11</v>
      </c>
      <c r="E11" s="10" t="s">
        <v>36</v>
      </c>
      <c r="F11" s="5">
        <v>39590618.399999999</v>
      </c>
      <c r="G11" s="11">
        <v>44551</v>
      </c>
      <c r="H11" s="78">
        <v>44562</v>
      </c>
      <c r="I11" s="5">
        <f>Таблица467342[[#This Row],[Конец]]-Таблица467342[[#This Row],[Начало]]+1</f>
        <v>12</v>
      </c>
      <c r="J11" s="5">
        <f>Таблица467342[[#This Row],[Факт]]-Таблица467342[[#This Row],[План]]</f>
        <v>-6</v>
      </c>
      <c r="K11" s="5">
        <f>IF(Таблица467342[[#This Row],[Факт - План]]&gt;10,Таблица467342[[#This Row],[Акт, грн]]*$K$1,0)</f>
        <v>0</v>
      </c>
    </row>
    <row r="12" spans="1:11" ht="30" customHeight="1" x14ac:dyDescent="0.25">
      <c r="A12" s="10"/>
      <c r="B12" s="3" t="s">
        <v>54</v>
      </c>
      <c r="C12" s="4"/>
      <c r="D12" s="8"/>
      <c r="E12" s="8"/>
      <c r="F12" s="5"/>
      <c r="G12" s="11">
        <v>44616</v>
      </c>
      <c r="H12" s="11">
        <v>44682</v>
      </c>
      <c r="I12" s="5">
        <f>Таблица467342[[#This Row],[Конец]]-Таблица467342[[#This Row],[Начало]]+1</f>
        <v>67</v>
      </c>
      <c r="J12" s="5"/>
      <c r="K12" s="5"/>
    </row>
    <row r="13" spans="1:11" ht="30" customHeight="1" x14ac:dyDescent="0.25">
      <c r="A13" s="8" t="s">
        <v>11</v>
      </c>
      <c r="B13" s="3" t="s">
        <v>9</v>
      </c>
      <c r="C13" s="4">
        <v>30</v>
      </c>
      <c r="D13" s="8">
        <v>12</v>
      </c>
      <c r="E13" s="26" t="s">
        <v>36</v>
      </c>
      <c r="F13" s="5">
        <v>3022908</v>
      </c>
      <c r="G13" s="78">
        <v>44562</v>
      </c>
      <c r="H13" s="78" t="s">
        <v>36</v>
      </c>
      <c r="I13" s="5">
        <f>Таблица467342[[#This Row],[Конец]]-Таблица467342[[#This Row],[Начало]]+1</f>
        <v>12</v>
      </c>
      <c r="J13" s="5">
        <f>Таблица467342[[#This Row],[Факт]]-Таблица467342[[#This Row],[План]]</f>
        <v>-18</v>
      </c>
      <c r="K13" s="5">
        <f>IF(Таблица467342[[#This Row],[Факт - План]]&gt;10,Таблица467342[[#This Row],[Акт, грн]]*$K$1,0)</f>
        <v>0</v>
      </c>
    </row>
    <row r="14" spans="1:11" ht="30" customHeight="1" x14ac:dyDescent="0.25">
      <c r="A14" s="41"/>
      <c r="B14" s="41"/>
      <c r="C14" s="42">
        <f>SUBTOTAL(109,Таблица467342[План])</f>
        <v>400</v>
      </c>
      <c r="D14" s="41"/>
      <c r="E14" s="41"/>
      <c r="F14" s="43">
        <f>SUBTOTAL(109,Таблица467342[Акт, грн])</f>
        <v>585017957.27999997</v>
      </c>
      <c r="G14" s="41"/>
      <c r="H14" s="41"/>
      <c r="I14" s="43">
        <f>SUBTOTAL(109,Таблица467342[Факт])-I12-I5</f>
        <v>424</v>
      </c>
      <c r="J14" s="43">
        <f>SUBTOTAL(109,Таблица467342[Факт - План])</f>
        <v>24</v>
      </c>
      <c r="K14" s="43">
        <f>SUBTOTAL(109,Таблица467342[Штраф, грн])</f>
        <v>71139422.976000011</v>
      </c>
    </row>
    <row r="18" spans="1:11" ht="15.75" x14ac:dyDescent="0.25">
      <c r="B18" s="34" t="s">
        <v>0</v>
      </c>
    </row>
    <row r="20" spans="1:11" x14ac:dyDescent="0.25">
      <c r="A20" s="35" t="s">
        <v>49</v>
      </c>
      <c r="B20" s="36" t="s">
        <v>53</v>
      </c>
      <c r="C20" s="36" t="s">
        <v>4</v>
      </c>
      <c r="D20" s="36" t="s">
        <v>51</v>
      </c>
      <c r="E20" s="36" t="s">
        <v>37</v>
      </c>
      <c r="F20" s="36" t="s">
        <v>50</v>
      </c>
      <c r="G20" s="36" t="s">
        <v>47</v>
      </c>
      <c r="H20" s="36" t="s">
        <v>48</v>
      </c>
      <c r="I20" s="36" t="s">
        <v>3</v>
      </c>
      <c r="J20" s="36" t="s">
        <v>6</v>
      </c>
      <c r="K20" s="37" t="s">
        <v>5</v>
      </c>
    </row>
    <row r="21" spans="1:11" ht="30" customHeight="1" x14ac:dyDescent="0.25">
      <c r="A21" s="27" t="s">
        <v>8</v>
      </c>
      <c r="B21" s="28" t="s">
        <v>7</v>
      </c>
      <c r="C21" s="6">
        <v>90</v>
      </c>
      <c r="D21" s="38">
        <v>1</v>
      </c>
      <c r="E21" s="19" t="s">
        <v>38</v>
      </c>
      <c r="F21" s="7">
        <v>8918658</v>
      </c>
      <c r="G21" s="12">
        <v>43742</v>
      </c>
      <c r="H21" s="12">
        <v>43820</v>
      </c>
      <c r="I21" s="31">
        <f>Таблица63[[#This Row],[Конец]]-Таблица63[[#This Row],[Начало]]+1</f>
        <v>79</v>
      </c>
      <c r="J21" s="31">
        <f>Таблица63[[#This Row],[Факт]]-Таблица63[[#This Row],[План]]</f>
        <v>-11</v>
      </c>
      <c r="K21" s="31">
        <f>IF(Таблица63[[#This Row],[Факт - План]]&gt;10,Таблица63[[#This Row],[Акт, грн]]*$K$1,0)</f>
        <v>0</v>
      </c>
    </row>
    <row r="22" spans="1:11" ht="30" customHeight="1" x14ac:dyDescent="0.25">
      <c r="A22" s="27" t="s">
        <v>10</v>
      </c>
      <c r="B22" s="32" t="s">
        <v>26</v>
      </c>
      <c r="C22" s="6">
        <v>4</v>
      </c>
      <c r="D22" s="38">
        <v>2</v>
      </c>
      <c r="E22" s="9" t="s">
        <v>38</v>
      </c>
      <c r="F22" s="7">
        <v>6876828</v>
      </c>
      <c r="G22" s="12">
        <v>43820</v>
      </c>
      <c r="H22" s="12">
        <v>43827</v>
      </c>
      <c r="I22" s="31">
        <f>Таблица63[[#This Row],[Конец]]-Таблица63[[#This Row],[Начало]]+1</f>
        <v>8</v>
      </c>
      <c r="J22" s="31">
        <f>Таблица63[[#This Row],[Факт]]-Таблица63[[#This Row],[План]]</f>
        <v>4</v>
      </c>
      <c r="K22" s="31">
        <f>IF(Таблица63[[#This Row],[Факт - План]]&gt;10,Таблица63[[#This Row],[Акт, грн]]*$K$1,0)</f>
        <v>0</v>
      </c>
    </row>
    <row r="23" spans="1:11" ht="30" customHeight="1" x14ac:dyDescent="0.25">
      <c r="A23" s="27"/>
      <c r="B23" s="32" t="s">
        <v>61</v>
      </c>
      <c r="C23" s="30"/>
      <c r="D23" s="38">
        <v>3</v>
      </c>
      <c r="E23" s="40"/>
      <c r="F23" s="31">
        <v>6695490</v>
      </c>
      <c r="G23" s="29">
        <v>43827</v>
      </c>
      <c r="H23" s="29">
        <v>43880</v>
      </c>
      <c r="I23" s="65">
        <f>Таблица63[[#This Row],[Конец]]-Таблица63[[#This Row],[Начало]]+1</f>
        <v>54</v>
      </c>
      <c r="J23" s="31"/>
      <c r="K23" s="31"/>
    </row>
    <row r="24" spans="1:11" ht="30" customHeight="1" x14ac:dyDescent="0.25">
      <c r="A24" s="27" t="s">
        <v>15</v>
      </c>
      <c r="B24" s="32" t="s">
        <v>25</v>
      </c>
      <c r="C24" s="6">
        <v>33</v>
      </c>
      <c r="D24" s="39">
        <v>13</v>
      </c>
      <c r="E24" s="9" t="s">
        <v>39</v>
      </c>
      <c r="F24" s="7">
        <v>34059564</v>
      </c>
      <c r="G24" s="13">
        <v>43880</v>
      </c>
      <c r="H24" s="13">
        <v>43911</v>
      </c>
      <c r="I24" s="31">
        <f>Таблица63[[#This Row],[Конец]]-Таблица63[[#This Row],[Начало]]+1</f>
        <v>32</v>
      </c>
      <c r="J24" s="31">
        <f>Таблица63[[#This Row],[Факт]]-Таблица63[[#This Row],[План]]</f>
        <v>-1</v>
      </c>
      <c r="K24" s="31">
        <f>IF(Таблица63[[#This Row],[Факт - План]]&gt;10,Таблица63[[#This Row],[Акт, грн]]*$K$1,0)</f>
        <v>0</v>
      </c>
    </row>
    <row r="25" spans="1:11" ht="30" customHeight="1" x14ac:dyDescent="0.25">
      <c r="A25" s="27" t="s">
        <v>16</v>
      </c>
      <c r="B25" s="32" t="s">
        <v>24</v>
      </c>
      <c r="C25" s="6">
        <v>77</v>
      </c>
      <c r="D25" s="39">
        <v>15</v>
      </c>
      <c r="E25" s="9" t="s">
        <v>40</v>
      </c>
      <c r="F25" s="7">
        <v>79751952</v>
      </c>
      <c r="G25" s="13">
        <v>43911</v>
      </c>
      <c r="H25" s="13">
        <v>43967</v>
      </c>
      <c r="I25" s="31">
        <f>Таблица63[[#This Row],[Конец]]-Таблица63[[#This Row],[Начало]]+1</f>
        <v>57</v>
      </c>
      <c r="J25" s="31">
        <f>Таблица63[[#This Row],[Факт]]-Таблица63[[#This Row],[План]]</f>
        <v>-20</v>
      </c>
      <c r="K25" s="31">
        <f>IF(Таблица63[[#This Row],[Факт - План]]&gt;10,Таблица63[[#This Row],[Акт, грн]]*$K$1,0)</f>
        <v>0</v>
      </c>
    </row>
    <row r="26" spans="1:11" ht="30" customHeight="1" x14ac:dyDescent="0.25">
      <c r="A26" s="27" t="s">
        <v>18</v>
      </c>
      <c r="B26" s="32" t="s">
        <v>23</v>
      </c>
      <c r="C26" s="6">
        <v>40</v>
      </c>
      <c r="D26" s="39">
        <v>17</v>
      </c>
      <c r="E26" s="9" t="s">
        <v>41</v>
      </c>
      <c r="F26" s="7">
        <v>30398634</v>
      </c>
      <c r="G26" s="13">
        <v>43967</v>
      </c>
      <c r="H26" s="13">
        <v>43999</v>
      </c>
      <c r="I26" s="31">
        <f>Таблица63[[#This Row],[Конец]]-Таблица63[[#This Row],[Начало]]+1</f>
        <v>33</v>
      </c>
      <c r="J26" s="31">
        <f>Таблица63[[#This Row],[Факт]]-Таблица63[[#This Row],[План]]</f>
        <v>-7</v>
      </c>
      <c r="K26" s="31">
        <f>IF(Таблица63[[#This Row],[Факт - План]]&gt;10,Таблица63[[#This Row],[Акт, грн]]*$K$1,0)</f>
        <v>0</v>
      </c>
    </row>
    <row r="27" spans="1:11" ht="30" customHeight="1" x14ac:dyDescent="0.25">
      <c r="A27" s="27" t="s">
        <v>19</v>
      </c>
      <c r="B27" s="32" t="s">
        <v>22</v>
      </c>
      <c r="C27" s="6">
        <v>97</v>
      </c>
      <c r="D27" s="39">
        <v>19</v>
      </c>
      <c r="E27" s="9" t="s">
        <v>42</v>
      </c>
      <c r="F27" s="7">
        <v>292928580</v>
      </c>
      <c r="G27" s="13">
        <v>43999</v>
      </c>
      <c r="H27" s="13">
        <v>44430</v>
      </c>
      <c r="I27" s="31">
        <f>Таблица63[[#This Row],[Конец]]-Таблица63[[#This Row],[Начало]]+1</f>
        <v>432</v>
      </c>
      <c r="J27" s="31">
        <f>Таблица63[[#This Row],[Факт]]-Таблица63[[#This Row],[План]]</f>
        <v>335</v>
      </c>
      <c r="K27" s="31">
        <f>IF(Таблица63[[#This Row],[Факт - План]]&gt;10,Таблица63[[#This Row],[Акт, грн]]*$K$1,0)</f>
        <v>58585716</v>
      </c>
    </row>
    <row r="28" spans="1:11" ht="30" customHeight="1" x14ac:dyDescent="0.25">
      <c r="A28" s="27"/>
      <c r="B28" s="32" t="s">
        <v>58</v>
      </c>
      <c r="C28" s="30"/>
      <c r="D28" s="39"/>
      <c r="E28" s="40"/>
      <c r="F28" s="31"/>
      <c r="G28" s="33">
        <v>44129</v>
      </c>
      <c r="H28" s="33">
        <v>44233</v>
      </c>
      <c r="I28" s="65">
        <f>Таблица63[[#This Row],[Конец]]-Таблица63[[#This Row],[Начало]]+1</f>
        <v>105</v>
      </c>
      <c r="J28" s="31"/>
      <c r="K28" s="31"/>
    </row>
    <row r="29" spans="1:11" ht="30" customHeight="1" x14ac:dyDescent="0.25">
      <c r="A29" s="27" t="s">
        <v>20</v>
      </c>
      <c r="B29" s="28" t="s">
        <v>9</v>
      </c>
      <c r="C29" s="6">
        <v>40</v>
      </c>
      <c r="D29" s="39">
        <v>34</v>
      </c>
      <c r="E29" s="19" t="s">
        <v>42</v>
      </c>
      <c r="F29" s="7">
        <v>4515588</v>
      </c>
      <c r="G29" s="13">
        <v>44430</v>
      </c>
      <c r="H29" s="12">
        <v>44443</v>
      </c>
      <c r="I29" s="31">
        <f>Таблица63[[#This Row],[Конец]]-Таблица63[[#This Row],[Начало]]+1</f>
        <v>14</v>
      </c>
      <c r="J29" s="31">
        <f>Таблица63[[#This Row],[Факт]]-Таблица63[[#This Row],[План]]</f>
        <v>-26</v>
      </c>
      <c r="K29" s="31">
        <f>IF(Таблица63[[#This Row],[Факт - План]]&gt;10,Таблица63[[#This Row],[Акт, грн]]*$K$1,0)</f>
        <v>0</v>
      </c>
    </row>
    <row r="30" spans="1:11" ht="30" customHeight="1" x14ac:dyDescent="0.25">
      <c r="A30" s="44"/>
      <c r="B30" s="45"/>
      <c r="C30" s="46">
        <f>SUBTOTAL(109,Таблица63[План])</f>
        <v>381</v>
      </c>
      <c r="D30" s="45"/>
      <c r="E30" s="45"/>
      <c r="F30" s="47">
        <f>SUBTOTAL(109,Таблица63[Акт, грн])</f>
        <v>464145294</v>
      </c>
      <c r="G30" s="45"/>
      <c r="H30" s="45"/>
      <c r="I30" s="47">
        <f>SUBTOTAL(109,Таблица63[Факт])</f>
        <v>814</v>
      </c>
      <c r="J30" s="47">
        <f>SUBTOTAL(109,Таблица63[Факт - План])</f>
        <v>274</v>
      </c>
      <c r="K30" s="47">
        <f>SUBTOTAL(109,Таблица63[Штраф, грн])</f>
        <v>58585716</v>
      </c>
    </row>
    <row r="31" spans="1:11" x14ac:dyDescent="0.25">
      <c r="A31" s="71" t="s">
        <v>56</v>
      </c>
      <c r="B31" s="72" t="s">
        <v>57</v>
      </c>
      <c r="C31" s="72"/>
      <c r="D31" s="72"/>
      <c r="E31" s="72"/>
      <c r="F31" s="73">
        <v>344753198.84799993</v>
      </c>
    </row>
    <row r="35" spans="1:11" ht="15.75" x14ac:dyDescent="0.25">
      <c r="B35" s="48" t="s">
        <v>2</v>
      </c>
    </row>
    <row r="37" spans="1:11" x14ac:dyDescent="0.25">
      <c r="A37" s="35" t="s">
        <v>49</v>
      </c>
      <c r="B37" s="36" t="s">
        <v>53</v>
      </c>
      <c r="C37" s="36" t="s">
        <v>4</v>
      </c>
      <c r="D37" s="36" t="s">
        <v>51</v>
      </c>
      <c r="E37" s="36" t="s">
        <v>37</v>
      </c>
      <c r="F37" s="36" t="s">
        <v>50</v>
      </c>
      <c r="G37" s="36" t="s">
        <v>47</v>
      </c>
      <c r="H37" s="36" t="s">
        <v>48</v>
      </c>
      <c r="I37" s="36" t="s">
        <v>3</v>
      </c>
      <c r="J37" s="36" t="s">
        <v>6</v>
      </c>
      <c r="K37" s="37" t="s">
        <v>5</v>
      </c>
    </row>
    <row r="38" spans="1:11" ht="30" customHeight="1" x14ac:dyDescent="0.25">
      <c r="A38" s="49" t="s">
        <v>8</v>
      </c>
      <c r="B38" s="50" t="s">
        <v>7</v>
      </c>
      <c r="C38" s="18">
        <v>30</v>
      </c>
      <c r="D38" s="51">
        <v>1</v>
      </c>
      <c r="E38" s="52" t="s">
        <v>43</v>
      </c>
      <c r="F38" s="17">
        <v>50988960</v>
      </c>
      <c r="G38" s="53">
        <v>44385</v>
      </c>
      <c r="H38" s="53">
        <v>44486</v>
      </c>
      <c r="I38" s="54">
        <f>Таблица685[[#This Row],[Конец]]-Таблица685[[#This Row],[Начало]]+1</f>
        <v>102</v>
      </c>
      <c r="J38" s="54">
        <f>Таблица685[[#This Row],[Факт]]-Таблица685[[#This Row],[План]]</f>
        <v>72</v>
      </c>
      <c r="K38" s="54">
        <f>IF(Таблица685[[#This Row],[Факт - План]]&gt;10,Таблица685[[#This Row],[Акт, грн]]*$K$1,0)</f>
        <v>10197792</v>
      </c>
    </row>
    <row r="39" spans="1:11" ht="30" customHeight="1" x14ac:dyDescent="0.25">
      <c r="A39" s="49" t="s">
        <v>10</v>
      </c>
      <c r="B39" s="55" t="s">
        <v>27</v>
      </c>
      <c r="C39" s="18">
        <v>5</v>
      </c>
      <c r="D39" s="51">
        <v>3</v>
      </c>
      <c r="E39" s="15" t="s">
        <v>43</v>
      </c>
      <c r="F39" s="17">
        <v>10349640</v>
      </c>
      <c r="G39" s="53">
        <v>44486</v>
      </c>
      <c r="H39" s="53">
        <v>44493</v>
      </c>
      <c r="I39" s="54">
        <f>Таблица685[[#This Row],[Конец]]-Таблица685[[#This Row],[Начало]]+1</f>
        <v>8</v>
      </c>
      <c r="J39" s="54">
        <f>Таблица685[[#This Row],[Факт]]-Таблица685[[#This Row],[План]]</f>
        <v>3</v>
      </c>
      <c r="K39" s="54">
        <f>IF(Таблица685[[#This Row],[Факт - План]]&gt;10,Таблица685[[#This Row],[Акт, грн]]*$K$1,0)</f>
        <v>0</v>
      </c>
    </row>
    <row r="40" spans="1:11" ht="30" customHeight="1" x14ac:dyDescent="0.25">
      <c r="A40" s="49" t="s">
        <v>15</v>
      </c>
      <c r="B40" s="55" t="s">
        <v>28</v>
      </c>
      <c r="C40" s="56">
        <v>39</v>
      </c>
      <c r="D40" s="51">
        <v>6</v>
      </c>
      <c r="E40" s="57" t="s">
        <v>44</v>
      </c>
      <c r="F40" s="54">
        <v>64029240</v>
      </c>
      <c r="G40" s="58">
        <v>44493</v>
      </c>
      <c r="H40" s="58">
        <v>44561</v>
      </c>
      <c r="I40" s="54">
        <f>Таблица685[[#This Row],[Конец]]-Таблица685[[#This Row],[Начало]]</f>
        <v>68</v>
      </c>
      <c r="J40" s="54">
        <f>Таблица685[[#This Row],[Факт]]-Таблица685[[#This Row],[План]]</f>
        <v>29</v>
      </c>
      <c r="K40" s="54">
        <f>IF(Таблица685[[#This Row],[Факт - План]]&gt;10,Таблица685[[#This Row],[Акт, грн]]*$K$1,0)</f>
        <v>12805848</v>
      </c>
    </row>
    <row r="41" spans="1:11" ht="30" customHeight="1" x14ac:dyDescent="0.25">
      <c r="A41" s="49" t="s">
        <v>16</v>
      </c>
      <c r="B41" s="55" t="s">
        <v>29</v>
      </c>
      <c r="C41" s="18">
        <v>82</v>
      </c>
      <c r="D41" s="59">
        <v>15</v>
      </c>
      <c r="E41" s="15" t="s">
        <v>45</v>
      </c>
      <c r="F41" s="17">
        <v>142097760</v>
      </c>
      <c r="G41" s="16">
        <v>44561</v>
      </c>
      <c r="H41" s="64" t="s">
        <v>45</v>
      </c>
      <c r="I41" s="54">
        <f>Таблица685[[#This Row],[Конец]]-Таблица685[[#This Row],[Начало]]-I42</f>
        <v>93</v>
      </c>
      <c r="J41" s="54">
        <f>Таблица685[[#This Row],[Факт]]-Таблица685[[#This Row],[План]]</f>
        <v>11</v>
      </c>
      <c r="K41" s="54">
        <f>IF(Таблица685[[#This Row],[Факт - План]]&gt;10,Таблица685[[#This Row],[Акт, грн]]*$K$1,0)</f>
        <v>28419552</v>
      </c>
    </row>
    <row r="42" spans="1:11" ht="30" customHeight="1" x14ac:dyDescent="0.25">
      <c r="A42" s="49"/>
      <c r="B42" s="67" t="s">
        <v>60</v>
      </c>
      <c r="C42" s="23"/>
      <c r="D42" s="68">
        <v>14</v>
      </c>
      <c r="E42" s="20" t="s">
        <v>59</v>
      </c>
      <c r="F42" s="22">
        <v>49001172</v>
      </c>
      <c r="G42" s="21">
        <v>44616</v>
      </c>
      <c r="H42" s="21">
        <v>44744</v>
      </c>
      <c r="I42" s="69">
        <f>Таблица685[[#This Row],[Конец]]-Таблица685[[#This Row],[Начало]]</f>
        <v>128</v>
      </c>
      <c r="J42" s="70"/>
      <c r="K42" s="70"/>
    </row>
    <row r="43" spans="1:11" ht="30" customHeight="1" x14ac:dyDescent="0.25">
      <c r="A43" s="49" t="s">
        <v>18</v>
      </c>
      <c r="B43" s="55" t="s">
        <v>30</v>
      </c>
      <c r="C43" s="18">
        <v>48</v>
      </c>
      <c r="D43" s="59"/>
      <c r="E43" s="15"/>
      <c r="F43" s="17"/>
      <c r="G43" s="16"/>
      <c r="H43" s="16"/>
      <c r="I43" s="54"/>
      <c r="J43" s="54"/>
      <c r="K43" s="54"/>
    </row>
    <row r="44" spans="1:11" ht="30" customHeight="1" x14ac:dyDescent="0.25">
      <c r="A44" s="49" t="s">
        <v>19</v>
      </c>
      <c r="B44" s="55" t="s">
        <v>22</v>
      </c>
      <c r="C44" s="18">
        <v>110</v>
      </c>
      <c r="D44" s="59"/>
      <c r="E44" s="15"/>
      <c r="F44" s="17"/>
      <c r="G44" s="16"/>
      <c r="H44" s="16"/>
      <c r="I44" s="54"/>
      <c r="J44" s="54"/>
      <c r="K44" s="54"/>
    </row>
    <row r="45" spans="1:11" ht="30" customHeight="1" x14ac:dyDescent="0.25">
      <c r="A45" s="49" t="s">
        <v>20</v>
      </c>
      <c r="B45" s="50" t="s">
        <v>9</v>
      </c>
      <c r="C45" s="18">
        <v>30</v>
      </c>
      <c r="D45" s="59">
        <v>18</v>
      </c>
      <c r="E45" s="52" t="s">
        <v>46</v>
      </c>
      <c r="F45" s="17">
        <v>12760560</v>
      </c>
      <c r="G45" s="16">
        <v>44786</v>
      </c>
      <c r="H45" s="64" t="s">
        <v>46</v>
      </c>
      <c r="I45" s="54">
        <f>Таблица685[[#This Row],[Конец]]-Таблица685[[#This Row],[Начало]]+1</f>
        <v>19</v>
      </c>
      <c r="J45" s="54">
        <f>Таблица685[[#This Row],[Факт]]-Таблица685[[#This Row],[План]]</f>
        <v>-11</v>
      </c>
      <c r="K45" s="54">
        <f>IF(Таблица685[[#This Row],[Факт - План]]&gt;10,Таблица685[[#This Row],[Акт, грн]]*$K$1,0)</f>
        <v>0</v>
      </c>
    </row>
    <row r="46" spans="1:11" ht="30" customHeight="1" x14ac:dyDescent="0.25">
      <c r="A46" s="60"/>
      <c r="B46" s="61"/>
      <c r="C46" s="62">
        <f>SUBTOTAL(109,Таблица685[План])</f>
        <v>344</v>
      </c>
      <c r="D46" s="61"/>
      <c r="E46" s="61"/>
      <c r="F46" s="63">
        <f>SUBTOTAL(109,Таблица685[Акт, грн])</f>
        <v>329227332</v>
      </c>
      <c r="G46" s="61"/>
      <c r="H46" s="61"/>
      <c r="I46" s="63">
        <f>SUBTOTAL(109,Таблица685[Факт])-I42</f>
        <v>290</v>
      </c>
      <c r="J46" s="63">
        <f>SUBTOTAL(109,Таблица685[Факт - План])</f>
        <v>104</v>
      </c>
      <c r="K46" s="63">
        <f>SUBTOTAL(109,Таблица685[Штраф, грн])</f>
        <v>51423192</v>
      </c>
    </row>
    <row r="47" spans="1:11" x14ac:dyDescent="0.25">
      <c r="A47" s="74" t="s">
        <v>56</v>
      </c>
      <c r="B47" s="75" t="s">
        <v>57</v>
      </c>
      <c r="C47" s="75"/>
      <c r="D47" s="75"/>
      <c r="E47" s="75"/>
      <c r="F47" s="76">
        <v>115861342.89000002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K4:K13" calculatedColumn="1"/>
  </ignoredErrors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A0DC-2731-41FD-BD0D-6F7FC90760EE}">
  <sheetPr>
    <pageSetUpPr fitToPage="1"/>
  </sheetPr>
  <dimension ref="A1:I13"/>
  <sheetViews>
    <sheetView workbookViewId="0">
      <selection activeCell="F5" sqref="F5"/>
    </sheetView>
  </sheetViews>
  <sheetFormatPr defaultRowHeight="15" x14ac:dyDescent="0.25"/>
  <cols>
    <col min="1" max="1" width="9.85546875" customWidth="1"/>
    <col min="2" max="2" width="41.85546875" customWidth="1"/>
    <col min="3" max="6" width="14.5703125" customWidth="1"/>
    <col min="7" max="7" width="16.5703125" customWidth="1"/>
    <col min="8" max="8" width="14.5703125" customWidth="1"/>
    <col min="9" max="9" width="21" customWidth="1"/>
    <col min="10" max="10" width="4" bestFit="1" customWidth="1"/>
    <col min="11" max="17" width="2" bestFit="1" customWidth="1"/>
    <col min="18" max="18" width="4" bestFit="1" customWidth="1"/>
    <col min="19" max="19" width="3" bestFit="1" customWidth="1"/>
    <col min="20" max="20" width="5" bestFit="1" customWidth="1"/>
    <col min="21" max="24" width="3" bestFit="1" customWidth="1"/>
    <col min="25" max="25" width="5" bestFit="1" customWidth="1"/>
    <col min="26" max="28" width="3" bestFit="1" customWidth="1"/>
    <col min="29" max="29" width="5" bestFit="1" customWidth="1"/>
    <col min="30" max="30" width="10" bestFit="1" customWidth="1"/>
    <col min="31" max="44" width="3" bestFit="1" customWidth="1"/>
    <col min="45" max="45" width="10" bestFit="1" customWidth="1"/>
    <col min="46" max="48" width="3" bestFit="1" customWidth="1"/>
    <col min="49" max="49" width="5" bestFit="1" customWidth="1"/>
    <col min="50" max="57" width="3" bestFit="1" customWidth="1"/>
    <col min="58" max="58" width="10" bestFit="1" customWidth="1"/>
    <col min="59" max="68" width="3" bestFit="1" customWidth="1"/>
    <col min="69" max="69" width="4" bestFit="1" customWidth="1"/>
    <col min="70" max="70" width="7.42578125" bestFit="1" customWidth="1"/>
    <col min="71" max="71" width="11.85546875" bestFit="1" customWidth="1"/>
    <col min="72" max="123" width="4.5703125" bestFit="1" customWidth="1"/>
    <col min="124" max="314" width="5.5703125" bestFit="1" customWidth="1"/>
    <col min="315" max="330" width="6.5703125" bestFit="1" customWidth="1"/>
    <col min="331" max="331" width="11.85546875" bestFit="1" customWidth="1"/>
    <col min="332" max="343" width="5.5703125" bestFit="1" customWidth="1"/>
    <col min="344" max="345" width="6.5703125" bestFit="1" customWidth="1"/>
    <col min="346" max="346" width="7.5703125" bestFit="1" customWidth="1"/>
    <col min="347" max="347" width="4.85546875" bestFit="1" customWidth="1"/>
    <col min="348" max="348" width="7.5703125" bestFit="1" customWidth="1"/>
    <col min="349" max="349" width="4.85546875" bestFit="1" customWidth="1"/>
    <col min="350" max="350" width="5.5703125" bestFit="1" customWidth="1"/>
    <col min="351" max="351" width="7.5703125" bestFit="1" customWidth="1"/>
    <col min="352" max="352" width="4.85546875" bestFit="1" customWidth="1"/>
    <col min="353" max="353" width="7.5703125" bestFit="1" customWidth="1"/>
    <col min="354" max="360" width="5.5703125" bestFit="1" customWidth="1"/>
    <col min="361" max="361" width="7.5703125" bestFit="1" customWidth="1"/>
    <col min="362" max="362" width="4.85546875" bestFit="1" customWidth="1"/>
    <col min="363" max="363" width="4.5703125" bestFit="1" customWidth="1"/>
    <col min="364" max="366" width="5.5703125" bestFit="1" customWidth="1"/>
    <col min="367" max="367" width="7.5703125" bestFit="1" customWidth="1"/>
    <col min="368" max="368" width="4.85546875" bestFit="1" customWidth="1"/>
    <col min="369" max="369" width="7.5703125" bestFit="1" customWidth="1"/>
    <col min="370" max="370" width="11.85546875" bestFit="1" customWidth="1"/>
    <col min="371" max="371" width="14.28515625" bestFit="1" customWidth="1"/>
    <col min="372" max="373" width="5.5703125" bestFit="1" customWidth="1"/>
    <col min="374" max="374" width="7.5703125" bestFit="1" customWidth="1"/>
    <col min="375" max="375" width="5.5703125" bestFit="1" customWidth="1"/>
    <col min="376" max="376" width="7.5703125" bestFit="1" customWidth="1"/>
    <col min="377" max="379" width="5.5703125" bestFit="1" customWidth="1"/>
    <col min="380" max="380" width="7.5703125" bestFit="1" customWidth="1"/>
    <col min="381" max="381" width="6.85546875" bestFit="1" customWidth="1"/>
    <col min="383" max="383" width="5.5703125" bestFit="1" customWidth="1"/>
    <col min="384" max="384" width="7.5703125" bestFit="1" customWidth="1"/>
    <col min="385" max="385" width="4.85546875" bestFit="1" customWidth="1"/>
    <col min="386" max="386" width="7.5703125" bestFit="1" customWidth="1"/>
    <col min="387" max="388" width="5.5703125" bestFit="1" customWidth="1"/>
    <col min="389" max="389" width="6.5703125" bestFit="1" customWidth="1"/>
    <col min="390" max="390" width="7.5703125" bestFit="1" customWidth="1"/>
    <col min="391" max="391" width="5.5703125" bestFit="1" customWidth="1"/>
    <col min="392" max="392" width="7.5703125" bestFit="1" customWidth="1"/>
    <col min="393" max="393" width="6.5703125" bestFit="1" customWidth="1"/>
    <col min="394" max="394" width="7.5703125" bestFit="1" customWidth="1"/>
    <col min="395" max="396" width="5.5703125" bestFit="1" customWidth="1"/>
    <col min="397" max="397" width="6.5703125" bestFit="1" customWidth="1"/>
    <col min="398" max="398" width="7.5703125" bestFit="1" customWidth="1"/>
    <col min="399" max="399" width="5.5703125" bestFit="1" customWidth="1"/>
    <col min="400" max="400" width="7.5703125" bestFit="1" customWidth="1"/>
    <col min="401" max="401" width="4.85546875" bestFit="1" customWidth="1"/>
    <col min="402" max="402" width="7.5703125" bestFit="1" customWidth="1"/>
    <col min="403" max="403" width="11.85546875" bestFit="1" customWidth="1"/>
    <col min="404" max="404" width="14.28515625" bestFit="1" customWidth="1"/>
    <col min="405" max="406" width="6.5703125" bestFit="1" customWidth="1"/>
    <col min="407" max="407" width="7.5703125" bestFit="1" customWidth="1"/>
    <col min="408" max="408" width="4.85546875" bestFit="1" customWidth="1"/>
    <col min="409" max="409" width="5.5703125" bestFit="1" customWidth="1"/>
    <col min="410" max="410" width="7.570312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8" width="5.5703125" bestFit="1" customWidth="1"/>
    <col min="419" max="419" width="7.5703125" bestFit="1" customWidth="1"/>
    <col min="420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6.5703125" bestFit="1" customWidth="1"/>
    <col min="425" max="425" width="7.5703125" bestFit="1" customWidth="1"/>
    <col min="426" max="426" width="5.5703125" bestFit="1" customWidth="1"/>
    <col min="427" max="427" width="7.5703125" bestFit="1" customWidth="1"/>
    <col min="428" max="428" width="5.85546875" bestFit="1" customWidth="1"/>
    <col min="429" max="429" width="8.5703125" bestFit="1" customWidth="1"/>
    <col min="430" max="430" width="9.28515625" bestFit="1" customWidth="1"/>
    <col min="431" max="431" width="12" bestFit="1" customWidth="1"/>
    <col min="432" max="432" width="11.85546875" bestFit="1" customWidth="1"/>
  </cols>
  <sheetData>
    <row r="1" spans="1:9" ht="18.75" x14ac:dyDescent="0.3">
      <c r="B1" s="25" t="s">
        <v>1</v>
      </c>
      <c r="I1" s="2">
        <v>0.2</v>
      </c>
    </row>
    <row r="3" spans="1:9" ht="60" x14ac:dyDescent="0.25">
      <c r="A3" s="1" t="s">
        <v>49</v>
      </c>
      <c r="B3" s="1" t="s">
        <v>53</v>
      </c>
      <c r="C3" s="1" t="s">
        <v>69</v>
      </c>
      <c r="D3" s="1" t="s">
        <v>68</v>
      </c>
      <c r="E3" s="1" t="s">
        <v>66</v>
      </c>
      <c r="F3" s="1" t="s">
        <v>67</v>
      </c>
      <c r="G3" s="1" t="s">
        <v>63</v>
      </c>
      <c r="H3" s="1" t="s">
        <v>62</v>
      </c>
      <c r="I3" s="1" t="s">
        <v>64</v>
      </c>
    </row>
    <row r="4" spans="1:9" ht="30" customHeight="1" x14ac:dyDescent="0.25">
      <c r="A4" s="8" t="s">
        <v>8</v>
      </c>
      <c r="B4" s="3" t="s">
        <v>7</v>
      </c>
      <c r="C4" s="4">
        <v>30</v>
      </c>
      <c r="D4" s="5">
        <f>Таблица4673424[[#This Row],[Закінчення]]-Таблица4673424[[#This Row],[Початк]]+1</f>
        <v>52</v>
      </c>
      <c r="E4" s="11">
        <v>44093</v>
      </c>
      <c r="F4" s="11">
        <v>44144</v>
      </c>
      <c r="G4" s="5">
        <v>6592140</v>
      </c>
      <c r="H4" s="5">
        <f>Таблица4673424[[#This Row],[Кількість днів фактична]]-Таблица4673424[[#This Row],[Кількість днів відповідно до календарного плану]]</f>
        <v>22</v>
      </c>
      <c r="I4" s="5">
        <f>IF(Таблица4673424[[#This Row],[Кількість днів прострочення]]&gt;10,Таблица4673424[[#This Row],[Вартість етапу (грн.)]]*$I$1,0)</f>
        <v>1318428</v>
      </c>
    </row>
    <row r="5" spans="1:9" ht="30" customHeight="1" x14ac:dyDescent="0.25">
      <c r="A5" s="10"/>
      <c r="B5" s="3" t="s">
        <v>65</v>
      </c>
      <c r="C5" s="14"/>
      <c r="D5" s="5">
        <f>Таблица4673424[[#This Row],[Закінчення]]-Таблица4673424[[#This Row],[Початк]]+1</f>
        <v>64</v>
      </c>
      <c r="E5" s="11">
        <v>44145</v>
      </c>
      <c r="F5" s="11">
        <v>44208</v>
      </c>
      <c r="G5" s="5">
        <v>15789312</v>
      </c>
      <c r="H5" s="5"/>
      <c r="I5" s="5"/>
    </row>
    <row r="6" spans="1:9" ht="30" customHeight="1" x14ac:dyDescent="0.25">
      <c r="A6" s="8" t="s">
        <v>10</v>
      </c>
      <c r="B6" s="3" t="s">
        <v>12</v>
      </c>
      <c r="C6" s="4">
        <v>6</v>
      </c>
      <c r="D6" s="5">
        <f>Таблица4673424[[#This Row],[Закінчення]]-Таблица4673424[[#This Row],[Початк]]+1</f>
        <v>16</v>
      </c>
      <c r="E6" s="11">
        <v>44208</v>
      </c>
      <c r="F6" s="11">
        <v>44223</v>
      </c>
      <c r="G6" s="5">
        <v>7462315.2000000002</v>
      </c>
      <c r="H6" s="5">
        <f>Таблица4673424[[#This Row],[Кількість днів фактична]]-Таблица4673424[[#This Row],[Кількість днів відповідно до календарного плану]]</f>
        <v>10</v>
      </c>
      <c r="I6" s="5">
        <f>IF(Таблица4673424[[#This Row],[Кількість днів прострочення]]&gt;10,Таблица4673424[[#This Row],[Вартість етапу (грн.)]]*$I$1,0)</f>
        <v>0</v>
      </c>
    </row>
    <row r="7" spans="1:9" ht="30" customHeight="1" x14ac:dyDescent="0.25">
      <c r="A7" s="8" t="s">
        <v>15</v>
      </c>
      <c r="B7" s="3" t="s">
        <v>13</v>
      </c>
      <c r="C7" s="4">
        <v>52</v>
      </c>
      <c r="D7" s="5">
        <f>Таблица4673424[[#This Row],[Закінчення]]-Таблица4673424[[#This Row],[Початк]]+1</f>
        <v>52</v>
      </c>
      <c r="E7" s="11">
        <v>44223</v>
      </c>
      <c r="F7" s="11">
        <v>44274</v>
      </c>
      <c r="G7" s="5">
        <v>81495132</v>
      </c>
      <c r="H7" s="5">
        <f>Таблица4673424[[#This Row],[Кількість днів фактична]]-Таблица4673424[[#This Row],[Кількість днів відповідно до календарного плану]]</f>
        <v>0</v>
      </c>
      <c r="I7" s="5">
        <f>IF(Таблица4673424[[#This Row],[Кількість днів прострочення]]&gt;10,Таблица4673424[[#This Row],[Вартість етапу (грн.)]]*$I$1,0)</f>
        <v>0</v>
      </c>
    </row>
    <row r="8" spans="1:9" ht="30" customHeight="1" x14ac:dyDescent="0.25">
      <c r="A8" s="8" t="s">
        <v>16</v>
      </c>
      <c r="B8" s="3" t="s">
        <v>14</v>
      </c>
      <c r="C8" s="4">
        <v>99</v>
      </c>
      <c r="D8" s="5">
        <f>Таблица4673424[[#This Row],[Закінчення]]-Таблица4673424[[#This Row],[Початк]]+1</f>
        <v>115</v>
      </c>
      <c r="E8" s="11">
        <v>44274</v>
      </c>
      <c r="F8" s="11">
        <v>44388</v>
      </c>
      <c r="G8" s="5">
        <v>140602046.40000001</v>
      </c>
      <c r="H8" s="5">
        <f>Таблица4673424[[#This Row],[Кількість днів фактична]]-Таблица4673424[[#This Row],[Кількість днів відповідно до календарного плану]]</f>
        <v>16</v>
      </c>
      <c r="I8" s="5">
        <f>IF(Таблица4673424[[#This Row],[Кількість днів прострочення]]&gt;10,Таблица4673424[[#This Row],[Вартість етапу (грн.)]]*$I$1,0)</f>
        <v>28120409.280000001</v>
      </c>
    </row>
    <row r="9" spans="1:9" ht="30" customHeight="1" x14ac:dyDescent="0.25">
      <c r="A9" s="8" t="s">
        <v>18</v>
      </c>
      <c r="B9" s="3" t="s">
        <v>17</v>
      </c>
      <c r="C9" s="4">
        <v>61</v>
      </c>
      <c r="D9" s="5">
        <f>Таблица4673424[[#This Row],[Закінчення]]-Таблица4673424[[#This Row],[Початк]]+1</f>
        <v>49</v>
      </c>
      <c r="E9" s="11">
        <v>44388</v>
      </c>
      <c r="F9" s="11">
        <v>44436</v>
      </c>
      <c r="G9" s="5">
        <v>81960556.799999997</v>
      </c>
      <c r="H9" s="5">
        <f>Таблица4673424[[#This Row],[Кількість днів фактична]]-Таблица4673424[[#This Row],[Кількість днів відповідно до календарного плану]]</f>
        <v>-12</v>
      </c>
      <c r="I9" s="5">
        <f>IF(Таблица4673424[[#This Row],[Кількість днів прострочення]]&gt;10,Таблица4673424[[#This Row],[Вартість етапу (грн.)]]*$I$1,0)</f>
        <v>0</v>
      </c>
    </row>
    <row r="10" spans="1:9" ht="30" customHeight="1" x14ac:dyDescent="0.25">
      <c r="A10" s="8" t="s">
        <v>19</v>
      </c>
      <c r="B10" s="3" t="s">
        <v>55</v>
      </c>
      <c r="C10" s="4">
        <v>104</v>
      </c>
      <c r="D10" s="5">
        <f>Таблица4673424[[#This Row],[Закінчення]]-Таблица4673424[[#This Row],[Початк]]+1</f>
        <v>116</v>
      </c>
      <c r="E10" s="11">
        <v>44436</v>
      </c>
      <c r="F10" s="11">
        <v>44551</v>
      </c>
      <c r="G10" s="5">
        <v>208502928.47999999</v>
      </c>
      <c r="H10" s="5">
        <f>Таблица4673424[[#This Row],[Кількість днів фактична]]-Таблица4673424[[#This Row],[Кількість днів відповідно до календарного плану]]</f>
        <v>12</v>
      </c>
      <c r="I10" s="5">
        <f>IF(Таблица4673424[[#This Row],[Кількість днів прострочення]]&gt;10,Таблица4673424[[#This Row],[Вартість етапу (грн.)]]*$I$1,0)</f>
        <v>41700585.696000002</v>
      </c>
    </row>
    <row r="11" spans="1:9" ht="30" customHeight="1" x14ac:dyDescent="0.25">
      <c r="A11" s="8" t="s">
        <v>20</v>
      </c>
      <c r="B11" s="3" t="s">
        <v>21</v>
      </c>
      <c r="C11" s="4">
        <v>18</v>
      </c>
      <c r="D11" s="5">
        <f>Таблица4673424[[#This Row],[Закінчення]]-Таблица4673424[[#This Row],[Початк]]+1</f>
        <v>12</v>
      </c>
      <c r="E11" s="11">
        <v>44551</v>
      </c>
      <c r="F11" s="11">
        <v>44562</v>
      </c>
      <c r="G11" s="5">
        <v>39590618.399999999</v>
      </c>
      <c r="H11" s="5">
        <f>Таблица4673424[[#This Row],[Кількість днів фактична]]-Таблица4673424[[#This Row],[Кількість днів відповідно до календарного плану]]</f>
        <v>-6</v>
      </c>
      <c r="I11" s="5">
        <f>IF(Таблица4673424[[#This Row],[Кількість днів прострочення]]&gt;10,Таблица4673424[[#This Row],[Вартість етапу (грн.)]]*$I$1,0)</f>
        <v>0</v>
      </c>
    </row>
    <row r="12" spans="1:9" ht="30" customHeight="1" x14ac:dyDescent="0.25">
      <c r="A12" s="8" t="s">
        <v>11</v>
      </c>
      <c r="B12" s="3" t="s">
        <v>9</v>
      </c>
      <c r="C12" s="4">
        <v>30</v>
      </c>
      <c r="D12" s="5">
        <f>Таблица4673424[[#This Row],[Закінчення]]-Таблица4673424[[#This Row],[Початк]]+1</f>
        <v>12</v>
      </c>
      <c r="E12" s="11">
        <v>44562</v>
      </c>
      <c r="F12" s="79" t="s">
        <v>36</v>
      </c>
      <c r="G12" s="5">
        <v>3022908</v>
      </c>
      <c r="H12" s="5">
        <f>Таблица4673424[[#This Row],[Кількість днів фактична]]-Таблица4673424[[#This Row],[Кількість днів відповідно до календарного плану]]</f>
        <v>-18</v>
      </c>
      <c r="I12" s="5">
        <f>IF(Таблица4673424[[#This Row],[Кількість днів прострочення]]&gt;10,Таблица4673424[[#This Row],[Вартість етапу (грн.)]]*$I$1,0)</f>
        <v>0</v>
      </c>
    </row>
    <row r="13" spans="1:9" ht="30" customHeight="1" x14ac:dyDescent="0.25">
      <c r="A13" s="41"/>
      <c r="B13" s="41"/>
      <c r="C13" s="42">
        <f>SUBTOTAL(109,Таблица4673424[Кількість днів відповідно до календарного плану])</f>
        <v>400</v>
      </c>
      <c r="D13" s="43">
        <f>SUBTOTAL(109,Таблица4673424[Кількість днів фактична])</f>
        <v>488</v>
      </c>
      <c r="E13" s="41"/>
      <c r="F13" s="41"/>
      <c r="G13" s="43">
        <f>SUBTOTAL(109,Таблица4673424[Вартість етапу (грн.)])</f>
        <v>585017957.27999997</v>
      </c>
      <c r="H13" s="43">
        <f>SUBTOTAL(109,Таблица4673424[Кількість днів прострочення])</f>
        <v>24</v>
      </c>
      <c r="I13" s="43">
        <f>SUBTOTAL(109,Таблица4673424[Сума неустойки в розмірі 20% від вартості етапу робіт (грн.)])</f>
        <v>71139422.976000011</v>
      </c>
    </row>
  </sheetData>
  <phoneticPr fontId="17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H6:H11 H12:I12 I6:I11 H4:I4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10BD-CF42-4DDA-96E1-509A713A33EB}">
  <sheetPr>
    <pageSetUpPr fitToPage="1"/>
  </sheetPr>
  <dimension ref="A1:I11"/>
  <sheetViews>
    <sheetView workbookViewId="0">
      <selection activeCell="F5" sqref="F5"/>
    </sheetView>
  </sheetViews>
  <sheetFormatPr defaultRowHeight="15" x14ac:dyDescent="0.25"/>
  <cols>
    <col min="1" max="1" width="9.85546875" customWidth="1"/>
    <col min="2" max="2" width="41.85546875" customWidth="1"/>
    <col min="3" max="6" width="14.5703125" customWidth="1"/>
    <col min="7" max="7" width="16.5703125" customWidth="1"/>
    <col min="8" max="8" width="14.5703125" customWidth="1"/>
    <col min="9" max="9" width="21" customWidth="1"/>
    <col min="10" max="10" width="4" bestFit="1" customWidth="1"/>
    <col min="11" max="17" width="2" bestFit="1" customWidth="1"/>
    <col min="18" max="18" width="4" bestFit="1" customWidth="1"/>
    <col min="19" max="19" width="3" bestFit="1" customWidth="1"/>
    <col min="20" max="20" width="5" bestFit="1" customWidth="1"/>
    <col min="21" max="24" width="3" bestFit="1" customWidth="1"/>
    <col min="25" max="25" width="5" bestFit="1" customWidth="1"/>
    <col min="26" max="28" width="3" bestFit="1" customWidth="1"/>
    <col min="29" max="29" width="5" bestFit="1" customWidth="1"/>
    <col min="30" max="30" width="10" bestFit="1" customWidth="1"/>
    <col min="31" max="44" width="3" bestFit="1" customWidth="1"/>
    <col min="45" max="45" width="10" bestFit="1" customWidth="1"/>
    <col min="46" max="48" width="3" bestFit="1" customWidth="1"/>
    <col min="49" max="49" width="5" bestFit="1" customWidth="1"/>
    <col min="50" max="57" width="3" bestFit="1" customWidth="1"/>
    <col min="58" max="58" width="10" bestFit="1" customWidth="1"/>
    <col min="59" max="68" width="3" bestFit="1" customWidth="1"/>
    <col min="69" max="69" width="4" bestFit="1" customWidth="1"/>
    <col min="70" max="70" width="7.42578125" bestFit="1" customWidth="1"/>
    <col min="71" max="71" width="11.85546875" bestFit="1" customWidth="1"/>
    <col min="72" max="123" width="4.5703125" bestFit="1" customWidth="1"/>
    <col min="124" max="314" width="5.5703125" bestFit="1" customWidth="1"/>
    <col min="315" max="330" width="6.5703125" bestFit="1" customWidth="1"/>
    <col min="331" max="331" width="11.85546875" bestFit="1" customWidth="1"/>
    <col min="332" max="343" width="5.5703125" bestFit="1" customWidth="1"/>
    <col min="344" max="345" width="6.5703125" bestFit="1" customWidth="1"/>
    <col min="346" max="346" width="7.5703125" bestFit="1" customWidth="1"/>
    <col min="347" max="347" width="4.85546875" bestFit="1" customWidth="1"/>
    <col min="348" max="348" width="7.5703125" bestFit="1" customWidth="1"/>
    <col min="349" max="349" width="4.85546875" bestFit="1" customWidth="1"/>
    <col min="350" max="350" width="5.5703125" bestFit="1" customWidth="1"/>
    <col min="351" max="351" width="7.5703125" bestFit="1" customWidth="1"/>
    <col min="352" max="352" width="4.85546875" bestFit="1" customWidth="1"/>
    <col min="353" max="353" width="7.5703125" bestFit="1" customWidth="1"/>
    <col min="354" max="360" width="5.5703125" bestFit="1" customWidth="1"/>
    <col min="361" max="361" width="7.5703125" bestFit="1" customWidth="1"/>
    <col min="362" max="362" width="4.85546875" bestFit="1" customWidth="1"/>
    <col min="363" max="363" width="4.5703125" bestFit="1" customWidth="1"/>
    <col min="364" max="366" width="5.5703125" bestFit="1" customWidth="1"/>
    <col min="367" max="367" width="7.5703125" bestFit="1" customWidth="1"/>
    <col min="368" max="368" width="4.85546875" bestFit="1" customWidth="1"/>
    <col min="369" max="369" width="7.5703125" bestFit="1" customWidth="1"/>
    <col min="370" max="370" width="11.85546875" bestFit="1" customWidth="1"/>
    <col min="371" max="371" width="14.28515625" bestFit="1" customWidth="1"/>
    <col min="372" max="373" width="5.5703125" bestFit="1" customWidth="1"/>
    <col min="374" max="374" width="7.5703125" bestFit="1" customWidth="1"/>
    <col min="375" max="375" width="5.5703125" bestFit="1" customWidth="1"/>
    <col min="376" max="376" width="7.5703125" bestFit="1" customWidth="1"/>
    <col min="377" max="379" width="5.5703125" bestFit="1" customWidth="1"/>
    <col min="380" max="380" width="7.5703125" bestFit="1" customWidth="1"/>
    <col min="381" max="381" width="6.85546875" bestFit="1" customWidth="1"/>
    <col min="383" max="383" width="5.5703125" bestFit="1" customWidth="1"/>
    <col min="384" max="384" width="7.5703125" bestFit="1" customWidth="1"/>
    <col min="385" max="385" width="4.85546875" bestFit="1" customWidth="1"/>
    <col min="386" max="386" width="7.5703125" bestFit="1" customWidth="1"/>
    <col min="387" max="388" width="5.5703125" bestFit="1" customWidth="1"/>
    <col min="389" max="389" width="6.5703125" bestFit="1" customWidth="1"/>
    <col min="390" max="390" width="7.5703125" bestFit="1" customWidth="1"/>
    <col min="391" max="391" width="5.5703125" bestFit="1" customWidth="1"/>
    <col min="392" max="392" width="7.5703125" bestFit="1" customWidth="1"/>
    <col min="393" max="393" width="6.5703125" bestFit="1" customWidth="1"/>
    <col min="394" max="394" width="7.5703125" bestFit="1" customWidth="1"/>
    <col min="395" max="396" width="5.5703125" bestFit="1" customWidth="1"/>
    <col min="397" max="397" width="6.5703125" bestFit="1" customWidth="1"/>
    <col min="398" max="398" width="7.5703125" bestFit="1" customWidth="1"/>
    <col min="399" max="399" width="5.5703125" bestFit="1" customWidth="1"/>
    <col min="400" max="400" width="7.5703125" bestFit="1" customWidth="1"/>
    <col min="401" max="401" width="4.85546875" bestFit="1" customWidth="1"/>
    <col min="402" max="402" width="7.5703125" bestFit="1" customWidth="1"/>
    <col min="403" max="403" width="11.85546875" bestFit="1" customWidth="1"/>
    <col min="404" max="404" width="14.28515625" bestFit="1" customWidth="1"/>
    <col min="405" max="406" width="6.5703125" bestFit="1" customWidth="1"/>
    <col min="407" max="407" width="7.5703125" bestFit="1" customWidth="1"/>
    <col min="408" max="408" width="4.85546875" bestFit="1" customWidth="1"/>
    <col min="409" max="409" width="5.5703125" bestFit="1" customWidth="1"/>
    <col min="410" max="410" width="7.570312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8" width="5.5703125" bestFit="1" customWidth="1"/>
    <col min="419" max="419" width="7.5703125" bestFit="1" customWidth="1"/>
    <col min="420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6.5703125" bestFit="1" customWidth="1"/>
    <col min="425" max="425" width="7.5703125" bestFit="1" customWidth="1"/>
    <col min="426" max="426" width="5.5703125" bestFit="1" customWidth="1"/>
    <col min="427" max="427" width="7.5703125" bestFit="1" customWidth="1"/>
    <col min="428" max="428" width="5.85546875" bestFit="1" customWidth="1"/>
    <col min="429" max="429" width="8.5703125" bestFit="1" customWidth="1"/>
    <col min="430" max="430" width="9.28515625" bestFit="1" customWidth="1"/>
    <col min="431" max="431" width="12" bestFit="1" customWidth="1"/>
    <col min="432" max="432" width="11.85546875" bestFit="1" customWidth="1"/>
  </cols>
  <sheetData>
    <row r="1" spans="1:9" ht="18.75" x14ac:dyDescent="0.3">
      <c r="B1" s="34" t="s">
        <v>0</v>
      </c>
      <c r="I1" s="2">
        <v>0.2</v>
      </c>
    </row>
    <row r="3" spans="1:9" ht="60" x14ac:dyDescent="0.25">
      <c r="A3" s="1" t="s">
        <v>49</v>
      </c>
      <c r="B3" s="1" t="s">
        <v>53</v>
      </c>
      <c r="C3" s="1" t="s">
        <v>69</v>
      </c>
      <c r="D3" s="1" t="s">
        <v>68</v>
      </c>
      <c r="E3" s="1" t="s">
        <v>66</v>
      </c>
      <c r="F3" s="1" t="s">
        <v>67</v>
      </c>
      <c r="G3" s="1" t="s">
        <v>63</v>
      </c>
      <c r="H3" s="1" t="s">
        <v>62</v>
      </c>
      <c r="I3" s="1" t="s">
        <v>64</v>
      </c>
    </row>
    <row r="4" spans="1:9" ht="30" customHeight="1" x14ac:dyDescent="0.25">
      <c r="A4" s="9" t="s">
        <v>8</v>
      </c>
      <c r="B4" s="80" t="s">
        <v>7</v>
      </c>
      <c r="C4" s="6">
        <v>90</v>
      </c>
      <c r="D4" s="7">
        <f>Таблица46734248[[#This Row],[Закінчення]]-Таблица46734248[[#This Row],[Початк]]+1</f>
        <v>79</v>
      </c>
      <c r="E4" s="13">
        <v>43742</v>
      </c>
      <c r="F4" s="13">
        <v>43820</v>
      </c>
      <c r="G4" s="7">
        <v>8918658</v>
      </c>
      <c r="H4" s="7">
        <f>Таблица46734248[[#This Row],[Кількість днів фактична]]-Таблица46734248[[#This Row],[Кількість днів відповідно до календарного плану]]</f>
        <v>-11</v>
      </c>
      <c r="I4" s="7">
        <f>IF(Таблица46734248[[#This Row],[Кількість днів прострочення]]&gt;10,Таблица46734248[[#This Row],[Вартість етапу (грн.)]]*$I$1,0)</f>
        <v>0</v>
      </c>
    </row>
    <row r="5" spans="1:9" ht="30" customHeight="1" x14ac:dyDescent="0.25">
      <c r="A5" s="9" t="s">
        <v>10</v>
      </c>
      <c r="B5" s="80" t="s">
        <v>26</v>
      </c>
      <c r="C5" s="81">
        <v>4</v>
      </c>
      <c r="D5" s="7">
        <f>Таблица46734248[[#This Row],[Закінчення]]-Таблица46734248[[#This Row],[Початк]]+1</f>
        <v>8</v>
      </c>
      <c r="E5" s="13">
        <v>43820</v>
      </c>
      <c r="F5" s="13">
        <v>43827</v>
      </c>
      <c r="G5" s="7">
        <v>6876828</v>
      </c>
      <c r="H5" s="7">
        <f>Таблица46734248[[#This Row],[Кількість днів фактична]]-Таблица46734248[[#This Row],[Кількість днів відповідно до календарного плану]]</f>
        <v>4</v>
      </c>
      <c r="I5" s="7">
        <f>IF(Таблица46734248[[#This Row],[Кількість днів прострочення]]&gt;10,Таблица46734248[[#This Row],[Вартість етапу (грн.)]]*$I$1,0)</f>
        <v>0</v>
      </c>
    </row>
    <row r="6" spans="1:9" ht="30" customHeight="1" x14ac:dyDescent="0.25">
      <c r="A6" s="9" t="s">
        <v>15</v>
      </c>
      <c r="B6" s="80" t="s">
        <v>25</v>
      </c>
      <c r="C6" s="6">
        <v>33</v>
      </c>
      <c r="D6" s="7">
        <f>Таблица46734248[[#This Row],[Закінчення]]-Таблица46734248[[#This Row],[Початк]]+1</f>
        <v>32</v>
      </c>
      <c r="E6" s="13">
        <v>43880</v>
      </c>
      <c r="F6" s="13">
        <v>43911</v>
      </c>
      <c r="G6" s="7">
        <v>34059564</v>
      </c>
      <c r="H6" s="7">
        <f>Таблица46734248[[#This Row],[Кількість днів фактична]]-Таблица46734248[[#This Row],[Кількість днів відповідно до календарного плану]]</f>
        <v>-1</v>
      </c>
      <c r="I6" s="7">
        <f>IF(Таблица46734248[[#This Row],[Кількість днів прострочення]]&gt;10,Таблица46734248[[#This Row],[Вартість етапу (грн.)]]*$I$1,0)</f>
        <v>0</v>
      </c>
    </row>
    <row r="7" spans="1:9" ht="30" customHeight="1" x14ac:dyDescent="0.25">
      <c r="A7" s="9" t="s">
        <v>16</v>
      </c>
      <c r="B7" s="80" t="s">
        <v>24</v>
      </c>
      <c r="C7" s="6">
        <v>77</v>
      </c>
      <c r="D7" s="7">
        <f>Таблица46734248[[#This Row],[Закінчення]]-Таблица46734248[[#This Row],[Початк]]+1</f>
        <v>57</v>
      </c>
      <c r="E7" s="13">
        <v>43911</v>
      </c>
      <c r="F7" s="13">
        <v>43967</v>
      </c>
      <c r="G7" s="7">
        <v>79751952</v>
      </c>
      <c r="H7" s="7">
        <f>Таблица46734248[[#This Row],[Кількість днів фактична]]-Таблица46734248[[#This Row],[Кількість днів відповідно до календарного плану]]</f>
        <v>-20</v>
      </c>
      <c r="I7" s="7">
        <f>IF(Таблица46734248[[#This Row],[Кількість днів прострочення]]&gt;10,Таблица46734248[[#This Row],[Вартість етапу (грн.)]]*$I$1,0)</f>
        <v>0</v>
      </c>
    </row>
    <row r="8" spans="1:9" ht="30" customHeight="1" x14ac:dyDescent="0.25">
      <c r="A8" s="9" t="s">
        <v>18</v>
      </c>
      <c r="B8" s="80" t="s">
        <v>23</v>
      </c>
      <c r="C8" s="6">
        <v>40</v>
      </c>
      <c r="D8" s="7">
        <f>Таблица46734248[[#This Row],[Закінчення]]-Таблица46734248[[#This Row],[Початк]]+1</f>
        <v>33</v>
      </c>
      <c r="E8" s="13">
        <v>43967</v>
      </c>
      <c r="F8" s="13">
        <v>43999</v>
      </c>
      <c r="G8" s="7">
        <v>30398634</v>
      </c>
      <c r="H8" s="7">
        <f>Таблица46734248[[#This Row],[Кількість днів фактична]]-Таблица46734248[[#This Row],[Кількість днів відповідно до календарного плану]]</f>
        <v>-7</v>
      </c>
      <c r="I8" s="7">
        <f>IF(Таблица46734248[[#This Row],[Кількість днів прострочення]]&gt;10,Таблица46734248[[#This Row],[Вартість етапу (грн.)]]*$I$1,0)</f>
        <v>0</v>
      </c>
    </row>
    <row r="9" spans="1:9" ht="30" customHeight="1" x14ac:dyDescent="0.25">
      <c r="A9" s="9" t="s">
        <v>19</v>
      </c>
      <c r="B9" s="80" t="s">
        <v>22</v>
      </c>
      <c r="C9" s="6">
        <v>97</v>
      </c>
      <c r="D9" s="7">
        <f>Таблица46734248[[#This Row],[Закінчення]]-Таблица46734248[[#This Row],[Початк]]+1</f>
        <v>432</v>
      </c>
      <c r="E9" s="13">
        <v>43999</v>
      </c>
      <c r="F9" s="13">
        <v>44430</v>
      </c>
      <c r="G9" s="7">
        <v>292928580</v>
      </c>
      <c r="H9" s="7">
        <f>Таблица46734248[[#This Row],[Кількість днів фактична]]-Таблица46734248[[#This Row],[Кількість днів відповідно до календарного плану]]</f>
        <v>335</v>
      </c>
      <c r="I9" s="7">
        <f>IF(Таблица46734248[[#This Row],[Кількість днів прострочення]]&gt;10,Таблица46734248[[#This Row],[Вартість етапу (грн.)]]*$I$1,0)</f>
        <v>58585716</v>
      </c>
    </row>
    <row r="10" spans="1:9" ht="30" customHeight="1" x14ac:dyDescent="0.25">
      <c r="A10" s="9" t="s">
        <v>20</v>
      </c>
      <c r="B10" s="80" t="s">
        <v>9</v>
      </c>
      <c r="C10" s="6">
        <v>40</v>
      </c>
      <c r="D10" s="7">
        <f>Таблица46734248[[#This Row],[Закінчення]]-Таблица46734248[[#This Row],[Початк]]+1</f>
        <v>14</v>
      </c>
      <c r="E10" s="13">
        <v>44430</v>
      </c>
      <c r="F10" s="82">
        <v>44443</v>
      </c>
      <c r="G10" s="7">
        <v>4515588</v>
      </c>
      <c r="H10" s="7">
        <f>Таблица46734248[[#This Row],[Кількість днів фактична]]-Таблица46734248[[#This Row],[Кількість днів відповідно до календарного плану]]</f>
        <v>-26</v>
      </c>
      <c r="I10" s="7">
        <f>IF(Таблица46734248[[#This Row],[Кількість днів прострочення]]&gt;10,Таблица46734248[[#This Row],[Вартість етапу (грн.)]]*$I$1,0)</f>
        <v>0</v>
      </c>
    </row>
    <row r="11" spans="1:9" ht="30" customHeight="1" x14ac:dyDescent="0.25">
      <c r="A11" s="83"/>
      <c r="B11" s="83"/>
      <c r="C11" s="84">
        <f>SUBTOTAL(109,Таблица46734248[Кількість днів відповідно до календарного плану])</f>
        <v>381</v>
      </c>
      <c r="D11" s="85">
        <f>SUBTOTAL(109,Таблица46734248[Кількість днів фактична])</f>
        <v>655</v>
      </c>
      <c r="E11" s="83"/>
      <c r="F11" s="83"/>
      <c r="G11" s="85">
        <f>SUBTOTAL(109,Таблица46734248[Вартість етапу (грн.)])</f>
        <v>457449804</v>
      </c>
      <c r="H11" s="85">
        <f>SUBTOTAL(109,Таблица46734248[Кількість днів прострочення])</f>
        <v>274</v>
      </c>
      <c r="I11" s="85">
        <f>SUBTOTAL(109,Таблица46734248[Сума неустойки в розмірі 20% від вартості етапу робіт (грн.)])</f>
        <v>58585716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I4:I5 H4:H5 I6:I10 H6:H10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PUGC</vt:lpstr>
      <vt:lpstr>лист (2)</vt:lpstr>
      <vt:lpstr>48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2023-01-09T20:22:56Z</cp:lastPrinted>
  <dcterms:created xsi:type="dcterms:W3CDTF">2017-11-03T12:47:52Z</dcterms:created>
  <dcterms:modified xsi:type="dcterms:W3CDTF">2023-01-10T15:28:51Z</dcterms:modified>
</cp:coreProperties>
</file>