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D:\PCMDB\reporting\"/>
    </mc:Choice>
  </mc:AlternateContent>
  <xr:revisionPtr revIDLastSave="0" documentId="13_ncr:1_{2195EDB8-2229-436B-B538-53638B6D44AB}" xr6:coauthVersionLast="47" xr6:coauthVersionMax="47" xr10:uidLastSave="{00000000-0000-0000-0000-000000000000}"/>
  <bookViews>
    <workbookView xWindow="-120" yWindow="-120" windowWidth="29040" windowHeight="15720" firstSheet="1" activeTab="6" xr2:uid="{48B3DBE0-D8D5-4DCC-97E9-8D56066B7B4E}"/>
  </bookViews>
  <sheets>
    <sheet name="ітого" sheetId="13" r:id="rId1"/>
    <sheet name="общие затрати" sheetId="2" r:id="rId2"/>
    <sheet name="карайкози 51" sheetId="4" r:id="rId3"/>
    <sheet name="клубани 3" sheetId="3" r:id="rId4"/>
    <sheet name="водяновка 10" sheetId="5" r:id="rId5"/>
    <sheet name="дубренки 3" sheetId="7" r:id="rId6"/>
    <sheet name="карайкози 52" sheetId="6" r:id="rId7"/>
    <sheet name="КРСи" sheetId="8" r:id="rId8"/>
    <sheet name="04" sheetId="9" r:id="rId9"/>
    <sheet name="03" sheetId="10" r:id="rId10"/>
    <sheet name="02" sheetId="11" r:id="rId11"/>
    <sheet name="01" sheetId="12" r:id="rId12"/>
    <sheet name="всего" sheetId="1" r:id="rId13"/>
  </sheets>
  <externalReferences>
    <externalReference r:id="rId14"/>
    <externalReference r:id="rId15"/>
    <externalReference r:id="rId16"/>
    <externalReference r:id="rId17"/>
  </externalReferences>
  <definedNames>
    <definedName name="_xlnm.Print_Area" localSheetId="11">'01'!$A$1:$Q$48</definedName>
    <definedName name="_xlnm.Print_Area" localSheetId="10">'02'!$A$1:$T$47</definedName>
    <definedName name="_xlnm.Print_Area" localSheetId="9">'03'!$A$1:$M$43</definedName>
    <definedName name="_xlnm.Print_Area" localSheetId="8">'04'!$A$1:$AA$48</definedName>
    <definedName name="_xlnm.Print_Area" localSheetId="12">всего!$A$1:$R$36</definedName>
    <definedName name="_xlnm.Print_Area" localSheetId="1">'общие затрати'!$A$1:$N$36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6" l="1"/>
  <c r="C33" i="6"/>
  <c r="C32" i="6"/>
  <c r="C18" i="6"/>
  <c r="C26" i="6" l="1"/>
  <c r="C19" i="6"/>
  <c r="C8" i="6"/>
  <c r="C34" i="5"/>
  <c r="C33" i="5"/>
  <c r="C43" i="5"/>
  <c r="C45" i="5" l="1"/>
  <c r="C19" i="5" l="1"/>
  <c r="C18" i="5"/>
  <c r="C8" i="5"/>
  <c r="C36" i="5" l="1"/>
  <c r="C34" i="7"/>
  <c r="C33" i="7"/>
  <c r="C18" i="7"/>
  <c r="C8" i="7"/>
  <c r="C36" i="7" l="1"/>
  <c r="C36" i="6" l="1"/>
  <c r="C34" i="3" l="1"/>
  <c r="C19" i="3" l="1"/>
  <c r="C18" i="3"/>
  <c r="C8" i="3"/>
  <c r="C36" i="3" l="1"/>
  <c r="C34" i="4"/>
  <c r="C36" i="4"/>
  <c r="C32" i="4"/>
  <c r="C33" i="4"/>
  <c r="F35" i="3" l="1"/>
  <c r="F34" i="3"/>
  <c r="F33" i="3"/>
  <c r="F32" i="3"/>
  <c r="F31" i="3"/>
  <c r="F30" i="3"/>
  <c r="F29" i="3"/>
  <c r="F28" i="3"/>
  <c r="F27" i="3"/>
  <c r="F26" i="3"/>
  <c r="F25" i="3"/>
  <c r="D25" i="3" s="1"/>
  <c r="F24" i="3"/>
  <c r="D24" i="3" s="1"/>
  <c r="F23" i="3"/>
  <c r="D23" i="3" s="1"/>
  <c r="F22" i="3"/>
  <c r="D22" i="3" s="1"/>
  <c r="F21" i="3"/>
  <c r="D21" i="3" s="1"/>
  <c r="F20" i="3"/>
  <c r="D20" i="3" s="1"/>
  <c r="F19" i="3"/>
  <c r="F18" i="3"/>
  <c r="F17" i="3"/>
  <c r="F16" i="3"/>
  <c r="F8" i="3"/>
  <c r="I36" i="8"/>
  <c r="H36" i="8"/>
  <c r="G36" i="8"/>
  <c r="F36" i="8"/>
  <c r="E36" i="8"/>
  <c r="C36" i="8" s="1"/>
  <c r="D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8" i="8"/>
  <c r="J36" i="7"/>
  <c r="I36" i="7"/>
  <c r="H36" i="7"/>
  <c r="G36" i="7"/>
  <c r="F36" i="7"/>
  <c r="E36" i="7"/>
  <c r="D36" i="7" s="1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8" i="7"/>
  <c r="J36" i="6"/>
  <c r="I36" i="6"/>
  <c r="H36" i="6"/>
  <c r="G36" i="6"/>
  <c r="F36" i="6"/>
  <c r="E36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8" i="6"/>
  <c r="J36" i="5"/>
  <c r="I36" i="5"/>
  <c r="H36" i="5"/>
  <c r="G36" i="5"/>
  <c r="F36" i="5"/>
  <c r="E36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8" i="5"/>
  <c r="J36" i="3"/>
  <c r="I36" i="3"/>
  <c r="H36" i="3"/>
  <c r="G36" i="3"/>
  <c r="D35" i="3"/>
  <c r="D34" i="3"/>
  <c r="D33" i="3"/>
  <c r="D32" i="3"/>
  <c r="D31" i="3"/>
  <c r="D30" i="3"/>
  <c r="D29" i="3"/>
  <c r="D28" i="3"/>
  <c r="D27" i="3"/>
  <c r="D26" i="3"/>
  <c r="D19" i="3"/>
  <c r="D18" i="3"/>
  <c r="D17" i="3"/>
  <c r="D16" i="3"/>
  <c r="F36" i="3"/>
  <c r="D8" i="3"/>
  <c r="C18" i="4"/>
  <c r="C19" i="4"/>
  <c r="C8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8" i="4"/>
  <c r="E36" i="3" l="1"/>
  <c r="D36" i="3" s="1"/>
  <c r="E34" i="4" l="1"/>
  <c r="E32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8" i="4"/>
  <c r="H36" i="4"/>
  <c r="G36" i="4"/>
  <c r="F36" i="4"/>
  <c r="E36" i="4"/>
  <c r="I36" i="4"/>
  <c r="J36" i="4"/>
  <c r="I28" i="2"/>
  <c r="J28" i="2"/>
  <c r="K28" i="2"/>
  <c r="L28" i="2"/>
  <c r="M28" i="2"/>
  <c r="N28" i="2"/>
  <c r="I29" i="2"/>
  <c r="J29" i="2"/>
  <c r="K29" i="2"/>
  <c r="L29" i="2"/>
  <c r="M29" i="2"/>
  <c r="N29" i="2"/>
  <c r="I30" i="2"/>
  <c r="J30" i="2"/>
  <c r="K30" i="2"/>
  <c r="L30" i="2"/>
  <c r="M30" i="2"/>
  <c r="N30" i="2"/>
  <c r="I31" i="2"/>
  <c r="J31" i="2"/>
  <c r="K31" i="2"/>
  <c r="L31" i="2"/>
  <c r="M31" i="2"/>
  <c r="N31" i="2"/>
  <c r="I32" i="2"/>
  <c r="J32" i="2"/>
  <c r="K32" i="2"/>
  <c r="L32" i="2"/>
  <c r="M32" i="2"/>
  <c r="N32" i="2"/>
  <c r="I33" i="2"/>
  <c r="J33" i="2"/>
  <c r="K33" i="2"/>
  <c r="L33" i="2"/>
  <c r="M33" i="2"/>
  <c r="N33" i="2"/>
  <c r="I34" i="2"/>
  <c r="J34" i="2"/>
  <c r="K34" i="2"/>
  <c r="L34" i="2"/>
  <c r="M34" i="2"/>
  <c r="N34" i="2"/>
  <c r="I35" i="2"/>
  <c r="J35" i="2"/>
  <c r="K35" i="2"/>
  <c r="L35" i="2"/>
  <c r="M35" i="2"/>
  <c r="N35" i="2"/>
  <c r="I36" i="2"/>
  <c r="J36" i="2"/>
  <c r="K36" i="2"/>
  <c r="L36" i="2"/>
  <c r="M36" i="2"/>
  <c r="N36" i="2"/>
  <c r="J27" i="2"/>
  <c r="K27" i="2"/>
  <c r="L27" i="2"/>
  <c r="M27" i="2"/>
  <c r="N27" i="2"/>
  <c r="J5" i="2"/>
  <c r="K5" i="2"/>
  <c r="L5" i="2"/>
  <c r="M5" i="2"/>
  <c r="N5" i="2"/>
  <c r="J4" i="2"/>
  <c r="K4" i="2"/>
  <c r="L4" i="2"/>
  <c r="M4" i="2"/>
  <c r="N4" i="2"/>
  <c r="I7" i="2"/>
  <c r="I18" i="2"/>
  <c r="I20" i="2"/>
  <c r="I23" i="2"/>
  <c r="C5" i="2"/>
  <c r="I5" i="2" s="1"/>
  <c r="C6" i="2"/>
  <c r="I6" i="2" s="1"/>
  <c r="C7" i="2"/>
  <c r="C8" i="2"/>
  <c r="I8" i="2" s="1"/>
  <c r="C9" i="2"/>
  <c r="I9" i="2" s="1"/>
  <c r="C10" i="2"/>
  <c r="I10" i="2" s="1"/>
  <c r="C11" i="2"/>
  <c r="I11" i="2" s="1"/>
  <c r="C12" i="2"/>
  <c r="I12" i="2" s="1"/>
  <c r="C13" i="2"/>
  <c r="I13" i="2" s="1"/>
  <c r="C14" i="2"/>
  <c r="I14" i="2" s="1"/>
  <c r="C15" i="2"/>
  <c r="I15" i="2" s="1"/>
  <c r="C16" i="2"/>
  <c r="I16" i="2" s="1"/>
  <c r="C17" i="2"/>
  <c r="I17" i="2" s="1"/>
  <c r="C18" i="2"/>
  <c r="C19" i="2"/>
  <c r="I19" i="2" s="1"/>
  <c r="C20" i="2"/>
  <c r="C21" i="2"/>
  <c r="I21" i="2" s="1"/>
  <c r="C22" i="2"/>
  <c r="I22" i="2" s="1"/>
  <c r="C23" i="2"/>
  <c r="C24" i="2"/>
  <c r="I24" i="2" s="1"/>
  <c r="C25" i="2"/>
  <c r="I25" i="2" s="1"/>
  <c r="C26" i="2"/>
  <c r="I26" i="2" s="1"/>
  <c r="C27" i="2"/>
  <c r="I27" i="2" s="1"/>
  <c r="C28" i="2"/>
  <c r="C29" i="2"/>
  <c r="C30" i="2"/>
  <c r="C31" i="2"/>
  <c r="C32" i="2"/>
  <c r="C33" i="2"/>
  <c r="C34" i="2"/>
  <c r="C35" i="2"/>
  <c r="C4" i="2"/>
  <c r="I4" i="2" s="1"/>
  <c r="G36" i="2"/>
  <c r="F36" i="2"/>
  <c r="D36" i="2"/>
  <c r="C36" i="2" s="1"/>
  <c r="E36" i="2"/>
  <c r="H36" i="2"/>
  <c r="J4" i="13"/>
  <c r="K4" i="13"/>
  <c r="L4" i="13"/>
  <c r="M4" i="13"/>
  <c r="N4" i="13"/>
  <c r="J5" i="13"/>
  <c r="K5" i="13"/>
  <c r="L5" i="13"/>
  <c r="M5" i="13"/>
  <c r="N5" i="13"/>
  <c r="J6" i="13"/>
  <c r="K6" i="13"/>
  <c r="L6" i="13"/>
  <c r="M6" i="13"/>
  <c r="N6" i="13"/>
  <c r="J7" i="13"/>
  <c r="K7" i="13"/>
  <c r="L7" i="13"/>
  <c r="M7" i="13"/>
  <c r="N7" i="13"/>
  <c r="J8" i="13"/>
  <c r="K8" i="13"/>
  <c r="L8" i="13"/>
  <c r="M8" i="13"/>
  <c r="N8" i="13"/>
  <c r="J9" i="13"/>
  <c r="K9" i="13"/>
  <c r="L9" i="13"/>
  <c r="M9" i="13"/>
  <c r="N9" i="13"/>
  <c r="J10" i="13"/>
  <c r="K10" i="13"/>
  <c r="L10" i="13"/>
  <c r="M10" i="13"/>
  <c r="N10" i="13"/>
  <c r="J11" i="13"/>
  <c r="K11" i="13"/>
  <c r="L11" i="13"/>
  <c r="M11" i="13"/>
  <c r="N11" i="13"/>
  <c r="J12" i="13"/>
  <c r="K12" i="13"/>
  <c r="L12" i="13"/>
  <c r="M12" i="13"/>
  <c r="N12" i="13"/>
  <c r="J13" i="13"/>
  <c r="K13" i="13"/>
  <c r="L13" i="13"/>
  <c r="M13" i="13"/>
  <c r="N13" i="13"/>
  <c r="J14" i="13"/>
  <c r="K14" i="13"/>
  <c r="L14" i="13"/>
  <c r="M14" i="13"/>
  <c r="N14" i="13"/>
  <c r="J15" i="13"/>
  <c r="K15" i="13"/>
  <c r="L15" i="13"/>
  <c r="M15" i="13"/>
  <c r="N15" i="13"/>
  <c r="J16" i="13"/>
  <c r="K16" i="13"/>
  <c r="L16" i="13"/>
  <c r="M16" i="13"/>
  <c r="N16" i="13"/>
  <c r="J17" i="13"/>
  <c r="K17" i="13"/>
  <c r="L17" i="13"/>
  <c r="M17" i="13"/>
  <c r="N17" i="13"/>
  <c r="J18" i="13"/>
  <c r="K18" i="13"/>
  <c r="L18" i="13"/>
  <c r="M18" i="13"/>
  <c r="N18" i="13"/>
  <c r="J19" i="13"/>
  <c r="K19" i="13"/>
  <c r="L19" i="13"/>
  <c r="M19" i="13"/>
  <c r="N19" i="13"/>
  <c r="J20" i="13"/>
  <c r="K20" i="13"/>
  <c r="L20" i="13"/>
  <c r="M20" i="13"/>
  <c r="N20" i="13"/>
  <c r="J21" i="13"/>
  <c r="K21" i="13"/>
  <c r="L21" i="13"/>
  <c r="M21" i="13"/>
  <c r="N21" i="13"/>
  <c r="J22" i="13"/>
  <c r="K22" i="13"/>
  <c r="L22" i="13"/>
  <c r="M22" i="13"/>
  <c r="N22" i="13"/>
  <c r="J23" i="13"/>
  <c r="K23" i="13"/>
  <c r="L23" i="13"/>
  <c r="M23" i="13"/>
  <c r="N23" i="13"/>
  <c r="J24" i="13"/>
  <c r="K24" i="13"/>
  <c r="L24" i="13"/>
  <c r="M24" i="13"/>
  <c r="N24" i="13"/>
  <c r="J25" i="13"/>
  <c r="K25" i="13"/>
  <c r="L25" i="13"/>
  <c r="M25" i="13"/>
  <c r="N25" i="13"/>
  <c r="J26" i="13"/>
  <c r="K26" i="13"/>
  <c r="L26" i="13"/>
  <c r="M26" i="13"/>
  <c r="N26" i="13"/>
  <c r="J27" i="13"/>
  <c r="K27" i="13"/>
  <c r="L27" i="13"/>
  <c r="M27" i="13"/>
  <c r="N27" i="13"/>
  <c r="J28" i="13"/>
  <c r="K28" i="13"/>
  <c r="L28" i="13"/>
  <c r="M28" i="13"/>
  <c r="N28" i="13"/>
  <c r="J29" i="13"/>
  <c r="K29" i="13"/>
  <c r="L29" i="13"/>
  <c r="M29" i="13"/>
  <c r="N29" i="13"/>
  <c r="J30" i="13"/>
  <c r="K30" i="13"/>
  <c r="L30" i="13"/>
  <c r="M30" i="13"/>
  <c r="N30" i="13"/>
  <c r="J31" i="13"/>
  <c r="K31" i="13"/>
  <c r="L31" i="13"/>
  <c r="M31" i="13"/>
  <c r="N31" i="13"/>
  <c r="J32" i="13"/>
  <c r="K32" i="13"/>
  <c r="L32" i="13"/>
  <c r="M32" i="13"/>
  <c r="N32" i="13"/>
  <c r="J33" i="13"/>
  <c r="K33" i="13"/>
  <c r="L33" i="13"/>
  <c r="M33" i="13"/>
  <c r="N33" i="13"/>
  <c r="J34" i="13"/>
  <c r="K34" i="13"/>
  <c r="L34" i="13"/>
  <c r="M34" i="13"/>
  <c r="N34" i="13"/>
  <c r="J35" i="13"/>
  <c r="K35" i="13"/>
  <c r="L35" i="13"/>
  <c r="M35" i="13"/>
  <c r="N35" i="13"/>
  <c r="J36" i="13"/>
  <c r="K36" i="13"/>
  <c r="L36" i="13"/>
  <c r="M36" i="13"/>
  <c r="N36" i="13"/>
  <c r="J37" i="13"/>
  <c r="K37" i="13"/>
  <c r="L37" i="13"/>
  <c r="M37" i="13"/>
  <c r="N37" i="13"/>
  <c r="J38" i="13"/>
  <c r="K38" i="13"/>
  <c r="L38" i="13"/>
  <c r="M38" i="13"/>
  <c r="N38" i="13"/>
  <c r="J39" i="13"/>
  <c r="K39" i="13"/>
  <c r="L39" i="13"/>
  <c r="M39" i="13"/>
  <c r="N39" i="13"/>
  <c r="J40" i="13"/>
  <c r="K40" i="13"/>
  <c r="L40" i="13"/>
  <c r="M40" i="13"/>
  <c r="N40" i="13"/>
  <c r="J41" i="13"/>
  <c r="K41" i="13"/>
  <c r="L41" i="13"/>
  <c r="M41" i="13"/>
  <c r="N41" i="13"/>
  <c r="J42" i="13"/>
  <c r="K42" i="13"/>
  <c r="L42" i="13"/>
  <c r="M42" i="13"/>
  <c r="N42" i="13"/>
  <c r="J43" i="13"/>
  <c r="K43" i="13"/>
  <c r="L43" i="13"/>
  <c r="M43" i="13"/>
  <c r="N43" i="13"/>
  <c r="I5" i="13"/>
  <c r="I6" i="13"/>
  <c r="I7" i="13"/>
  <c r="I8" i="13"/>
  <c r="I9" i="13"/>
  <c r="I10" i="13"/>
  <c r="I11" i="13"/>
  <c r="I12" i="13"/>
  <c r="I21" i="13"/>
  <c r="I22" i="13"/>
  <c r="I23" i="13"/>
  <c r="I24" i="13"/>
  <c r="I25" i="13"/>
  <c r="I26" i="13"/>
  <c r="I27" i="13"/>
  <c r="I28" i="13"/>
  <c r="I37" i="13"/>
  <c r="I38" i="13"/>
  <c r="I39" i="13"/>
  <c r="I40" i="13"/>
  <c r="I41" i="13"/>
  <c r="I42" i="13"/>
  <c r="I43" i="13"/>
  <c r="I4" i="13"/>
  <c r="H43" i="13"/>
  <c r="C43" i="13"/>
  <c r="C42" i="13"/>
  <c r="C41" i="13"/>
  <c r="C40" i="13"/>
  <c r="C39" i="13"/>
  <c r="C38" i="13"/>
  <c r="C37" i="13"/>
  <c r="C36" i="13"/>
  <c r="I36" i="13" s="1"/>
  <c r="C35" i="13"/>
  <c r="I35" i="13" s="1"/>
  <c r="C34" i="13"/>
  <c r="I34" i="13" s="1"/>
  <c r="C33" i="13"/>
  <c r="I33" i="13" s="1"/>
  <c r="C32" i="13"/>
  <c r="I32" i="13" s="1"/>
  <c r="C31" i="13"/>
  <c r="I31" i="13" s="1"/>
  <c r="C30" i="13"/>
  <c r="I30" i="13" s="1"/>
  <c r="C29" i="13"/>
  <c r="I29" i="13" s="1"/>
  <c r="C28" i="13"/>
  <c r="C27" i="13"/>
  <c r="C26" i="13"/>
  <c r="C25" i="13"/>
  <c r="C24" i="13"/>
  <c r="C23" i="13"/>
  <c r="C22" i="13"/>
  <c r="C21" i="13"/>
  <c r="C20" i="13"/>
  <c r="I20" i="13" s="1"/>
  <c r="C19" i="13"/>
  <c r="I19" i="13" s="1"/>
  <c r="C18" i="13"/>
  <c r="I18" i="13" s="1"/>
  <c r="C17" i="13"/>
  <c r="I17" i="13" s="1"/>
  <c r="C16" i="13"/>
  <c r="I16" i="13" s="1"/>
  <c r="C15" i="13"/>
  <c r="I15" i="13" s="1"/>
  <c r="C14" i="13"/>
  <c r="I14" i="13" s="1"/>
  <c r="C13" i="13"/>
  <c r="I13" i="13" s="1"/>
  <c r="C12" i="13"/>
  <c r="C11" i="13"/>
  <c r="C10" i="13"/>
  <c r="C9" i="13"/>
  <c r="C8" i="13"/>
  <c r="C7" i="13"/>
  <c r="C6" i="13"/>
  <c r="C5" i="13"/>
  <c r="C4" i="13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C38" i="12" l="1"/>
  <c r="I36" i="12"/>
  <c r="C36" i="12" s="1"/>
  <c r="I35" i="12"/>
  <c r="C35" i="12" s="1"/>
  <c r="I34" i="12"/>
  <c r="D34" i="12"/>
  <c r="I33" i="12"/>
  <c r="F33" i="12"/>
  <c r="D33" i="12"/>
  <c r="C33" i="12" s="1"/>
  <c r="C32" i="12"/>
  <c r="C31" i="12"/>
  <c r="C30" i="12"/>
  <c r="C29" i="12"/>
  <c r="D28" i="12"/>
  <c r="I27" i="12"/>
  <c r="C27" i="12" s="1"/>
  <c r="I26" i="12"/>
  <c r="C26" i="12" s="1"/>
  <c r="I25" i="12"/>
  <c r="C25" i="12"/>
  <c r="I24" i="12"/>
  <c r="C24" i="12" s="1"/>
  <c r="I23" i="12"/>
  <c r="C23" i="12" s="1"/>
  <c r="I22" i="12"/>
  <c r="C22" i="12" s="1"/>
  <c r="U21" i="12"/>
  <c r="T21" i="12"/>
  <c r="S21" i="12"/>
  <c r="R21" i="12"/>
  <c r="Q21" i="12"/>
  <c r="P21" i="12"/>
  <c r="O21" i="12"/>
  <c r="N21" i="12"/>
  <c r="M21" i="12"/>
  <c r="L21" i="12"/>
  <c r="K21" i="12"/>
  <c r="J21" i="12"/>
  <c r="H21" i="12"/>
  <c r="G21" i="12"/>
  <c r="F21" i="12"/>
  <c r="E21" i="12"/>
  <c r="D21" i="12"/>
  <c r="I20" i="12"/>
  <c r="C20" i="12" s="1"/>
  <c r="I19" i="12"/>
  <c r="C19" i="12" s="1"/>
  <c r="I18" i="12"/>
  <c r="C18" i="12" s="1"/>
  <c r="I17" i="12"/>
  <c r="C17" i="12" s="1"/>
  <c r="I16" i="12"/>
  <c r="C16" i="12" s="1"/>
  <c r="I15" i="12"/>
  <c r="C15" i="12" s="1"/>
  <c r="I14" i="12"/>
  <c r="C14" i="12" s="1"/>
  <c r="I13" i="12"/>
  <c r="C13" i="12" s="1"/>
  <c r="I12" i="12"/>
  <c r="C12" i="12" s="1"/>
  <c r="I11" i="12"/>
  <c r="C11" i="12" s="1"/>
  <c r="U10" i="12"/>
  <c r="T10" i="12"/>
  <c r="S10" i="12"/>
  <c r="R10" i="12"/>
  <c r="Q10" i="12"/>
  <c r="P10" i="12"/>
  <c r="O10" i="12"/>
  <c r="N10" i="12"/>
  <c r="M10" i="12"/>
  <c r="L10" i="12"/>
  <c r="K10" i="12"/>
  <c r="J10" i="12"/>
  <c r="G10" i="12"/>
  <c r="F10" i="12"/>
  <c r="E10" i="12"/>
  <c r="D10" i="12"/>
  <c r="I9" i="12"/>
  <c r="C9" i="12"/>
  <c r="I8" i="12"/>
  <c r="D8" i="12"/>
  <c r="U7" i="12"/>
  <c r="T7" i="12"/>
  <c r="S7" i="12"/>
  <c r="R7" i="12"/>
  <c r="Q7" i="12"/>
  <c r="P7" i="12"/>
  <c r="O7" i="12"/>
  <c r="N7" i="12"/>
  <c r="M7" i="12"/>
  <c r="L7" i="12"/>
  <c r="K7" i="12"/>
  <c r="J7" i="12"/>
  <c r="H7" i="12"/>
  <c r="G7" i="12"/>
  <c r="F7" i="12"/>
  <c r="E7" i="12"/>
  <c r="I6" i="12"/>
  <c r="C6" i="12" s="1"/>
  <c r="I5" i="12"/>
  <c r="C5" i="12" s="1"/>
  <c r="U4" i="12"/>
  <c r="T4" i="12"/>
  <c r="S4" i="12"/>
  <c r="R4" i="12"/>
  <c r="Q4" i="12"/>
  <c r="P4" i="12"/>
  <c r="O4" i="12"/>
  <c r="N4" i="12"/>
  <c r="M4" i="12"/>
  <c r="L4" i="12"/>
  <c r="K4" i="12"/>
  <c r="J4" i="12"/>
  <c r="H4" i="12"/>
  <c r="G4" i="12"/>
  <c r="F4" i="12"/>
  <c r="E4" i="12"/>
  <c r="D4" i="12"/>
  <c r="C34" i="12" l="1"/>
  <c r="C21" i="12"/>
  <c r="F37" i="12"/>
  <c r="G37" i="12"/>
  <c r="I7" i="12"/>
  <c r="U37" i="12"/>
  <c r="J37" i="12"/>
  <c r="T37" i="12"/>
  <c r="M37" i="12"/>
  <c r="I21" i="12"/>
  <c r="C10" i="12"/>
  <c r="C4" i="12"/>
  <c r="P37" i="12"/>
  <c r="H37" i="12"/>
  <c r="O37" i="12"/>
  <c r="C8" i="12"/>
  <c r="C7" i="12" s="1"/>
  <c r="C37" i="12" s="1"/>
  <c r="C46" i="12" s="1"/>
  <c r="L37" i="12"/>
  <c r="N37" i="12"/>
  <c r="Q37" i="12"/>
  <c r="E37" i="12"/>
  <c r="R37" i="12"/>
  <c r="C28" i="12"/>
  <c r="K37" i="12"/>
  <c r="S37" i="12"/>
  <c r="I4" i="12"/>
  <c r="I10" i="12"/>
  <c r="D7" i="12"/>
  <c r="D37" i="12" s="1"/>
  <c r="I37" i="12" l="1"/>
  <c r="L36" i="11" l="1"/>
  <c r="C36" i="11" s="1"/>
  <c r="L35" i="11"/>
  <c r="C35" i="11" s="1"/>
  <c r="X34" i="11"/>
  <c r="L34" i="11" s="1"/>
  <c r="I34" i="11"/>
  <c r="H34" i="11"/>
  <c r="E34" i="11"/>
  <c r="L33" i="11"/>
  <c r="I33" i="11"/>
  <c r="H33" i="11"/>
  <c r="D33" i="11"/>
  <c r="C32" i="11"/>
  <c r="C31" i="11"/>
  <c r="D30" i="11"/>
  <c r="C30" i="11" s="1"/>
  <c r="C29" i="11"/>
  <c r="D28" i="11"/>
  <c r="C28" i="11" s="1"/>
  <c r="L27" i="11"/>
  <c r="C27" i="11" s="1"/>
  <c r="L26" i="11"/>
  <c r="C26" i="11" s="1"/>
  <c r="L25" i="11"/>
  <c r="L24" i="11"/>
  <c r="C24" i="11" s="1"/>
  <c r="L23" i="11"/>
  <c r="C23" i="11" s="1"/>
  <c r="L22" i="11"/>
  <c r="C22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K21" i="11"/>
  <c r="J21" i="11"/>
  <c r="I21" i="11"/>
  <c r="H21" i="11"/>
  <c r="G21" i="11"/>
  <c r="F21" i="11"/>
  <c r="E21" i="11"/>
  <c r="D21" i="11"/>
  <c r="L20" i="11"/>
  <c r="C20" i="11" s="1"/>
  <c r="L19" i="11"/>
  <c r="C19" i="11" s="1"/>
  <c r="L18" i="11"/>
  <c r="C18" i="11" s="1"/>
  <c r="L17" i="11"/>
  <c r="C17" i="11" s="1"/>
  <c r="L16" i="11"/>
  <c r="C16" i="11" s="1"/>
  <c r="L15" i="11"/>
  <c r="C15" i="11" s="1"/>
  <c r="L14" i="11"/>
  <c r="C14" i="11" s="1"/>
  <c r="L13" i="11"/>
  <c r="C13" i="11" s="1"/>
  <c r="L12" i="11"/>
  <c r="C12" i="11" s="1"/>
  <c r="L11" i="11"/>
  <c r="C11" i="11"/>
  <c r="X10" i="11"/>
  <c r="W10" i="11"/>
  <c r="V10" i="11"/>
  <c r="U10" i="11"/>
  <c r="T10" i="11"/>
  <c r="S10" i="11"/>
  <c r="Q10" i="11"/>
  <c r="P10" i="11"/>
  <c r="O10" i="11"/>
  <c r="M10" i="11"/>
  <c r="J10" i="11"/>
  <c r="I10" i="11"/>
  <c r="H10" i="11"/>
  <c r="G10" i="11"/>
  <c r="F10" i="11"/>
  <c r="E10" i="11"/>
  <c r="D10" i="11"/>
  <c r="L9" i="11"/>
  <c r="C9" i="11" s="1"/>
  <c r="L8" i="11"/>
  <c r="D8" i="11"/>
  <c r="D7" i="11" s="1"/>
  <c r="X7" i="11"/>
  <c r="W7" i="11"/>
  <c r="V7" i="11"/>
  <c r="U7" i="11"/>
  <c r="T7" i="11"/>
  <c r="S7" i="11"/>
  <c r="R7" i="11"/>
  <c r="Q7" i="11"/>
  <c r="P7" i="11"/>
  <c r="O7" i="11"/>
  <c r="N7" i="11"/>
  <c r="M7" i="11"/>
  <c r="K7" i="11"/>
  <c r="J7" i="11"/>
  <c r="H7" i="11"/>
  <c r="G7" i="11"/>
  <c r="F7" i="11"/>
  <c r="E7" i="11"/>
  <c r="L6" i="11"/>
  <c r="D6" i="11"/>
  <c r="L5" i="11"/>
  <c r="D5" i="11"/>
  <c r="X4" i="11"/>
  <c r="W4" i="11"/>
  <c r="V4" i="11"/>
  <c r="U4" i="11"/>
  <c r="T4" i="11"/>
  <c r="S4" i="11"/>
  <c r="R4" i="11"/>
  <c r="Q4" i="11"/>
  <c r="P4" i="11"/>
  <c r="O4" i="11"/>
  <c r="M4" i="11"/>
  <c r="K4" i="11"/>
  <c r="J4" i="11"/>
  <c r="H4" i="11"/>
  <c r="G4" i="11"/>
  <c r="F4" i="11"/>
  <c r="E4" i="11"/>
  <c r="L10" i="11" l="1"/>
  <c r="C34" i="11"/>
  <c r="C6" i="11"/>
  <c r="J37" i="11"/>
  <c r="C8" i="11"/>
  <c r="C7" i="11" s="1"/>
  <c r="P37" i="11"/>
  <c r="N37" i="11"/>
  <c r="F37" i="11"/>
  <c r="X37" i="11"/>
  <c r="Q37" i="11"/>
  <c r="T37" i="11"/>
  <c r="W37" i="11"/>
  <c r="L4" i="11"/>
  <c r="G37" i="11"/>
  <c r="H37" i="11"/>
  <c r="D4" i="11"/>
  <c r="D37" i="11" s="1"/>
  <c r="K37" i="11"/>
  <c r="O37" i="11"/>
  <c r="E37" i="11"/>
  <c r="I37" i="11"/>
  <c r="S37" i="11"/>
  <c r="L21" i="11"/>
  <c r="C21" i="11" s="1"/>
  <c r="C10" i="11"/>
  <c r="R37" i="11"/>
  <c r="U37" i="11"/>
  <c r="M37" i="11"/>
  <c r="V37" i="11"/>
  <c r="C33" i="11"/>
  <c r="C5" i="11"/>
  <c r="C4" i="11" s="1"/>
  <c r="L7" i="11"/>
  <c r="C25" i="11"/>
  <c r="L37" i="11" l="1"/>
  <c r="C39" i="10"/>
  <c r="C36" i="10"/>
  <c r="J34" i="10"/>
  <c r="C34" i="10" s="1"/>
  <c r="J33" i="10"/>
  <c r="C33" i="10" s="1"/>
  <c r="J32" i="10"/>
  <c r="D32" i="10"/>
  <c r="C32" i="10"/>
  <c r="J31" i="10"/>
  <c r="D31" i="10"/>
  <c r="C31" i="10" s="1"/>
  <c r="C30" i="10"/>
  <c r="C29" i="10"/>
  <c r="C28" i="10"/>
  <c r="C27" i="10"/>
  <c r="D26" i="10"/>
  <c r="C26" i="10"/>
  <c r="J25" i="10"/>
  <c r="C25" i="10" s="1"/>
  <c r="C24" i="10"/>
  <c r="J23" i="10"/>
  <c r="C23" i="10" s="1"/>
  <c r="J22" i="10"/>
  <c r="C22" i="10" s="1"/>
  <c r="J21" i="10"/>
  <c r="C21" i="10"/>
  <c r="J20" i="10"/>
  <c r="C20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I19" i="10"/>
  <c r="H19" i="10"/>
  <c r="G19" i="10"/>
  <c r="F19" i="10"/>
  <c r="E19" i="10"/>
  <c r="D19" i="10"/>
  <c r="J18" i="10"/>
  <c r="C18" i="10" s="1"/>
  <c r="J17" i="10"/>
  <c r="C17" i="10" s="1"/>
  <c r="J16" i="10"/>
  <c r="C16" i="10" s="1"/>
  <c r="J15" i="10"/>
  <c r="C15" i="10" s="1"/>
  <c r="J14" i="10"/>
  <c r="C14" i="10" s="1"/>
  <c r="J13" i="10"/>
  <c r="C13" i="10" s="1"/>
  <c r="J12" i="10"/>
  <c r="F12" i="10"/>
  <c r="F8" i="10" s="1"/>
  <c r="J11" i="10"/>
  <c r="C11" i="10" s="1"/>
  <c r="J10" i="10"/>
  <c r="C10" i="10"/>
  <c r="J9" i="10"/>
  <c r="C9" i="10" s="1"/>
  <c r="V8" i="10"/>
  <c r="U8" i="10"/>
  <c r="S8" i="10"/>
  <c r="R8" i="10"/>
  <c r="Q8" i="10"/>
  <c r="O8" i="10"/>
  <c r="N8" i="10"/>
  <c r="M8" i="10"/>
  <c r="L8" i="10"/>
  <c r="K8" i="10"/>
  <c r="I8" i="10"/>
  <c r="H8" i="10"/>
  <c r="G8" i="10"/>
  <c r="E8" i="10"/>
  <c r="D8" i="10"/>
  <c r="J7" i="10"/>
  <c r="C7" i="10" s="1"/>
  <c r="J6" i="10"/>
  <c r="C6" i="10" s="1"/>
  <c r="V5" i="10"/>
  <c r="U5" i="10"/>
  <c r="T5" i="10"/>
  <c r="S5" i="10"/>
  <c r="R5" i="10"/>
  <c r="Q5" i="10"/>
  <c r="P5" i="10"/>
  <c r="O5" i="10"/>
  <c r="N5" i="10"/>
  <c r="M5" i="10"/>
  <c r="L5" i="10"/>
  <c r="K5" i="10"/>
  <c r="I5" i="10"/>
  <c r="G5" i="10"/>
  <c r="F5" i="10"/>
  <c r="E5" i="10"/>
  <c r="D5" i="10"/>
  <c r="J4" i="10"/>
  <c r="C4" i="10"/>
  <c r="C5" i="10" l="1"/>
  <c r="J5" i="10"/>
  <c r="T35" i="10"/>
  <c r="D35" i="10"/>
  <c r="L35" i="10"/>
  <c r="N35" i="10"/>
  <c r="O35" i="10"/>
  <c r="P35" i="10"/>
  <c r="J8" i="10"/>
  <c r="C8" i="10" s="1"/>
  <c r="Q35" i="10"/>
  <c r="J19" i="10"/>
  <c r="C19" i="10" s="1"/>
  <c r="S35" i="10"/>
  <c r="U35" i="10"/>
  <c r="C12" i="10"/>
  <c r="R35" i="10"/>
  <c r="H35" i="10"/>
  <c r="V35" i="10"/>
  <c r="G35" i="10"/>
  <c r="I35" i="10"/>
  <c r="M35" i="10"/>
  <c r="E35" i="10"/>
  <c r="K35" i="10"/>
  <c r="F35" i="10"/>
  <c r="J35" i="10" l="1"/>
  <c r="C35" i="10" s="1"/>
  <c r="C41" i="10" s="1"/>
  <c r="I43" i="1" l="1"/>
  <c r="C45" i="9"/>
  <c r="C39" i="9"/>
  <c r="J37" i="9"/>
  <c r="C37" i="9" s="1"/>
  <c r="J36" i="9"/>
  <c r="C36" i="9" s="1"/>
  <c r="J35" i="9"/>
  <c r="D35" i="9"/>
  <c r="J34" i="9"/>
  <c r="D34" i="9"/>
  <c r="C33" i="9"/>
  <c r="C32" i="9"/>
  <c r="C31" i="9"/>
  <c r="C30" i="9"/>
  <c r="J29" i="9"/>
  <c r="D29" i="9"/>
  <c r="J28" i="9"/>
  <c r="C28" i="9" s="1"/>
  <c r="C27" i="9"/>
  <c r="J26" i="9"/>
  <c r="C26" i="9" s="1"/>
  <c r="C25" i="9"/>
  <c r="J24" i="9"/>
  <c r="C24" i="9"/>
  <c r="J23" i="9"/>
  <c r="C23" i="9" s="1"/>
  <c r="J22" i="9"/>
  <c r="V21" i="9"/>
  <c r="U21" i="9"/>
  <c r="T21" i="9"/>
  <c r="S21" i="9"/>
  <c r="R21" i="9"/>
  <c r="Q21" i="9"/>
  <c r="P21" i="9"/>
  <c r="O21" i="9"/>
  <c r="N21" i="9"/>
  <c r="M21" i="9"/>
  <c r="L21" i="9"/>
  <c r="K21" i="9"/>
  <c r="I21" i="9"/>
  <c r="H21" i="9"/>
  <c r="G21" i="9"/>
  <c r="F21" i="9"/>
  <c r="E21" i="9"/>
  <c r="D21" i="9"/>
  <c r="J20" i="9"/>
  <c r="C19" i="9"/>
  <c r="C18" i="9"/>
  <c r="C17" i="9"/>
  <c r="C16" i="9"/>
  <c r="C15" i="9"/>
  <c r="C14" i="9"/>
  <c r="C13" i="9"/>
  <c r="C12" i="9"/>
  <c r="C11" i="9"/>
  <c r="V10" i="9"/>
  <c r="U10" i="9"/>
  <c r="S10" i="9"/>
  <c r="R10" i="9"/>
  <c r="Q10" i="9"/>
  <c r="O10" i="9"/>
  <c r="N10" i="9"/>
  <c r="M10" i="9"/>
  <c r="L10" i="9"/>
  <c r="K10" i="9"/>
  <c r="I10" i="9"/>
  <c r="H10" i="9"/>
  <c r="G10" i="9"/>
  <c r="F10" i="9"/>
  <c r="E10" i="9"/>
  <c r="D10" i="9"/>
  <c r="C9" i="9"/>
  <c r="D8" i="9"/>
  <c r="C8" i="9" s="1"/>
  <c r="V7" i="9"/>
  <c r="U7" i="9"/>
  <c r="T7" i="9"/>
  <c r="S7" i="9"/>
  <c r="R7" i="9"/>
  <c r="Q7" i="9"/>
  <c r="P7" i="9"/>
  <c r="O7" i="9"/>
  <c r="N7" i="9"/>
  <c r="M7" i="9"/>
  <c r="L7" i="9"/>
  <c r="K7" i="9"/>
  <c r="I7" i="9"/>
  <c r="G7" i="9"/>
  <c r="F7" i="9"/>
  <c r="E7" i="9"/>
  <c r="D6" i="9"/>
  <c r="D4" i="9" s="1"/>
  <c r="C5" i="9"/>
  <c r="V4" i="9"/>
  <c r="U4" i="9"/>
  <c r="T4" i="9"/>
  <c r="S4" i="9"/>
  <c r="R4" i="9"/>
  <c r="Q4" i="9"/>
  <c r="O4" i="9"/>
  <c r="N4" i="9"/>
  <c r="M4" i="9"/>
  <c r="L4" i="9"/>
  <c r="K4" i="9"/>
  <c r="I4" i="9"/>
  <c r="G4" i="9"/>
  <c r="F4" i="9"/>
  <c r="E4" i="9"/>
  <c r="C29" i="9" l="1"/>
  <c r="P38" i="9"/>
  <c r="F38" i="9"/>
  <c r="I38" i="9"/>
  <c r="C10" i="9"/>
  <c r="Q38" i="9"/>
  <c r="S38" i="9"/>
  <c r="G38" i="9"/>
  <c r="O38" i="9"/>
  <c r="E38" i="9"/>
  <c r="C35" i="9"/>
  <c r="N38" i="9"/>
  <c r="U38" i="9"/>
  <c r="T38" i="9"/>
  <c r="M38" i="9"/>
  <c r="K38" i="9"/>
  <c r="H38" i="9"/>
  <c r="J21" i="9"/>
  <c r="C21" i="9" s="1"/>
  <c r="V38" i="9"/>
  <c r="L38" i="9"/>
  <c r="R38" i="9"/>
  <c r="C34" i="9"/>
  <c r="C4" i="9"/>
  <c r="C20" i="9"/>
  <c r="C22" i="9"/>
  <c r="C6" i="9"/>
  <c r="D7" i="9"/>
  <c r="C7" i="9" s="1"/>
  <c r="J38" i="9" l="1"/>
  <c r="D38" i="9"/>
  <c r="C38" i="9" s="1"/>
  <c r="C46" i="9" s="1"/>
  <c r="U19" i="1" l="1"/>
  <c r="T19" i="1"/>
  <c r="S19" i="1"/>
  <c r="R19" i="1"/>
  <c r="Q19" i="1"/>
  <c r="P19" i="1"/>
  <c r="U8" i="1"/>
  <c r="S8" i="1"/>
  <c r="R8" i="1"/>
  <c r="Q8" i="1"/>
  <c r="P8" i="1"/>
  <c r="U5" i="1"/>
  <c r="T5" i="1"/>
  <c r="S5" i="1"/>
  <c r="R5" i="1"/>
  <c r="Q5" i="1"/>
  <c r="P5" i="1"/>
  <c r="U4" i="1"/>
  <c r="S4" i="1"/>
  <c r="R4" i="1"/>
  <c r="Q4" i="1"/>
  <c r="P4" i="1"/>
  <c r="T36" i="1" l="1"/>
  <c r="S36" i="1"/>
  <c r="Q36" i="1"/>
  <c r="U36" i="1"/>
  <c r="R36" i="1"/>
  <c r="P3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ZLOSYA</author>
  </authors>
  <commentList>
    <comment ref="J34" authorId="0" shapeId="0" xr:uid="{6BB59695-D3C6-4CDD-BA6C-E2DA89D49339}">
      <text>
        <r>
          <rPr>
            <b/>
            <sz val="11"/>
            <color indexed="81"/>
            <rFont val="Tahoma"/>
            <family val="2"/>
            <charset val="204"/>
          </rPr>
          <t>ZLOSYA:</t>
        </r>
        <r>
          <rPr>
            <sz val="11"/>
            <color indexed="81"/>
            <rFont val="Tahoma"/>
            <family val="2"/>
            <charset val="204"/>
          </rPr>
          <t xml:space="preserve">
+імпорт
</t>
        </r>
      </text>
    </comment>
  </commentList>
</comments>
</file>

<file path=xl/sharedStrings.xml><?xml version="1.0" encoding="utf-8"?>
<sst xmlns="http://schemas.openxmlformats.org/spreadsheetml/2006/main" count="931" uniqueCount="133">
  <si>
    <t>ПОСТОЯННЫЕ ЗАТРАТЫ</t>
  </si>
  <si>
    <t>Карайкози 51</t>
  </si>
  <si>
    <t>Карайкози 52</t>
  </si>
  <si>
    <t>Клубанівська 3</t>
  </si>
  <si>
    <t>Водяновка 10</t>
  </si>
  <si>
    <t>обслуживание закрытых  и замороженых объектов и КРС</t>
  </si>
  <si>
    <t xml:space="preserve"> Радченки3</t>
  </si>
  <si>
    <t>КРС Водянівська №2</t>
  </si>
  <si>
    <t>КРС Водянівська №4</t>
  </si>
  <si>
    <t>КРС Карайкозівська № 32</t>
  </si>
  <si>
    <t>КРС Пролетарська 
№ 725</t>
  </si>
  <si>
    <t>КРС Клубанівсько-Зубренківська №1</t>
  </si>
  <si>
    <t>Наименование статьи затрат</t>
  </si>
  <si>
    <t>план</t>
  </si>
  <si>
    <t>факт</t>
  </si>
  <si>
    <t>1.</t>
  </si>
  <si>
    <t>Зарплата+</t>
  </si>
  <si>
    <t>Буровые бригады</t>
  </si>
  <si>
    <t>ПБК</t>
  </si>
  <si>
    <t>2.</t>
  </si>
  <si>
    <t>Непроизводственные затраты</t>
  </si>
  <si>
    <t>Базы (Полтава) - оренда, содержание, ремонт</t>
  </si>
  <si>
    <t>Охрана объектов</t>
  </si>
  <si>
    <t>3.</t>
  </si>
  <si>
    <t>Обсадные трубы / оснастка</t>
  </si>
  <si>
    <t>630+альпина</t>
  </si>
  <si>
    <t>альпина</t>
  </si>
  <si>
    <t xml:space="preserve">Alchemia </t>
  </si>
  <si>
    <t>IPS</t>
  </si>
  <si>
    <t>Интерпайп</t>
  </si>
  <si>
    <t>Везерфорд (оснастка//кріплення)</t>
  </si>
  <si>
    <t>оснастка</t>
  </si>
  <si>
    <t>4.</t>
  </si>
  <si>
    <t>Химреагенты для приготовления бурового раствора</t>
  </si>
  <si>
    <t>5.</t>
  </si>
  <si>
    <t>Породоразрушающий инструмент</t>
  </si>
  <si>
    <t>6.</t>
  </si>
  <si>
    <t>Цементаж</t>
  </si>
  <si>
    <t>7</t>
  </si>
  <si>
    <t>ГВД, ЯС, Телесистема (Шлюм, Вензель, навиком)</t>
  </si>
  <si>
    <t>Шлюмберже</t>
  </si>
  <si>
    <t>Вензель</t>
  </si>
  <si>
    <t>Везерфорд (гвд)</t>
  </si>
  <si>
    <t>Денимекс</t>
  </si>
  <si>
    <t>УСБК</t>
  </si>
  <si>
    <t>8.</t>
  </si>
  <si>
    <t>ОКК, ФА, НКТ</t>
  </si>
  <si>
    <t>9.</t>
  </si>
  <si>
    <t>Енергоносители (ПММ / ел.ен.)</t>
  </si>
  <si>
    <t xml:space="preserve">10. </t>
  </si>
  <si>
    <t xml:space="preserve">Налоги </t>
  </si>
  <si>
    <t>ндс</t>
  </si>
  <si>
    <t>налог на землю + забруднення</t>
  </si>
  <si>
    <t>налог на прибыль</t>
  </si>
  <si>
    <t xml:space="preserve">акт проверки </t>
  </si>
  <si>
    <t>11.</t>
  </si>
  <si>
    <t>Оборудование,  материалы и запчасти, ремонты, техобслуживание, масла, фильтра, ремон різьб, виготовлення перевідників т.д.</t>
  </si>
  <si>
    <t>12.</t>
  </si>
  <si>
    <t>Транспорт (оплата перевозчиков, спецтехнки, краны, ремонт техники, ТО масла, ГСМ, оренда транспорта, GPS)</t>
  </si>
  <si>
    <t>13.</t>
  </si>
  <si>
    <t>Разрешающая документация, подготовка и рекульнивация бур.площадок, водная скважина,  отбор керна, навчання персоналу, спецодяг, дефектоскопія, геофізика</t>
  </si>
  <si>
    <t>14.</t>
  </si>
  <si>
    <t>Оренда обладнання</t>
  </si>
  <si>
    <t xml:space="preserve">бурение </t>
  </si>
  <si>
    <t>колтюбинг</t>
  </si>
  <si>
    <t>перфорація</t>
  </si>
  <si>
    <t xml:space="preserve">                                </t>
  </si>
  <si>
    <t>Таможня</t>
  </si>
  <si>
    <t>ОБТ</t>
  </si>
  <si>
    <t>доставка импорт</t>
  </si>
  <si>
    <t>покраска</t>
  </si>
  <si>
    <t>Общие затрати</t>
  </si>
  <si>
    <t>май</t>
  </si>
  <si>
    <t>всего январь</t>
  </si>
  <si>
    <t>всего май</t>
  </si>
  <si>
    <t>всего февраль</t>
  </si>
  <si>
    <t>всего март</t>
  </si>
  <si>
    <t>всего апрель</t>
  </si>
  <si>
    <t>всего январь-май</t>
  </si>
  <si>
    <t>всего до января 2023</t>
  </si>
  <si>
    <t>апрель 2023</t>
  </si>
  <si>
    <t>КРС Карайкозівська 
№ 40</t>
  </si>
  <si>
    <t>КРС Водянівська №6</t>
  </si>
  <si>
    <t>бур. Клубанівсько-Зубренківська №10</t>
  </si>
  <si>
    <t>КРС Клубанівсько-Зубріенківська №1</t>
  </si>
  <si>
    <t>КРС Матешівсько-Легейдівська №2</t>
  </si>
  <si>
    <t>бур. Водянівська №7
борг буріння</t>
  </si>
  <si>
    <t>Кт</t>
  </si>
  <si>
    <t>мито</t>
  </si>
  <si>
    <t>МІГ</t>
  </si>
  <si>
    <t>март 2023</t>
  </si>
  <si>
    <t>бур. Карайкозівська №48</t>
  </si>
  <si>
    <t>КРС Карайкозівська №40</t>
  </si>
  <si>
    <t>бур. Пролетарська №717</t>
  </si>
  <si>
    <t>доставка импорт+</t>
  </si>
  <si>
    <t>февраль 2023</t>
  </si>
  <si>
    <t>бур. Карайкозівська № 51</t>
  </si>
  <si>
    <t>бур. Дубрівсько-Радченківська №3</t>
  </si>
  <si>
    <t>бур. Клубанівсько-Зубренківська №3</t>
  </si>
  <si>
    <t>КРС Радченківська №12</t>
  </si>
  <si>
    <t>бур. Шевська №1</t>
  </si>
  <si>
    <t>бур. Дубрівсько-Радченківська №1</t>
  </si>
  <si>
    <t>бур. Водянівська №10</t>
  </si>
  <si>
    <t>КРС Деркачівсько-Войтенківська № 3</t>
  </si>
  <si>
    <t>КРС Карайкозівська №37</t>
  </si>
  <si>
    <t>Промтех</t>
  </si>
  <si>
    <t>квант</t>
  </si>
  <si>
    <t>бурилка</t>
  </si>
  <si>
    <t>рукава для SK-2000 ( 7 922,6 ), SK-3000 (24 803,8 ) Hebei Jingbo Petroleum</t>
  </si>
  <si>
    <t>на потреби відділу ПВО. Westcoast сп.3</t>
  </si>
  <si>
    <t>запасні частини до К-200 Brammer S.A.сп.26</t>
  </si>
  <si>
    <t>рукава для SK-2000 ( 7 922,6 ), SK-3000 (24 803,8 ) Hebei Jingbo Petroleum Machinery сп.1</t>
  </si>
  <si>
    <t>запчастини на К-200 (1Кл КРС) NOV сп.14</t>
  </si>
  <si>
    <t>плашки - ключники БВО / WPI WELLKING INC сп.20</t>
  </si>
  <si>
    <t>гідравлічний клапан ( для SK1000SS ) - RDL Hydraulics сп.2</t>
  </si>
  <si>
    <t>ремонт SK200, SK3000 - Dongying Lake Petroleum Technology сп.1</t>
  </si>
  <si>
    <t>январь 2023</t>
  </si>
  <si>
    <t>ремонт бурових верстатів</t>
  </si>
  <si>
    <t>бур. Водянівська № 8</t>
  </si>
  <si>
    <t>промтех</t>
  </si>
  <si>
    <t>тис.грн.</t>
  </si>
  <si>
    <t>январь</t>
  </si>
  <si>
    <t>февраль</t>
  </si>
  <si>
    <t>март</t>
  </si>
  <si>
    <t>апрель</t>
  </si>
  <si>
    <t>Всего по скважине</t>
  </si>
  <si>
    <t>Карайкозівська №51</t>
  </si>
  <si>
    <t>Клубанівська №3</t>
  </si>
  <si>
    <t>Водянівськ №10</t>
  </si>
  <si>
    <t>Карайкозівська №52</t>
  </si>
  <si>
    <t>Дубренківсько-Радченківська №3</t>
  </si>
  <si>
    <t>КРСи</t>
  </si>
  <si>
    <t>Всего по объектам КРС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</si>
</sst>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b/>
      <sz val="24"/>
      <name val="Arial"/>
      <family val="2"/>
      <charset val="204"/>
    </font>
    <font>
      <sz val="11"/>
      <color theme="1"/>
      <name val="Calibri"/>
      <family val="2"/>
      <scheme val="minor"/>
    </font>
    <font>
      <b/>
      <sz val="8"/>
      <name val="Times New Roman"/>
      <family val="1"/>
      <charset val="204"/>
    </font>
    <font>
      <sz val="8"/>
      <name val="Times New Roman"/>
      <family val="1"/>
      <charset val="204"/>
    </font>
    <font>
      <b/>
      <sz val="8"/>
      <name val="Arial"/>
      <family val="2"/>
      <charset val="204"/>
    </font>
    <font>
      <sz val="8"/>
      <name val="Arial Black"/>
      <family val="2"/>
      <charset val="204"/>
    </font>
    <font>
      <b/>
      <sz val="8"/>
      <name val="Arial Black"/>
      <family val="2"/>
      <charset val="204"/>
    </font>
    <font>
      <b/>
      <sz val="11"/>
      <name val="Arial Black"/>
      <family val="2"/>
      <charset val="204"/>
    </font>
    <font>
      <b/>
      <sz val="11"/>
      <name val="Arial"/>
      <family val="2"/>
      <charset val="204"/>
    </font>
    <font>
      <sz val="9"/>
      <name val="Courier New"/>
      <family val="3"/>
      <charset val="204"/>
    </font>
    <font>
      <sz val="11"/>
      <name val="Calibri"/>
      <family val="2"/>
      <charset val="204"/>
      <scheme val="minor"/>
    </font>
    <font>
      <sz val="18"/>
      <name val="Arial"/>
      <family val="2"/>
      <charset val="204"/>
    </font>
    <font>
      <b/>
      <sz val="11"/>
      <color indexed="81"/>
      <name val="Tahoma"/>
      <family val="2"/>
      <charset val="204"/>
    </font>
    <font>
      <sz val="11"/>
      <color indexed="81"/>
      <name val="Tahoma"/>
      <family val="2"/>
      <charset val="204"/>
    </font>
    <font>
      <b/>
      <sz val="11"/>
      <color rgb="FFFF0000"/>
      <name val="Arial Black"/>
      <family val="2"/>
      <charset val="204"/>
    </font>
    <font>
      <sz val="16"/>
      <name val="Arial"/>
      <family val="2"/>
      <charset val="204"/>
    </font>
    <font>
      <b/>
      <sz val="18"/>
      <name val="Arial"/>
      <family val="2"/>
      <charset val="204"/>
    </font>
    <font>
      <sz val="8"/>
      <name val="Courier New"/>
      <family val="3"/>
      <charset val="204"/>
    </font>
    <font>
      <sz val="8"/>
      <name val="Calibri"/>
      <family val="2"/>
      <charset val="204"/>
      <scheme val="minor"/>
    </font>
    <font>
      <b/>
      <i/>
      <sz val="8"/>
      <name val="Arial"/>
      <family val="2"/>
      <charset val="204"/>
    </font>
    <font>
      <b/>
      <i/>
      <sz val="8"/>
      <name val="Times New Roman"/>
      <family val="1"/>
      <charset val="204"/>
    </font>
    <font>
      <b/>
      <i/>
      <sz val="8"/>
      <name val="Arial Black"/>
      <family val="2"/>
      <charset val="204"/>
    </font>
    <font>
      <i/>
      <sz val="8"/>
      <name val="Times New Roman"/>
      <family val="1"/>
      <charset val="204"/>
    </font>
    <font>
      <b/>
      <i/>
      <sz val="11"/>
      <name val="Arial Black"/>
      <family val="2"/>
      <charset val="204"/>
    </font>
    <font>
      <i/>
      <sz val="18"/>
      <name val="Arial"/>
      <family val="2"/>
      <charset val="204"/>
    </font>
    <font>
      <i/>
      <sz val="8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EFEE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15">
    <xf numFmtId="0" fontId="0" fillId="0" borderId="0" xfId="0"/>
    <xf numFmtId="0" fontId="1" fillId="2" borderId="1" xfId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1" fillId="2" borderId="0" xfId="1" applyFill="1" applyAlignment="1">
      <alignment vertical="center"/>
    </xf>
    <xf numFmtId="0" fontId="1" fillId="2" borderId="1" xfId="1" applyFill="1" applyBorder="1"/>
    <xf numFmtId="0" fontId="6" fillId="2" borderId="1" xfId="1" applyFont="1" applyFill="1" applyBorder="1" applyAlignment="1">
      <alignment horizontal="center" vertical="center"/>
    </xf>
    <xf numFmtId="4" fontId="4" fillId="2" borderId="1" xfId="2" applyNumberFormat="1" applyFont="1" applyFill="1" applyBorder="1" applyAlignment="1">
      <alignment horizontal="center" vertical="center" wrapText="1"/>
    </xf>
    <xf numFmtId="3" fontId="4" fillId="2" borderId="3" xfId="2" applyNumberFormat="1" applyFont="1" applyFill="1" applyBorder="1" applyAlignment="1">
      <alignment horizontal="center" vertical="center" wrapText="1"/>
    </xf>
    <xf numFmtId="4" fontId="4" fillId="4" borderId="1" xfId="2" applyNumberFormat="1" applyFont="1" applyFill="1" applyBorder="1" applyAlignment="1">
      <alignment horizontal="center" vertical="center" wrapText="1"/>
    </xf>
    <xf numFmtId="0" fontId="1" fillId="2" borderId="0" xfId="1" applyFill="1"/>
    <xf numFmtId="49" fontId="7" fillId="5" borderId="1" xfId="1" applyNumberFormat="1" applyFont="1" applyFill="1" applyBorder="1" applyAlignment="1">
      <alignment horizontal="center" vertical="center"/>
    </xf>
    <xf numFmtId="0" fontId="8" fillId="5" borderId="1" xfId="1" applyFont="1" applyFill="1" applyBorder="1" applyAlignment="1">
      <alignment horizontal="left" vertical="center"/>
    </xf>
    <xf numFmtId="3" fontId="8" fillId="5" borderId="1" xfId="1" applyNumberFormat="1" applyFont="1" applyFill="1" applyBorder="1" applyAlignment="1">
      <alignment horizontal="center" vertical="center"/>
    </xf>
    <xf numFmtId="3" fontId="4" fillId="6" borderId="1" xfId="1" applyNumberFormat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left" vertical="center"/>
    </xf>
    <xf numFmtId="3" fontId="5" fillId="2" borderId="1" xfId="1" applyNumberFormat="1" applyFont="1" applyFill="1" applyBorder="1" applyAlignment="1">
      <alignment horizontal="center" vertical="center"/>
    </xf>
    <xf numFmtId="3" fontId="5" fillId="4" borderId="1" xfId="1" applyNumberFormat="1" applyFont="1" applyFill="1" applyBorder="1" applyAlignment="1">
      <alignment horizontal="center" vertical="center"/>
    </xf>
    <xf numFmtId="49" fontId="5" fillId="2" borderId="1" xfId="1" applyNumberFormat="1" applyFont="1" applyFill="1" applyBorder="1" applyAlignment="1">
      <alignment horizontal="center" vertical="center"/>
    </xf>
    <xf numFmtId="0" fontId="7" fillId="2" borderId="0" xfId="1" applyFont="1" applyFill="1" applyAlignment="1">
      <alignment vertical="center"/>
    </xf>
    <xf numFmtId="49" fontId="7" fillId="2" borderId="1" xfId="1" applyNumberFormat="1" applyFont="1" applyFill="1" applyBorder="1" applyAlignment="1">
      <alignment horizontal="center" vertical="center"/>
    </xf>
    <xf numFmtId="3" fontId="8" fillId="2" borderId="1" xfId="1" applyNumberFormat="1" applyFont="1" applyFill="1" applyBorder="1" applyAlignment="1">
      <alignment horizontal="center" vertical="center"/>
    </xf>
    <xf numFmtId="3" fontId="4" fillId="4" borderId="1" xfId="1" applyNumberFormat="1" applyFont="1" applyFill="1" applyBorder="1" applyAlignment="1">
      <alignment horizontal="center" vertical="center"/>
    </xf>
    <xf numFmtId="0" fontId="8" fillId="5" borderId="1" xfId="1" applyFont="1" applyFill="1" applyBorder="1" applyAlignment="1">
      <alignment horizontal="left" vertical="center" wrapText="1"/>
    </xf>
    <xf numFmtId="49" fontId="9" fillId="2" borderId="1" xfId="1" applyNumberFormat="1" applyFont="1" applyFill="1" applyBorder="1" applyAlignment="1">
      <alignment horizontal="center" vertical="center"/>
    </xf>
    <xf numFmtId="0" fontId="9" fillId="2" borderId="1" xfId="1" applyFont="1" applyFill="1" applyBorder="1" applyAlignment="1">
      <alignment horizontal="left" vertical="center"/>
    </xf>
    <xf numFmtId="3" fontId="9" fillId="2" borderId="1" xfId="1" applyNumberFormat="1" applyFont="1" applyFill="1" applyBorder="1" applyAlignment="1">
      <alignment horizontal="center" vertical="center"/>
    </xf>
    <xf numFmtId="3" fontId="9" fillId="4" borderId="1" xfId="1" applyNumberFormat="1" applyFont="1" applyFill="1" applyBorder="1" applyAlignment="1">
      <alignment horizontal="center" vertical="center"/>
    </xf>
    <xf numFmtId="0" fontId="10" fillId="2" borderId="0" xfId="1" applyFont="1" applyFill="1" applyAlignment="1">
      <alignment horizontal="left" vertical="center"/>
    </xf>
    <xf numFmtId="49" fontId="9" fillId="2" borderId="0" xfId="1" applyNumberFormat="1" applyFont="1" applyFill="1" applyAlignment="1">
      <alignment horizontal="center" vertical="center"/>
    </xf>
    <xf numFmtId="0" fontId="9" fillId="2" borderId="4" xfId="1" applyFont="1" applyFill="1" applyBorder="1" applyAlignment="1">
      <alignment horizontal="left" vertical="center"/>
    </xf>
    <xf numFmtId="3" fontId="9" fillId="2" borderId="0" xfId="1" applyNumberFormat="1" applyFont="1" applyFill="1" applyAlignment="1">
      <alignment horizontal="center" vertical="center"/>
    </xf>
    <xf numFmtId="0" fontId="11" fillId="2" borderId="0" xfId="0" applyFont="1" applyFill="1"/>
    <xf numFmtId="3" fontId="1" fillId="2" borderId="0" xfId="1" applyNumberFormat="1" applyFill="1" applyAlignment="1">
      <alignment horizontal="center"/>
    </xf>
    <xf numFmtId="0" fontId="1" fillId="2" borderId="0" xfId="1" applyFill="1" applyAlignment="1">
      <alignment horizontal="center"/>
    </xf>
    <xf numFmtId="0" fontId="12" fillId="2" borderId="0" xfId="0" applyFont="1" applyFill="1"/>
    <xf numFmtId="3" fontId="13" fillId="2" borderId="0" xfId="1" applyNumberFormat="1" applyFont="1" applyFill="1"/>
    <xf numFmtId="0" fontId="1" fillId="2" borderId="0" xfId="1" applyFill="1" applyAlignment="1">
      <alignment horizontal="left"/>
    </xf>
    <xf numFmtId="4" fontId="1" fillId="2" borderId="0" xfId="1" applyNumberFormat="1" applyFill="1"/>
    <xf numFmtId="49" fontId="4" fillId="2" borderId="3" xfId="2" applyNumberFormat="1" applyFont="1" applyFill="1" applyBorder="1" applyAlignment="1">
      <alignment horizontal="center" vertical="center" wrapText="1"/>
    </xf>
    <xf numFmtId="4" fontId="4" fillId="2" borderId="3" xfId="2" applyNumberFormat="1" applyFont="1" applyFill="1" applyBorder="1" applyAlignment="1">
      <alignment horizontal="center" vertical="center" wrapText="1"/>
    </xf>
    <xf numFmtId="4" fontId="4" fillId="2" borderId="2" xfId="2" applyNumberFormat="1" applyFont="1" applyFill="1" applyBorder="1" applyAlignment="1">
      <alignment vertical="center" wrapText="1"/>
    </xf>
    <xf numFmtId="4" fontId="4" fillId="2" borderId="3" xfId="2" applyNumberFormat="1" applyFont="1" applyFill="1" applyBorder="1" applyAlignment="1">
      <alignment vertical="center" wrapText="1"/>
    </xf>
    <xf numFmtId="4" fontId="4" fillId="3" borderId="2" xfId="2" applyNumberFormat="1" applyFont="1" applyFill="1" applyBorder="1" applyAlignment="1">
      <alignment vertical="center" wrapText="1"/>
    </xf>
    <xf numFmtId="4" fontId="4" fillId="3" borderId="3" xfId="2" applyNumberFormat="1" applyFont="1" applyFill="1" applyBorder="1" applyAlignment="1">
      <alignment vertical="center" wrapText="1"/>
    </xf>
    <xf numFmtId="4" fontId="4" fillId="2" borderId="1" xfId="2" applyNumberFormat="1" applyFont="1" applyFill="1" applyBorder="1" applyAlignment="1">
      <alignment vertical="center" wrapText="1"/>
    </xf>
    <xf numFmtId="14" fontId="4" fillId="2" borderId="1" xfId="2" applyNumberFormat="1" applyFont="1" applyFill="1" applyBorder="1" applyAlignment="1">
      <alignment horizontal="center" vertical="center" wrapText="1"/>
    </xf>
    <xf numFmtId="3" fontId="9" fillId="2" borderId="0" xfId="1" applyNumberFormat="1" applyFont="1" applyFill="1" applyBorder="1" applyAlignment="1">
      <alignment horizontal="center" vertical="center"/>
    </xf>
    <xf numFmtId="0" fontId="10" fillId="2" borderId="0" xfId="1" applyFont="1" applyFill="1" applyBorder="1" applyAlignment="1">
      <alignment horizontal="left" vertical="center"/>
    </xf>
    <xf numFmtId="0" fontId="1" fillId="2" borderId="0" xfId="1" applyFill="1" applyBorder="1" applyAlignment="1">
      <alignment horizontal="center"/>
    </xf>
    <xf numFmtId="0" fontId="2" fillId="2" borderId="1" xfId="1" applyFont="1" applyFill="1" applyBorder="1" applyAlignment="1">
      <alignment vertical="center"/>
    </xf>
    <xf numFmtId="3" fontId="16" fillId="2" borderId="1" xfId="1" applyNumberFormat="1" applyFont="1" applyFill="1" applyBorder="1" applyAlignment="1">
      <alignment horizontal="center" vertical="center"/>
    </xf>
    <xf numFmtId="3" fontId="17" fillId="2" borderId="0" xfId="1" applyNumberFormat="1" applyFont="1" applyFill="1"/>
    <xf numFmtId="0" fontId="6" fillId="2" borderId="1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left" vertical="center" wrapText="1"/>
    </xf>
    <xf numFmtId="0" fontId="9" fillId="2" borderId="1" xfId="1" applyFont="1" applyFill="1" applyBorder="1" applyAlignment="1">
      <alignment horizontal="left" vertical="center" wrapText="1"/>
    </xf>
    <xf numFmtId="0" fontId="9" fillId="2" borderId="4" xfId="1" applyFont="1" applyFill="1" applyBorder="1" applyAlignment="1">
      <alignment horizontal="left" vertical="center" wrapText="1"/>
    </xf>
    <xf numFmtId="0" fontId="12" fillId="2" borderId="0" xfId="0" applyFont="1" applyFill="1" applyAlignment="1">
      <alignment wrapText="1"/>
    </xf>
    <xf numFmtId="0" fontId="1" fillId="2" borderId="0" xfId="1" applyFill="1" applyAlignment="1">
      <alignment horizontal="left" wrapText="1"/>
    </xf>
    <xf numFmtId="0" fontId="9" fillId="2" borderId="6" xfId="1" applyFont="1" applyFill="1" applyBorder="1" applyAlignment="1">
      <alignment horizontal="left" vertical="center" wrapText="1"/>
    </xf>
    <xf numFmtId="3" fontId="9" fillId="2" borderId="5" xfId="1" applyNumberFormat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left" vertical="center" wrapText="1"/>
    </xf>
    <xf numFmtId="3" fontId="4" fillId="2" borderId="1" xfId="1" applyNumberFormat="1" applyFont="1" applyFill="1" applyBorder="1" applyAlignment="1">
      <alignment horizontal="center" vertical="center"/>
    </xf>
    <xf numFmtId="49" fontId="9" fillId="7" borderId="1" xfId="1" applyNumberFormat="1" applyFont="1" applyFill="1" applyBorder="1" applyAlignment="1">
      <alignment horizontal="center" vertical="center"/>
    </xf>
    <xf numFmtId="0" fontId="9" fillId="7" borderId="1" xfId="1" applyFont="1" applyFill="1" applyBorder="1" applyAlignment="1">
      <alignment horizontal="left" vertical="center" wrapText="1"/>
    </xf>
    <xf numFmtId="3" fontId="9" fillId="7" borderId="1" xfId="1" applyNumberFormat="1" applyFont="1" applyFill="1" applyBorder="1" applyAlignment="1">
      <alignment horizontal="center" vertical="center"/>
    </xf>
    <xf numFmtId="0" fontId="11" fillId="8" borderId="0" xfId="0" applyFont="1" applyFill="1"/>
    <xf numFmtId="0" fontId="12" fillId="8" borderId="1" xfId="0" applyFont="1" applyFill="1" applyBorder="1" applyAlignment="1">
      <alignment wrapText="1"/>
    </xf>
    <xf numFmtId="3" fontId="13" fillId="8" borderId="1" xfId="1" applyNumberFormat="1" applyFont="1" applyFill="1" applyBorder="1"/>
    <xf numFmtId="3" fontId="18" fillId="8" borderId="1" xfId="1" applyNumberFormat="1" applyFont="1" applyFill="1" applyBorder="1"/>
    <xf numFmtId="4" fontId="1" fillId="2" borderId="0" xfId="1" applyNumberFormat="1" applyFont="1" applyFill="1"/>
    <xf numFmtId="0" fontId="1" fillId="2" borderId="0" xfId="1" applyFont="1" applyFill="1"/>
    <xf numFmtId="4" fontId="6" fillId="2" borderId="0" xfId="1" applyNumberFormat="1" applyFont="1" applyFill="1"/>
    <xf numFmtId="0" fontId="6" fillId="2" borderId="0" xfId="1" applyFont="1" applyFill="1"/>
    <xf numFmtId="0" fontId="1" fillId="2" borderId="0" xfId="1" applyFont="1" applyFill="1" applyAlignment="1">
      <alignment vertical="center"/>
    </xf>
    <xf numFmtId="49" fontId="8" fillId="2" borderId="1" xfId="1" applyNumberFormat="1" applyFont="1" applyFill="1" applyBorder="1" applyAlignment="1">
      <alignment horizontal="center" vertical="center"/>
    </xf>
    <xf numFmtId="0" fontId="6" fillId="2" borderId="0" xfId="1" applyFont="1" applyFill="1" applyAlignment="1">
      <alignment horizontal="left" vertical="center"/>
    </xf>
    <xf numFmtId="0" fontId="19" fillId="2" borderId="0" xfId="0" applyFont="1" applyFill="1"/>
    <xf numFmtId="0" fontId="20" fillId="2" borderId="0" xfId="0" applyFont="1" applyFill="1" applyAlignment="1">
      <alignment wrapText="1"/>
    </xf>
    <xf numFmtId="3" fontId="1" fillId="2" borderId="0" xfId="1" applyNumberFormat="1" applyFont="1" applyFill="1"/>
    <xf numFmtId="0" fontId="1" fillId="2" borderId="0" xfId="1" applyFont="1" applyFill="1" applyAlignment="1">
      <alignment horizontal="left" wrapText="1"/>
    </xf>
    <xf numFmtId="0" fontId="1" fillId="2" borderId="0" xfId="1" applyFont="1" applyFill="1" applyAlignment="1">
      <alignment horizontal="center"/>
    </xf>
    <xf numFmtId="3" fontId="8" fillId="2" borderId="1" xfId="1" applyNumberFormat="1" applyFont="1" applyFill="1" applyBorder="1" applyAlignment="1">
      <alignment horizontal="center" vertical="center" wrapText="1"/>
    </xf>
    <xf numFmtId="3" fontId="5" fillId="2" borderId="1" xfId="1" applyNumberFormat="1" applyFont="1" applyFill="1" applyBorder="1" applyAlignment="1">
      <alignment horizontal="center" vertical="center" wrapText="1"/>
    </xf>
    <xf numFmtId="3" fontId="1" fillId="2" borderId="0" xfId="1" applyNumberFormat="1" applyFont="1" applyFill="1" applyAlignment="1">
      <alignment wrapText="1"/>
    </xf>
    <xf numFmtId="4" fontId="1" fillId="2" borderId="0" xfId="1" applyNumberFormat="1" applyFont="1" applyFill="1" applyAlignment="1">
      <alignment wrapText="1"/>
    </xf>
    <xf numFmtId="0" fontId="1" fillId="2" borderId="0" xfId="1" applyFont="1" applyFill="1" applyAlignment="1">
      <alignment wrapText="1"/>
    </xf>
    <xf numFmtId="14" fontId="22" fillId="2" borderId="1" xfId="2" applyNumberFormat="1" applyFont="1" applyFill="1" applyBorder="1" applyAlignment="1">
      <alignment horizontal="center" vertical="center" wrapText="1"/>
    </xf>
    <xf numFmtId="3" fontId="23" fillId="5" borderId="1" xfId="1" applyNumberFormat="1" applyFont="1" applyFill="1" applyBorder="1" applyAlignment="1">
      <alignment horizontal="center" vertical="center"/>
    </xf>
    <xf numFmtId="3" fontId="24" fillId="2" borderId="1" xfId="1" applyNumberFormat="1" applyFont="1" applyFill="1" applyBorder="1" applyAlignment="1">
      <alignment horizontal="center" vertical="center"/>
    </xf>
    <xf numFmtId="3" fontId="25" fillId="2" borderId="1" xfId="1" applyNumberFormat="1" applyFont="1" applyFill="1" applyBorder="1" applyAlignment="1">
      <alignment horizontal="center" vertical="center"/>
    </xf>
    <xf numFmtId="3" fontId="26" fillId="2" borderId="0" xfId="1" applyNumberFormat="1" applyFont="1" applyFill="1"/>
    <xf numFmtId="4" fontId="27" fillId="2" borderId="0" xfId="1" applyNumberFormat="1" applyFont="1" applyFill="1"/>
    <xf numFmtId="0" fontId="27" fillId="2" borderId="0" xfId="1" applyFont="1" applyFill="1"/>
    <xf numFmtId="3" fontId="1" fillId="2" borderId="0" xfId="1" applyNumberFormat="1" applyFill="1"/>
    <xf numFmtId="3" fontId="6" fillId="2" borderId="0" xfId="1" applyNumberFormat="1" applyFont="1" applyFill="1"/>
    <xf numFmtId="14" fontId="4" fillId="9" borderId="1" xfId="2" applyNumberFormat="1" applyFont="1" applyFill="1" applyBorder="1" applyAlignment="1">
      <alignment horizontal="center" vertical="center" wrapText="1"/>
    </xf>
    <xf numFmtId="3" fontId="8" fillId="9" borderId="1" xfId="1" applyNumberFormat="1" applyFont="1" applyFill="1" applyBorder="1" applyAlignment="1">
      <alignment horizontal="center" vertical="center"/>
    </xf>
    <xf numFmtId="3" fontId="5" fillId="9" borderId="1" xfId="1" applyNumberFormat="1" applyFont="1" applyFill="1" applyBorder="1" applyAlignment="1">
      <alignment horizontal="center" vertical="center"/>
    </xf>
    <xf numFmtId="3" fontId="9" fillId="9" borderId="1" xfId="1" applyNumberFormat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 wrapText="1"/>
    </xf>
    <xf numFmtId="0" fontId="6" fillId="2" borderId="6" xfId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center" vertical="center" wrapText="1"/>
    </xf>
    <xf numFmtId="0" fontId="1" fillId="2" borderId="5" xfId="1" applyFill="1" applyBorder="1" applyAlignment="1">
      <alignment horizontal="center" vertical="center"/>
    </xf>
    <xf numFmtId="0" fontId="1" fillId="2" borderId="6" xfId="1" applyFill="1" applyBorder="1" applyAlignment="1">
      <alignment horizontal="center" vertical="center"/>
    </xf>
    <xf numFmtId="0" fontId="1" fillId="2" borderId="4" xfId="1" applyFill="1" applyBorder="1" applyAlignment="1">
      <alignment horizontal="center" vertical="center"/>
    </xf>
    <xf numFmtId="0" fontId="1" fillId="2" borderId="5" xfId="1" applyFont="1" applyFill="1" applyBorder="1" applyAlignment="1">
      <alignment horizontal="center" vertical="center"/>
    </xf>
    <xf numFmtId="0" fontId="1" fillId="2" borderId="6" xfId="1" applyFont="1" applyFill="1" applyBorder="1" applyAlignment="1">
      <alignment horizontal="center" vertical="center"/>
    </xf>
    <xf numFmtId="0" fontId="1" fillId="2" borderId="4" xfId="1" applyFont="1" applyFill="1" applyBorder="1" applyAlignment="1">
      <alignment horizontal="center" vertical="center"/>
    </xf>
    <xf numFmtId="0" fontId="6" fillId="9" borderId="5" xfId="1" applyFont="1" applyFill="1" applyBorder="1" applyAlignment="1">
      <alignment horizontal="center" vertical="center"/>
    </xf>
    <xf numFmtId="0" fontId="6" fillId="9" borderId="4" xfId="1" applyFont="1" applyFill="1" applyBorder="1" applyAlignment="1">
      <alignment horizontal="center" vertical="center"/>
    </xf>
    <xf numFmtId="0" fontId="21" fillId="2" borderId="5" xfId="1" applyFont="1" applyFill="1" applyBorder="1" applyAlignment="1">
      <alignment horizontal="center" vertical="center"/>
    </xf>
    <xf numFmtId="0" fontId="21" fillId="2" borderId="4" xfId="1" applyFont="1" applyFill="1" applyBorder="1" applyAlignment="1">
      <alignment horizontal="center" vertical="center"/>
    </xf>
  </cellXfs>
  <cellStyles count="3">
    <cellStyle name="Обычный" xfId="0" builtinId="0"/>
    <cellStyle name="Обычный 12" xfId="2" xr:uid="{DE3F7A3C-A273-450D-9306-6E685B5558AF}"/>
    <cellStyle name="Обычный 15" xfId="1" xr:uid="{AA62023E-6471-4F6D-9807-52328B6B94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.Kletska\Desktop\&#1073;&#1102;&#1076;&#1078;&#1077;&#1090;\2023\05%202023\&#1050;&#1086;&#1087;&#1080;&#1103;%2004%20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.Kletska\Desktop\&#1073;&#1102;&#1076;&#1078;&#1077;&#1090;\2023\04%202023\&#1092;&#1072;&#1082;&#1090;%2003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.Kletska\Desktop\&#1073;&#1102;&#1076;&#1078;&#1077;&#1090;\2023\03%202023\02%20202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.Kletska\Desktop\&#1073;&#1102;&#1076;&#1078;&#1077;&#1090;\2023\02%202023\01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бюджет"/>
      <sheetName val="факт"/>
      <sheetName val="поступление"/>
    </sheetNames>
    <sheetDataSet>
      <sheetData sheetId="0" refreshError="1"/>
      <sheetData sheetId="1" refreshError="1"/>
      <sheetData sheetId="2" refreshError="1"/>
      <sheetData sheetId="3">
        <row r="44">
          <cell r="F44">
            <v>2189529.2853759998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лан"/>
      <sheetName val="поступление"/>
      <sheetName val="факт"/>
    </sheetNames>
    <sheetDataSet>
      <sheetData sheetId="0" refreshError="1"/>
      <sheetData sheetId="1">
        <row r="51">
          <cell r="D51">
            <v>2507410.5321199996</v>
          </cell>
          <cell r="E51">
            <v>5696.53</v>
          </cell>
        </row>
        <row r="55">
          <cell r="E55">
            <v>5454312.4335639998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ступление"/>
      <sheetName val="plan"/>
      <sheetName val="fact"/>
    </sheetNames>
    <sheetDataSet>
      <sheetData sheetId="0">
        <row r="45">
          <cell r="G45">
            <v>12326.634055</v>
          </cell>
        </row>
        <row r="50">
          <cell r="F50">
            <v>2873081.5711809997</v>
          </cell>
        </row>
        <row r="51">
          <cell r="F51">
            <v>461389.97670400003</v>
          </cell>
        </row>
      </sheetData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факт"/>
      <sheetName val="поступление"/>
    </sheetNames>
    <sheetDataSet>
      <sheetData sheetId="0" refreshError="1"/>
      <sheetData sheetId="1" refreshError="1"/>
      <sheetData sheetId="2">
        <row r="50">
          <cell r="F50">
            <v>96301.065499999997</v>
          </cell>
        </row>
        <row r="51">
          <cell r="F51">
            <v>301110.89281400002</v>
          </cell>
        </row>
        <row r="52">
          <cell r="F52">
            <v>525952.72141400003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56D65-92B6-48FE-8CAF-A6DD2722CA6E}">
  <sheetPr codeName="Лист1">
    <tabColor rgb="FFFF0000"/>
  </sheetPr>
  <dimension ref="A1:Q45"/>
  <sheetViews>
    <sheetView workbookViewId="0">
      <selection activeCell="M3" sqref="M3"/>
    </sheetView>
  </sheetViews>
  <sheetFormatPr defaultColWidth="14.140625" defaultRowHeight="11.25" x14ac:dyDescent="0.2"/>
  <cols>
    <col min="1" max="1" width="6.140625" style="9" customWidth="1"/>
    <col min="2" max="2" width="40.140625" style="58" customWidth="1"/>
    <col min="3" max="8" width="21.140625" style="9" hidden="1" customWidth="1"/>
    <col min="9" max="9" width="16.140625" style="73" customWidth="1"/>
    <col min="10" max="14" width="16.140625" style="9" customWidth="1"/>
    <col min="15" max="16384" width="14.140625" style="9"/>
  </cols>
  <sheetData>
    <row r="1" spans="1:14" s="3" customFormat="1" ht="30" customHeight="1" x14ac:dyDescent="0.25">
      <c r="A1" s="105"/>
      <c r="B1" s="102" t="s">
        <v>12</v>
      </c>
      <c r="C1" s="100" t="s">
        <v>78</v>
      </c>
      <c r="D1" s="100" t="s">
        <v>73</v>
      </c>
      <c r="E1" s="100" t="s">
        <v>75</v>
      </c>
      <c r="F1" s="100" t="s">
        <v>76</v>
      </c>
      <c r="G1" s="100" t="s">
        <v>77</v>
      </c>
      <c r="H1" s="100" t="s">
        <v>74</v>
      </c>
      <c r="I1" s="100" t="s">
        <v>78</v>
      </c>
      <c r="J1" s="100" t="s">
        <v>121</v>
      </c>
      <c r="K1" s="100" t="s">
        <v>122</v>
      </c>
      <c r="L1" s="100" t="s">
        <v>123</v>
      </c>
      <c r="M1" s="100" t="s">
        <v>124</v>
      </c>
      <c r="N1" s="100" t="s">
        <v>72</v>
      </c>
    </row>
    <row r="2" spans="1:14" x14ac:dyDescent="0.2">
      <c r="A2" s="106"/>
      <c r="B2" s="103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</row>
    <row r="3" spans="1:14" x14ac:dyDescent="0.2">
      <c r="A3" s="107"/>
      <c r="B3" s="104"/>
      <c r="C3" s="46"/>
      <c r="D3" s="46"/>
      <c r="E3" s="46"/>
      <c r="F3" s="46"/>
      <c r="G3" s="46"/>
      <c r="H3" s="46"/>
      <c r="I3" s="46" t="s">
        <v>120</v>
      </c>
      <c r="J3" s="46" t="s">
        <v>120</v>
      </c>
      <c r="K3" s="46" t="s">
        <v>120</v>
      </c>
      <c r="L3" s="46" t="s">
        <v>120</v>
      </c>
      <c r="M3" s="46" t="s">
        <v>120</v>
      </c>
      <c r="N3" s="46" t="s">
        <v>120</v>
      </c>
    </row>
    <row r="4" spans="1:14" s="3" customFormat="1" ht="12.75" x14ac:dyDescent="0.25">
      <c r="A4" s="20" t="s">
        <v>15</v>
      </c>
      <c r="B4" s="61" t="s">
        <v>16</v>
      </c>
      <c r="C4" s="21">
        <f>D4+E4+F4+G4+H4</f>
        <v>117607597.83</v>
      </c>
      <c r="D4" s="21">
        <v>21229289</v>
      </c>
      <c r="E4" s="21">
        <v>23262401</v>
      </c>
      <c r="F4" s="21">
        <v>22900370</v>
      </c>
      <c r="G4" s="21">
        <v>25412073.890000001</v>
      </c>
      <c r="H4" s="21">
        <v>24803463.940000001</v>
      </c>
      <c r="I4" s="21">
        <f>C4/1000</f>
        <v>117607.59783</v>
      </c>
      <c r="J4" s="21">
        <f t="shared" ref="J4:N19" si="0">D4/1000</f>
        <v>21229.289000000001</v>
      </c>
      <c r="K4" s="21">
        <f t="shared" si="0"/>
        <v>23262.401000000002</v>
      </c>
      <c r="L4" s="21">
        <f t="shared" si="0"/>
        <v>22900.37</v>
      </c>
      <c r="M4" s="21">
        <f t="shared" si="0"/>
        <v>25412.07389</v>
      </c>
      <c r="N4" s="21">
        <f t="shared" si="0"/>
        <v>24803.463940000001</v>
      </c>
    </row>
    <row r="5" spans="1:14" s="3" customFormat="1" ht="12.75" x14ac:dyDescent="0.25">
      <c r="A5" s="20" t="s">
        <v>19</v>
      </c>
      <c r="B5" s="61" t="s">
        <v>20</v>
      </c>
      <c r="C5" s="21">
        <f t="shared" ref="C5:C43" si="1">D5+E5+F5+G5+H5</f>
        <v>18524750.780000001</v>
      </c>
      <c r="D5" s="21">
        <v>3457329</v>
      </c>
      <c r="E5" s="21">
        <v>3511645</v>
      </c>
      <c r="F5" s="21">
        <v>3299450</v>
      </c>
      <c r="G5" s="21">
        <v>4109841.62</v>
      </c>
      <c r="H5" s="21">
        <v>4146485.1599999997</v>
      </c>
      <c r="I5" s="21">
        <f t="shared" ref="I5:I43" si="2">C5/1000</f>
        <v>18524.750780000002</v>
      </c>
      <c r="J5" s="21">
        <f t="shared" si="0"/>
        <v>3457.3290000000002</v>
      </c>
      <c r="K5" s="21">
        <f t="shared" si="0"/>
        <v>3511.645</v>
      </c>
      <c r="L5" s="21">
        <f t="shared" si="0"/>
        <v>3299.45</v>
      </c>
      <c r="M5" s="21">
        <f t="shared" si="0"/>
        <v>4109.8416200000001</v>
      </c>
      <c r="N5" s="21">
        <f t="shared" si="0"/>
        <v>4146.4851599999993</v>
      </c>
    </row>
    <row r="6" spans="1:14" s="3" customFormat="1" ht="11.25" hidden="1" customHeight="1" x14ac:dyDescent="0.25">
      <c r="A6" s="18"/>
      <c r="B6" s="54" t="s">
        <v>21</v>
      </c>
      <c r="C6" s="16">
        <f t="shared" si="1"/>
        <v>11978594.780000001</v>
      </c>
      <c r="D6" s="16">
        <v>2082230</v>
      </c>
      <c r="E6" s="16">
        <v>2188758</v>
      </c>
      <c r="F6" s="16">
        <v>2016115</v>
      </c>
      <c r="G6" s="16">
        <v>2826506.62</v>
      </c>
      <c r="H6" s="16">
        <v>2864985.1599999997</v>
      </c>
      <c r="I6" s="62">
        <f t="shared" si="2"/>
        <v>11978.594780000001</v>
      </c>
      <c r="J6" s="62">
        <f t="shared" si="0"/>
        <v>2082.23</v>
      </c>
      <c r="K6" s="62">
        <f t="shared" si="0"/>
        <v>2188.7579999999998</v>
      </c>
      <c r="L6" s="62">
        <f t="shared" si="0"/>
        <v>2016.115</v>
      </c>
      <c r="M6" s="62">
        <f t="shared" si="0"/>
        <v>2826.5066200000001</v>
      </c>
      <c r="N6" s="62">
        <f t="shared" si="0"/>
        <v>2864.9851599999997</v>
      </c>
    </row>
    <row r="7" spans="1:14" s="3" customFormat="1" ht="11.25" hidden="1" customHeight="1" x14ac:dyDescent="0.25">
      <c r="A7" s="18"/>
      <c r="B7" s="54" t="s">
        <v>22</v>
      </c>
      <c r="C7" s="16">
        <f t="shared" si="1"/>
        <v>6546156</v>
      </c>
      <c r="D7" s="16">
        <v>1375099</v>
      </c>
      <c r="E7" s="16">
        <v>1322887</v>
      </c>
      <c r="F7" s="16">
        <v>1283335</v>
      </c>
      <c r="G7" s="16">
        <v>1283335</v>
      </c>
      <c r="H7" s="16">
        <v>1281500</v>
      </c>
      <c r="I7" s="62">
        <f t="shared" si="2"/>
        <v>6546.1559999999999</v>
      </c>
      <c r="J7" s="62">
        <f t="shared" si="0"/>
        <v>1375.0989999999999</v>
      </c>
      <c r="K7" s="62">
        <f t="shared" si="0"/>
        <v>1322.8869999999999</v>
      </c>
      <c r="L7" s="62">
        <f t="shared" si="0"/>
        <v>1283.335</v>
      </c>
      <c r="M7" s="62">
        <f t="shared" si="0"/>
        <v>1283.335</v>
      </c>
      <c r="N7" s="62">
        <f t="shared" si="0"/>
        <v>1281.5</v>
      </c>
    </row>
    <row r="8" spans="1:14" s="19" customFormat="1" ht="12.75" x14ac:dyDescent="0.25">
      <c r="A8" s="20" t="s">
        <v>23</v>
      </c>
      <c r="B8" s="61" t="s">
        <v>24</v>
      </c>
      <c r="C8" s="21">
        <f t="shared" si="1"/>
        <v>91893657.202999994</v>
      </c>
      <c r="D8" s="21">
        <v>14946000</v>
      </c>
      <c r="E8" s="21">
        <v>6188245</v>
      </c>
      <c r="F8" s="21">
        <v>25255067</v>
      </c>
      <c r="G8" s="21">
        <v>1269000</v>
      </c>
      <c r="H8" s="21">
        <v>44235345.202999994</v>
      </c>
      <c r="I8" s="21">
        <f t="shared" si="2"/>
        <v>91893.657202999995</v>
      </c>
      <c r="J8" s="21">
        <f t="shared" si="0"/>
        <v>14946</v>
      </c>
      <c r="K8" s="21">
        <f t="shared" si="0"/>
        <v>6188.2449999999999</v>
      </c>
      <c r="L8" s="21">
        <f t="shared" si="0"/>
        <v>25255.066999999999</v>
      </c>
      <c r="M8" s="21">
        <f t="shared" si="0"/>
        <v>1269</v>
      </c>
      <c r="N8" s="21">
        <f t="shared" si="0"/>
        <v>44235.345202999997</v>
      </c>
    </row>
    <row r="9" spans="1:14" s="3" customFormat="1" ht="11.25" hidden="1" customHeight="1" x14ac:dyDescent="0.25">
      <c r="A9" s="18"/>
      <c r="B9" s="54" t="s">
        <v>119</v>
      </c>
      <c r="C9" s="16">
        <f t="shared" si="1"/>
        <v>5346000</v>
      </c>
      <c r="D9" s="16">
        <v>5346000</v>
      </c>
      <c r="E9" s="16"/>
      <c r="F9" s="16"/>
      <c r="G9" s="16">
        <v>0</v>
      </c>
      <c r="H9" s="16">
        <v>0</v>
      </c>
      <c r="I9" s="62">
        <f t="shared" si="2"/>
        <v>5346</v>
      </c>
      <c r="J9" s="62">
        <f t="shared" si="0"/>
        <v>5346</v>
      </c>
      <c r="K9" s="62">
        <f t="shared" si="0"/>
        <v>0</v>
      </c>
      <c r="L9" s="62">
        <f t="shared" si="0"/>
        <v>0</v>
      </c>
      <c r="M9" s="62">
        <f t="shared" si="0"/>
        <v>0</v>
      </c>
      <c r="N9" s="62">
        <f t="shared" si="0"/>
        <v>0</v>
      </c>
    </row>
    <row r="10" spans="1:14" s="3" customFormat="1" ht="11.25" hidden="1" customHeight="1" x14ac:dyDescent="0.25">
      <c r="A10" s="18"/>
      <c r="B10" s="54" t="s">
        <v>26</v>
      </c>
      <c r="C10" s="16">
        <f t="shared" si="1"/>
        <v>24738319.302999999</v>
      </c>
      <c r="D10" s="16"/>
      <c r="E10" s="16"/>
      <c r="F10" s="16"/>
      <c r="G10" s="16">
        <v>0</v>
      </c>
      <c r="H10" s="16">
        <v>24738319.302999999</v>
      </c>
      <c r="I10" s="62">
        <f t="shared" si="2"/>
        <v>24738.319303</v>
      </c>
      <c r="J10" s="62">
        <f t="shared" si="0"/>
        <v>0</v>
      </c>
      <c r="K10" s="62">
        <f t="shared" si="0"/>
        <v>0</v>
      </c>
      <c r="L10" s="62">
        <f t="shared" si="0"/>
        <v>0</v>
      </c>
      <c r="M10" s="62">
        <f t="shared" si="0"/>
        <v>0</v>
      </c>
      <c r="N10" s="62">
        <f t="shared" si="0"/>
        <v>24738.319303</v>
      </c>
    </row>
    <row r="11" spans="1:14" s="3" customFormat="1" ht="11.25" hidden="1" customHeight="1" x14ac:dyDescent="0.25">
      <c r="A11" s="18"/>
      <c r="B11" s="54" t="s">
        <v>27</v>
      </c>
      <c r="C11" s="16">
        <f t="shared" si="1"/>
        <v>0</v>
      </c>
      <c r="D11" s="16"/>
      <c r="E11" s="16"/>
      <c r="F11" s="16"/>
      <c r="G11" s="16">
        <v>0</v>
      </c>
      <c r="H11" s="16">
        <v>0</v>
      </c>
      <c r="I11" s="62">
        <f t="shared" si="2"/>
        <v>0</v>
      </c>
      <c r="J11" s="62">
        <f t="shared" si="0"/>
        <v>0</v>
      </c>
      <c r="K11" s="62">
        <f t="shared" si="0"/>
        <v>0</v>
      </c>
      <c r="L11" s="62">
        <f t="shared" si="0"/>
        <v>0</v>
      </c>
      <c r="M11" s="62">
        <f t="shared" si="0"/>
        <v>0</v>
      </c>
      <c r="N11" s="62">
        <f t="shared" si="0"/>
        <v>0</v>
      </c>
    </row>
    <row r="12" spans="1:14" s="3" customFormat="1" ht="11.25" hidden="1" customHeight="1" x14ac:dyDescent="0.25">
      <c r="A12" s="18"/>
      <c r="B12" s="54" t="s">
        <v>28</v>
      </c>
      <c r="C12" s="16">
        <f t="shared" si="1"/>
        <v>2513107</v>
      </c>
      <c r="D12" s="16"/>
      <c r="E12" s="16"/>
      <c r="F12" s="16">
        <v>2513107</v>
      </c>
      <c r="G12" s="16">
        <v>0</v>
      </c>
      <c r="H12" s="16">
        <v>0</v>
      </c>
      <c r="I12" s="62">
        <f t="shared" si="2"/>
        <v>2513.107</v>
      </c>
      <c r="J12" s="62">
        <f t="shared" si="0"/>
        <v>0</v>
      </c>
      <c r="K12" s="62">
        <f t="shared" si="0"/>
        <v>0</v>
      </c>
      <c r="L12" s="62">
        <f t="shared" si="0"/>
        <v>2513.107</v>
      </c>
      <c r="M12" s="62">
        <f t="shared" si="0"/>
        <v>0</v>
      </c>
      <c r="N12" s="62">
        <f t="shared" si="0"/>
        <v>0</v>
      </c>
    </row>
    <row r="13" spans="1:14" s="3" customFormat="1" ht="11.25" hidden="1" customHeight="1" x14ac:dyDescent="0.25">
      <c r="A13" s="18"/>
      <c r="B13" s="54" t="s">
        <v>29</v>
      </c>
      <c r="C13" s="16">
        <f t="shared" si="1"/>
        <v>51417005.899999999</v>
      </c>
      <c r="D13" s="16">
        <v>9600000</v>
      </c>
      <c r="E13" s="16"/>
      <c r="F13" s="16">
        <v>22319980</v>
      </c>
      <c r="G13" s="16">
        <v>0</v>
      </c>
      <c r="H13" s="16">
        <v>19497025.899999999</v>
      </c>
      <c r="I13" s="62">
        <f t="shared" si="2"/>
        <v>51417.005899999996</v>
      </c>
      <c r="J13" s="62">
        <f t="shared" si="0"/>
        <v>9600</v>
      </c>
      <c r="K13" s="62">
        <f t="shared" si="0"/>
        <v>0</v>
      </c>
      <c r="L13" s="62">
        <f t="shared" si="0"/>
        <v>22319.98</v>
      </c>
      <c r="M13" s="62">
        <f t="shared" si="0"/>
        <v>0</v>
      </c>
      <c r="N13" s="62">
        <f t="shared" si="0"/>
        <v>19497.025899999997</v>
      </c>
    </row>
    <row r="14" spans="1:14" s="3" customFormat="1" ht="11.25" hidden="1" customHeight="1" x14ac:dyDescent="0.25">
      <c r="A14" s="18"/>
      <c r="B14" s="54" t="s">
        <v>30</v>
      </c>
      <c r="C14" s="16">
        <f t="shared" si="1"/>
        <v>3290545</v>
      </c>
      <c r="D14" s="16"/>
      <c r="E14" s="16">
        <v>3290545</v>
      </c>
      <c r="F14" s="16"/>
      <c r="G14" s="16">
        <v>0</v>
      </c>
      <c r="H14" s="16">
        <v>0</v>
      </c>
      <c r="I14" s="62">
        <f t="shared" si="2"/>
        <v>3290.5450000000001</v>
      </c>
      <c r="J14" s="62">
        <f t="shared" si="0"/>
        <v>0</v>
      </c>
      <c r="K14" s="62">
        <f t="shared" si="0"/>
        <v>3290.5450000000001</v>
      </c>
      <c r="L14" s="62">
        <f t="shared" si="0"/>
        <v>0</v>
      </c>
      <c r="M14" s="62">
        <f t="shared" si="0"/>
        <v>0</v>
      </c>
      <c r="N14" s="62">
        <f t="shared" si="0"/>
        <v>0</v>
      </c>
    </row>
    <row r="15" spans="1:14" s="3" customFormat="1" ht="11.25" hidden="1" customHeight="1" x14ac:dyDescent="0.25">
      <c r="A15" s="18"/>
      <c r="B15" s="54" t="s">
        <v>31</v>
      </c>
      <c r="C15" s="16">
        <f t="shared" si="1"/>
        <v>4588680</v>
      </c>
      <c r="D15" s="16"/>
      <c r="E15" s="16">
        <v>2897700</v>
      </c>
      <c r="F15" s="16">
        <v>421980</v>
      </c>
      <c r="G15" s="16">
        <v>1269000</v>
      </c>
      <c r="H15" s="16">
        <v>0</v>
      </c>
      <c r="I15" s="62">
        <f t="shared" si="2"/>
        <v>4588.68</v>
      </c>
      <c r="J15" s="62">
        <f t="shared" si="0"/>
        <v>0</v>
      </c>
      <c r="K15" s="62">
        <f t="shared" si="0"/>
        <v>2897.7</v>
      </c>
      <c r="L15" s="62">
        <f t="shared" si="0"/>
        <v>421.98</v>
      </c>
      <c r="M15" s="62">
        <f t="shared" si="0"/>
        <v>1269</v>
      </c>
      <c r="N15" s="62">
        <f t="shared" si="0"/>
        <v>0</v>
      </c>
    </row>
    <row r="16" spans="1:14" s="3" customFormat="1" ht="25.5" x14ac:dyDescent="0.25">
      <c r="A16" s="20" t="s">
        <v>32</v>
      </c>
      <c r="B16" s="61" t="s">
        <v>33</v>
      </c>
      <c r="C16" s="21">
        <f t="shared" si="1"/>
        <v>39479496.060000002</v>
      </c>
      <c r="D16" s="21">
        <v>6725750</v>
      </c>
      <c r="E16" s="21">
        <v>7670176</v>
      </c>
      <c r="F16" s="21">
        <v>17077697</v>
      </c>
      <c r="G16" s="21">
        <v>965720.2</v>
      </c>
      <c r="H16" s="21">
        <v>7040152.8599999994</v>
      </c>
      <c r="I16" s="21">
        <f t="shared" si="2"/>
        <v>39479.496060000005</v>
      </c>
      <c r="J16" s="21">
        <f t="shared" si="0"/>
        <v>6725.75</v>
      </c>
      <c r="K16" s="21">
        <f t="shared" si="0"/>
        <v>7670.1760000000004</v>
      </c>
      <c r="L16" s="21">
        <f t="shared" si="0"/>
        <v>17077.697</v>
      </c>
      <c r="M16" s="21">
        <f t="shared" si="0"/>
        <v>965.72019999999998</v>
      </c>
      <c r="N16" s="21">
        <f t="shared" si="0"/>
        <v>7040.1528599999992</v>
      </c>
    </row>
    <row r="17" spans="1:14" s="3" customFormat="1" ht="12.75" x14ac:dyDescent="0.25">
      <c r="A17" s="20" t="s">
        <v>34</v>
      </c>
      <c r="B17" s="61" t="s">
        <v>35</v>
      </c>
      <c r="C17" s="21">
        <f t="shared" si="1"/>
        <v>11917975.800000001</v>
      </c>
      <c r="D17" s="21">
        <v>30718</v>
      </c>
      <c r="E17" s="21">
        <v>189270</v>
      </c>
      <c r="F17" s="21">
        <v>514228</v>
      </c>
      <c r="G17" s="21">
        <v>7359059.6700000009</v>
      </c>
      <c r="H17" s="21">
        <v>3824700.13</v>
      </c>
      <c r="I17" s="21">
        <f t="shared" si="2"/>
        <v>11917.9758</v>
      </c>
      <c r="J17" s="21">
        <f t="shared" si="0"/>
        <v>30.718</v>
      </c>
      <c r="K17" s="21">
        <f t="shared" si="0"/>
        <v>189.27</v>
      </c>
      <c r="L17" s="21">
        <f t="shared" si="0"/>
        <v>514.22799999999995</v>
      </c>
      <c r="M17" s="21">
        <f t="shared" si="0"/>
        <v>7359.0596700000006</v>
      </c>
      <c r="N17" s="21">
        <f t="shared" si="0"/>
        <v>3824.7001299999997</v>
      </c>
    </row>
    <row r="18" spans="1:14" s="3" customFormat="1" ht="12.75" x14ac:dyDescent="0.25">
      <c r="A18" s="20" t="s">
        <v>36</v>
      </c>
      <c r="B18" s="61" t="s">
        <v>37</v>
      </c>
      <c r="C18" s="21">
        <f t="shared" si="1"/>
        <v>17075145.32</v>
      </c>
      <c r="D18" s="21">
        <v>4598050</v>
      </c>
      <c r="E18" s="21">
        <v>2008259</v>
      </c>
      <c r="F18" s="21">
        <v>6138284</v>
      </c>
      <c r="G18" s="21">
        <v>4330552.32</v>
      </c>
      <c r="H18" s="21">
        <v>0</v>
      </c>
      <c r="I18" s="21">
        <f t="shared" si="2"/>
        <v>17075.14532</v>
      </c>
      <c r="J18" s="21">
        <f t="shared" si="0"/>
        <v>4598.05</v>
      </c>
      <c r="K18" s="21">
        <f t="shared" si="0"/>
        <v>2008.259</v>
      </c>
      <c r="L18" s="21">
        <f t="shared" si="0"/>
        <v>6138.2839999999997</v>
      </c>
      <c r="M18" s="21">
        <f t="shared" si="0"/>
        <v>4330.5523200000007</v>
      </c>
      <c r="N18" s="21">
        <f t="shared" si="0"/>
        <v>0</v>
      </c>
    </row>
    <row r="19" spans="1:14" s="3" customFormat="1" ht="25.5" x14ac:dyDescent="0.25">
      <c r="A19" s="20" t="s">
        <v>38</v>
      </c>
      <c r="B19" s="61" t="s">
        <v>39</v>
      </c>
      <c r="C19" s="21">
        <f t="shared" si="1"/>
        <v>54060871.960000001</v>
      </c>
      <c r="D19" s="21">
        <v>8249372</v>
      </c>
      <c r="E19" s="21">
        <v>13104611</v>
      </c>
      <c r="F19" s="21">
        <v>8320174</v>
      </c>
      <c r="G19" s="21">
        <v>15812432.57</v>
      </c>
      <c r="H19" s="21">
        <v>8574282.3900000006</v>
      </c>
      <c r="I19" s="21">
        <f t="shared" si="2"/>
        <v>54060.871960000004</v>
      </c>
      <c r="J19" s="21">
        <f t="shared" si="0"/>
        <v>8249.3719999999994</v>
      </c>
      <c r="K19" s="21">
        <f t="shared" si="0"/>
        <v>13104.611000000001</v>
      </c>
      <c r="L19" s="21">
        <f t="shared" si="0"/>
        <v>8320.1740000000009</v>
      </c>
      <c r="M19" s="21">
        <f t="shared" si="0"/>
        <v>15812.432570000001</v>
      </c>
      <c r="N19" s="21">
        <f t="shared" si="0"/>
        <v>8574.2823900000003</v>
      </c>
    </row>
    <row r="20" spans="1:14" s="3" customFormat="1" ht="12.75" hidden="1" customHeight="1" x14ac:dyDescent="0.25">
      <c r="A20" s="20"/>
      <c r="B20" s="54" t="s">
        <v>40</v>
      </c>
      <c r="C20" s="16">
        <f t="shared" si="1"/>
        <v>37657433.460000001</v>
      </c>
      <c r="D20" s="16">
        <v>7000000</v>
      </c>
      <c r="E20" s="16">
        <v>13000000</v>
      </c>
      <c r="F20" s="16">
        <v>4000000</v>
      </c>
      <c r="G20" s="16">
        <v>13657433.460000001</v>
      </c>
      <c r="H20" s="16">
        <v>0</v>
      </c>
      <c r="I20" s="62">
        <f t="shared" si="2"/>
        <v>37657.43346</v>
      </c>
      <c r="J20" s="62">
        <f t="shared" ref="J20:J43" si="3">D20/1000</f>
        <v>7000</v>
      </c>
      <c r="K20" s="62">
        <f t="shared" ref="K20:K43" si="4">E20/1000</f>
        <v>13000</v>
      </c>
      <c r="L20" s="62">
        <f t="shared" ref="L20:L43" si="5">F20/1000</f>
        <v>4000</v>
      </c>
      <c r="M20" s="62">
        <f t="shared" ref="M20:M43" si="6">G20/1000</f>
        <v>13657.43346</v>
      </c>
      <c r="N20" s="62">
        <f t="shared" ref="N20:N43" si="7">H20/1000</f>
        <v>0</v>
      </c>
    </row>
    <row r="21" spans="1:14" s="3" customFormat="1" ht="12.75" hidden="1" customHeight="1" x14ac:dyDescent="0.25">
      <c r="A21" s="20"/>
      <c r="B21" s="54" t="s">
        <v>41</v>
      </c>
      <c r="C21" s="16">
        <f t="shared" si="1"/>
        <v>14835854.560000001</v>
      </c>
      <c r="D21" s="16">
        <v>236974</v>
      </c>
      <c r="E21" s="16">
        <v>104611</v>
      </c>
      <c r="F21" s="16">
        <v>4320174</v>
      </c>
      <c r="G21" s="16">
        <v>1599813.17</v>
      </c>
      <c r="H21" s="16">
        <v>8574282.3900000006</v>
      </c>
      <c r="I21" s="62">
        <f t="shared" si="2"/>
        <v>14835.85456</v>
      </c>
      <c r="J21" s="62">
        <f t="shared" si="3"/>
        <v>236.97399999999999</v>
      </c>
      <c r="K21" s="62">
        <f t="shared" si="4"/>
        <v>104.611</v>
      </c>
      <c r="L21" s="62">
        <f t="shared" si="5"/>
        <v>4320.174</v>
      </c>
      <c r="M21" s="62">
        <f t="shared" si="6"/>
        <v>1599.8131699999999</v>
      </c>
      <c r="N21" s="62">
        <f t="shared" si="7"/>
        <v>8574.2823900000003</v>
      </c>
    </row>
    <row r="22" spans="1:14" s="3" customFormat="1" ht="12.75" hidden="1" customHeight="1" x14ac:dyDescent="0.25">
      <c r="A22" s="20"/>
      <c r="B22" s="54" t="s">
        <v>42</v>
      </c>
      <c r="C22" s="16">
        <f t="shared" si="1"/>
        <v>1012399</v>
      </c>
      <c r="D22" s="16">
        <v>1012399</v>
      </c>
      <c r="E22" s="16"/>
      <c r="F22" s="16"/>
      <c r="G22" s="16">
        <v>0</v>
      </c>
      <c r="H22" s="16">
        <v>0</v>
      </c>
      <c r="I22" s="62">
        <f t="shared" si="2"/>
        <v>1012.399</v>
      </c>
      <c r="J22" s="62">
        <f t="shared" si="3"/>
        <v>1012.399</v>
      </c>
      <c r="K22" s="62">
        <f t="shared" si="4"/>
        <v>0</v>
      </c>
      <c r="L22" s="62">
        <f t="shared" si="5"/>
        <v>0</v>
      </c>
      <c r="M22" s="62">
        <f t="shared" si="6"/>
        <v>0</v>
      </c>
      <c r="N22" s="62">
        <f t="shared" si="7"/>
        <v>0</v>
      </c>
    </row>
    <row r="23" spans="1:14" s="3" customFormat="1" ht="12.75" hidden="1" customHeight="1" x14ac:dyDescent="0.25">
      <c r="A23" s="20"/>
      <c r="B23" s="54" t="s">
        <v>43</v>
      </c>
      <c r="C23" s="16">
        <f t="shared" si="1"/>
        <v>555185.93999999994</v>
      </c>
      <c r="D23" s="16"/>
      <c r="E23" s="16"/>
      <c r="F23" s="16"/>
      <c r="G23" s="16">
        <v>555185.93999999994</v>
      </c>
      <c r="H23" s="16">
        <v>0</v>
      </c>
      <c r="I23" s="62">
        <f t="shared" si="2"/>
        <v>555.18593999999996</v>
      </c>
      <c r="J23" s="62">
        <f t="shared" si="3"/>
        <v>0</v>
      </c>
      <c r="K23" s="62">
        <f t="shared" si="4"/>
        <v>0</v>
      </c>
      <c r="L23" s="62">
        <f t="shared" si="5"/>
        <v>0</v>
      </c>
      <c r="M23" s="62">
        <f t="shared" si="6"/>
        <v>555.18593999999996</v>
      </c>
      <c r="N23" s="62">
        <f t="shared" si="7"/>
        <v>0</v>
      </c>
    </row>
    <row r="24" spans="1:14" s="3" customFormat="1" ht="12.75" hidden="1" customHeight="1" x14ac:dyDescent="0.25">
      <c r="A24" s="20"/>
      <c r="B24" s="54" t="s">
        <v>44</v>
      </c>
      <c r="C24" s="16">
        <f t="shared" si="1"/>
        <v>0</v>
      </c>
      <c r="D24" s="16"/>
      <c r="E24" s="16"/>
      <c r="F24" s="16"/>
      <c r="G24" s="16">
        <v>0</v>
      </c>
      <c r="H24" s="16">
        <v>0</v>
      </c>
      <c r="I24" s="62">
        <f t="shared" si="2"/>
        <v>0</v>
      </c>
      <c r="J24" s="62">
        <f t="shared" si="3"/>
        <v>0</v>
      </c>
      <c r="K24" s="62">
        <f t="shared" si="4"/>
        <v>0</v>
      </c>
      <c r="L24" s="62">
        <f t="shared" si="5"/>
        <v>0</v>
      </c>
      <c r="M24" s="62">
        <f t="shared" si="6"/>
        <v>0</v>
      </c>
      <c r="N24" s="62">
        <f t="shared" si="7"/>
        <v>0</v>
      </c>
    </row>
    <row r="25" spans="1:14" s="3" customFormat="1" ht="12.75" hidden="1" x14ac:dyDescent="0.25">
      <c r="A25" s="20" t="s">
        <v>45</v>
      </c>
      <c r="B25" s="61" t="s">
        <v>46</v>
      </c>
      <c r="C25" s="21">
        <f t="shared" si="1"/>
        <v>0</v>
      </c>
      <c r="D25" s="21"/>
      <c r="E25" s="21"/>
      <c r="F25" s="21"/>
      <c r="G25" s="21">
        <v>0</v>
      </c>
      <c r="H25" s="21">
        <v>0</v>
      </c>
      <c r="I25" s="21">
        <f t="shared" si="2"/>
        <v>0</v>
      </c>
      <c r="J25" s="21">
        <f t="shared" si="3"/>
        <v>0</v>
      </c>
      <c r="K25" s="21">
        <f t="shared" si="4"/>
        <v>0</v>
      </c>
      <c r="L25" s="21">
        <f t="shared" si="5"/>
        <v>0</v>
      </c>
      <c r="M25" s="21">
        <f t="shared" si="6"/>
        <v>0</v>
      </c>
      <c r="N25" s="21">
        <f t="shared" si="7"/>
        <v>0</v>
      </c>
    </row>
    <row r="26" spans="1:14" s="3" customFormat="1" ht="12.75" x14ac:dyDescent="0.25">
      <c r="A26" s="20" t="s">
        <v>47</v>
      </c>
      <c r="B26" s="61" t="s">
        <v>48</v>
      </c>
      <c r="C26" s="21">
        <f t="shared" si="1"/>
        <v>49665343.510000005</v>
      </c>
      <c r="D26" s="21">
        <v>9016426</v>
      </c>
      <c r="E26" s="21">
        <v>11628499</v>
      </c>
      <c r="F26" s="21">
        <v>12094084</v>
      </c>
      <c r="G26" s="21">
        <v>11916941.030000001</v>
      </c>
      <c r="H26" s="21">
        <v>5009393.4800000004</v>
      </c>
      <c r="I26" s="21">
        <f t="shared" si="2"/>
        <v>49665.343510000006</v>
      </c>
      <c r="J26" s="21">
        <f t="shared" si="3"/>
        <v>9016.4259999999995</v>
      </c>
      <c r="K26" s="21">
        <f t="shared" si="4"/>
        <v>11628.499</v>
      </c>
      <c r="L26" s="21">
        <f t="shared" si="5"/>
        <v>12094.084000000001</v>
      </c>
      <c r="M26" s="21">
        <f t="shared" si="6"/>
        <v>11916.941030000002</v>
      </c>
      <c r="N26" s="21">
        <f t="shared" si="7"/>
        <v>5009.3934800000006</v>
      </c>
    </row>
    <row r="27" spans="1:14" s="3" customFormat="1" ht="12.75" x14ac:dyDescent="0.25">
      <c r="A27" s="20" t="s">
        <v>49</v>
      </c>
      <c r="B27" s="61" t="s">
        <v>50</v>
      </c>
      <c r="C27" s="21">
        <f t="shared" si="1"/>
        <v>58639612.579999998</v>
      </c>
      <c r="D27" s="21">
        <v>8484977</v>
      </c>
      <c r="E27" s="21">
        <v>3055647</v>
      </c>
      <c r="F27" s="21">
        <v>7537873</v>
      </c>
      <c r="G27" s="21">
        <v>36707967.18</v>
      </c>
      <c r="H27" s="21">
        <v>2853148.4</v>
      </c>
      <c r="I27" s="21">
        <f t="shared" si="2"/>
        <v>58639.612580000001</v>
      </c>
      <c r="J27" s="21">
        <f t="shared" si="3"/>
        <v>8484.9770000000008</v>
      </c>
      <c r="K27" s="21">
        <f t="shared" si="4"/>
        <v>3055.6469999999999</v>
      </c>
      <c r="L27" s="21">
        <f t="shared" si="5"/>
        <v>7537.8729999999996</v>
      </c>
      <c r="M27" s="21">
        <f t="shared" si="6"/>
        <v>36707.96718</v>
      </c>
      <c r="N27" s="21">
        <f t="shared" si="7"/>
        <v>2853.1484</v>
      </c>
    </row>
    <row r="28" spans="1:14" s="3" customFormat="1" ht="11.25" hidden="1" customHeight="1" x14ac:dyDescent="0.25">
      <c r="A28" s="18"/>
      <c r="B28" s="54" t="s">
        <v>51</v>
      </c>
      <c r="C28" s="16">
        <f t="shared" si="1"/>
        <v>58402044</v>
      </c>
      <c r="D28" s="16">
        <v>8452044</v>
      </c>
      <c r="E28" s="16">
        <v>3000000</v>
      </c>
      <c r="F28" s="16">
        <v>7500000</v>
      </c>
      <c r="G28" s="16">
        <v>36650000</v>
      </c>
      <c r="H28" s="16">
        <v>2800000</v>
      </c>
      <c r="I28" s="62">
        <f t="shared" si="2"/>
        <v>58402.044000000002</v>
      </c>
      <c r="J28" s="62">
        <f t="shared" si="3"/>
        <v>8452.0439999999999</v>
      </c>
      <c r="K28" s="62">
        <f t="shared" si="4"/>
        <v>3000</v>
      </c>
      <c r="L28" s="62">
        <f t="shared" si="5"/>
        <v>7500</v>
      </c>
      <c r="M28" s="62">
        <f t="shared" si="6"/>
        <v>36650</v>
      </c>
      <c r="N28" s="62">
        <f t="shared" si="7"/>
        <v>2800</v>
      </c>
    </row>
    <row r="29" spans="1:14" s="3" customFormat="1" ht="11.25" hidden="1" customHeight="1" x14ac:dyDescent="0.25">
      <c r="A29" s="18"/>
      <c r="B29" s="54" t="s">
        <v>52</v>
      </c>
      <c r="C29" s="16">
        <f t="shared" si="1"/>
        <v>237568.58</v>
      </c>
      <c r="D29" s="16">
        <v>32933</v>
      </c>
      <c r="E29" s="16">
        <v>55647</v>
      </c>
      <c r="F29" s="16">
        <v>37873</v>
      </c>
      <c r="G29" s="16">
        <v>57967.18</v>
      </c>
      <c r="H29" s="16">
        <v>53148.4</v>
      </c>
      <c r="I29" s="62">
        <f t="shared" si="2"/>
        <v>237.56858</v>
      </c>
      <c r="J29" s="62">
        <f t="shared" si="3"/>
        <v>32.933</v>
      </c>
      <c r="K29" s="62">
        <f t="shared" si="4"/>
        <v>55.646999999999998</v>
      </c>
      <c r="L29" s="62">
        <f t="shared" si="5"/>
        <v>37.872999999999998</v>
      </c>
      <c r="M29" s="62">
        <f t="shared" si="6"/>
        <v>57.967179999999999</v>
      </c>
      <c r="N29" s="62">
        <f t="shared" si="7"/>
        <v>53.148400000000002</v>
      </c>
    </row>
    <row r="30" spans="1:14" s="3" customFormat="1" ht="11.25" hidden="1" customHeight="1" x14ac:dyDescent="0.25">
      <c r="A30" s="18"/>
      <c r="B30" s="54" t="s">
        <v>53</v>
      </c>
      <c r="C30" s="16">
        <f t="shared" si="1"/>
        <v>0</v>
      </c>
      <c r="D30" s="16"/>
      <c r="E30" s="16"/>
      <c r="F30" s="16"/>
      <c r="G30" s="16">
        <v>0</v>
      </c>
      <c r="H30" s="16">
        <v>0</v>
      </c>
      <c r="I30" s="62">
        <f t="shared" si="2"/>
        <v>0</v>
      </c>
      <c r="J30" s="62">
        <f t="shared" si="3"/>
        <v>0</v>
      </c>
      <c r="K30" s="62">
        <f t="shared" si="4"/>
        <v>0</v>
      </c>
      <c r="L30" s="62">
        <f t="shared" si="5"/>
        <v>0</v>
      </c>
      <c r="M30" s="62">
        <f t="shared" si="6"/>
        <v>0</v>
      </c>
      <c r="N30" s="62">
        <f t="shared" si="7"/>
        <v>0</v>
      </c>
    </row>
    <row r="31" spans="1:14" s="3" customFormat="1" ht="12.75" hidden="1" customHeight="1" x14ac:dyDescent="0.25">
      <c r="A31" s="18"/>
      <c r="B31" s="54" t="s">
        <v>54</v>
      </c>
      <c r="C31" s="16">
        <f t="shared" si="1"/>
        <v>0</v>
      </c>
      <c r="D31" s="16"/>
      <c r="E31" s="16"/>
      <c r="F31" s="16"/>
      <c r="G31" s="16">
        <v>0</v>
      </c>
      <c r="H31" s="16">
        <v>0</v>
      </c>
      <c r="I31" s="62">
        <f t="shared" si="2"/>
        <v>0</v>
      </c>
      <c r="J31" s="62">
        <f t="shared" si="3"/>
        <v>0</v>
      </c>
      <c r="K31" s="62">
        <f t="shared" si="4"/>
        <v>0</v>
      </c>
      <c r="L31" s="62">
        <f t="shared" si="5"/>
        <v>0</v>
      </c>
      <c r="M31" s="62">
        <f t="shared" si="6"/>
        <v>0</v>
      </c>
      <c r="N31" s="62">
        <f t="shared" si="7"/>
        <v>0</v>
      </c>
    </row>
    <row r="32" spans="1:14" s="3" customFormat="1" ht="51" x14ac:dyDescent="0.25">
      <c r="A32" s="20" t="s">
        <v>55</v>
      </c>
      <c r="B32" s="61" t="s">
        <v>56</v>
      </c>
      <c r="C32" s="21">
        <f t="shared" si="1"/>
        <v>45857246.362608001</v>
      </c>
      <c r="D32" s="21">
        <v>4308427</v>
      </c>
      <c r="E32" s="21">
        <v>7839226</v>
      </c>
      <c r="F32" s="21">
        <v>14525234</v>
      </c>
      <c r="G32" s="21">
        <v>7883496.005375999</v>
      </c>
      <c r="H32" s="21">
        <v>11300863.357232001</v>
      </c>
      <c r="I32" s="21">
        <f t="shared" si="2"/>
        <v>45857.246362607999</v>
      </c>
      <c r="J32" s="21">
        <f t="shared" si="3"/>
        <v>4308.4269999999997</v>
      </c>
      <c r="K32" s="21">
        <f t="shared" si="4"/>
        <v>7839.2259999999997</v>
      </c>
      <c r="L32" s="21">
        <f t="shared" si="5"/>
        <v>14525.234</v>
      </c>
      <c r="M32" s="21">
        <f t="shared" si="6"/>
        <v>7883.4960053759987</v>
      </c>
      <c r="N32" s="21">
        <f t="shared" si="7"/>
        <v>11300.863357232001</v>
      </c>
    </row>
    <row r="33" spans="1:17" s="3" customFormat="1" ht="38.25" x14ac:dyDescent="0.25">
      <c r="A33" s="20" t="s">
        <v>57</v>
      </c>
      <c r="B33" s="61" t="s">
        <v>58</v>
      </c>
      <c r="C33" s="21">
        <f t="shared" si="1"/>
        <v>21324719.010000002</v>
      </c>
      <c r="D33" s="21">
        <v>3662739</v>
      </c>
      <c r="E33" s="21">
        <v>5551062</v>
      </c>
      <c r="F33" s="21">
        <v>5597005</v>
      </c>
      <c r="G33" s="21">
        <v>4469636.0699999994</v>
      </c>
      <c r="H33" s="21">
        <v>2044276.9399999997</v>
      </c>
      <c r="I33" s="21">
        <f t="shared" si="2"/>
        <v>21324.719010000001</v>
      </c>
      <c r="J33" s="21">
        <f t="shared" si="3"/>
        <v>3662.739</v>
      </c>
      <c r="K33" s="21">
        <f t="shared" si="4"/>
        <v>5551.0619999999999</v>
      </c>
      <c r="L33" s="21">
        <f t="shared" si="5"/>
        <v>5597.0050000000001</v>
      </c>
      <c r="M33" s="21">
        <f t="shared" si="6"/>
        <v>4469.6360699999996</v>
      </c>
      <c r="N33" s="21">
        <f t="shared" si="7"/>
        <v>2044.2769399999997</v>
      </c>
    </row>
    <row r="34" spans="1:17" s="3" customFormat="1" ht="63.75" x14ac:dyDescent="0.25">
      <c r="A34" s="20" t="s">
        <v>59</v>
      </c>
      <c r="B34" s="61" t="s">
        <v>60</v>
      </c>
      <c r="C34" s="21">
        <f t="shared" si="1"/>
        <v>6145253.4697680082</v>
      </c>
      <c r="D34" s="21">
        <v>135672</v>
      </c>
      <c r="E34" s="21">
        <v>559162</v>
      </c>
      <c r="F34" s="21">
        <v>1289571</v>
      </c>
      <c r="G34" s="21">
        <v>1730758.99</v>
      </c>
      <c r="H34" s="21">
        <v>2430089.4797680085</v>
      </c>
      <c r="I34" s="21">
        <f t="shared" si="2"/>
        <v>6145.2534697680085</v>
      </c>
      <c r="J34" s="21">
        <f t="shared" si="3"/>
        <v>135.672</v>
      </c>
      <c r="K34" s="21">
        <f t="shared" si="4"/>
        <v>559.16200000000003</v>
      </c>
      <c r="L34" s="21">
        <f t="shared" si="5"/>
        <v>1289.5709999999999</v>
      </c>
      <c r="M34" s="21">
        <f t="shared" si="6"/>
        <v>1730.75899</v>
      </c>
      <c r="N34" s="21">
        <f t="shared" si="7"/>
        <v>2430.0894797680085</v>
      </c>
    </row>
    <row r="35" spans="1:17" s="3" customFormat="1" ht="12.75" x14ac:dyDescent="0.25">
      <c r="A35" s="20" t="s">
        <v>61</v>
      </c>
      <c r="B35" s="61" t="s">
        <v>62</v>
      </c>
      <c r="C35" s="21">
        <f t="shared" si="1"/>
        <v>3244395.3200000003</v>
      </c>
      <c r="D35" s="21">
        <v>109000</v>
      </c>
      <c r="E35" s="21">
        <v>1346283</v>
      </c>
      <c r="F35" s="21">
        <v>699587</v>
      </c>
      <c r="G35" s="21">
        <v>1079325.32</v>
      </c>
      <c r="H35" s="21">
        <v>10200</v>
      </c>
      <c r="I35" s="21">
        <f t="shared" si="2"/>
        <v>3244.3953200000001</v>
      </c>
      <c r="J35" s="21">
        <f t="shared" si="3"/>
        <v>109</v>
      </c>
      <c r="K35" s="21">
        <f t="shared" si="4"/>
        <v>1346.2829999999999</v>
      </c>
      <c r="L35" s="21">
        <f t="shared" si="5"/>
        <v>699.58699999999999</v>
      </c>
      <c r="M35" s="21">
        <f t="shared" si="6"/>
        <v>1079.3253200000001</v>
      </c>
      <c r="N35" s="21">
        <f t="shared" si="7"/>
        <v>10.199999999999999</v>
      </c>
    </row>
    <row r="36" spans="1:17" s="28" customFormat="1" ht="18.75" x14ac:dyDescent="0.25">
      <c r="A36" s="63"/>
      <c r="B36" s="64" t="s">
        <v>63</v>
      </c>
      <c r="C36" s="65">
        <f t="shared" si="1"/>
        <v>535436064.20537603</v>
      </c>
      <c r="D36" s="65">
        <v>84953748</v>
      </c>
      <c r="E36" s="65">
        <v>85914486</v>
      </c>
      <c r="F36" s="65">
        <v>125248624</v>
      </c>
      <c r="G36" s="65">
        <v>123046804.865376</v>
      </c>
      <c r="H36" s="65">
        <v>116272401.34</v>
      </c>
      <c r="I36" s="65">
        <f t="shared" si="2"/>
        <v>535436.06420537608</v>
      </c>
      <c r="J36" s="65">
        <f t="shared" si="3"/>
        <v>84953.748000000007</v>
      </c>
      <c r="K36" s="65">
        <f t="shared" si="4"/>
        <v>85914.486000000004</v>
      </c>
      <c r="L36" s="65">
        <f t="shared" si="5"/>
        <v>125248.624</v>
      </c>
      <c r="M36" s="65">
        <f t="shared" si="6"/>
        <v>123046.80486537599</v>
      </c>
      <c r="N36" s="65">
        <f t="shared" si="7"/>
        <v>116272.40134</v>
      </c>
    </row>
    <row r="37" spans="1:17" s="28" customFormat="1" ht="18.75" x14ac:dyDescent="0.25">
      <c r="A37" s="29"/>
      <c r="B37" s="56" t="s">
        <v>64</v>
      </c>
      <c r="C37" s="26">
        <f t="shared" si="1"/>
        <v>11110130.859999999</v>
      </c>
      <c r="D37" s="26">
        <v>4215833</v>
      </c>
      <c r="E37" s="26">
        <v>1479204</v>
      </c>
      <c r="F37" s="26">
        <v>1684962</v>
      </c>
      <c r="G37" s="26">
        <v>2154517.9699999997</v>
      </c>
      <c r="H37" s="26">
        <v>1575613.89</v>
      </c>
      <c r="I37" s="26">
        <f t="shared" si="2"/>
        <v>11110.130859999999</v>
      </c>
      <c r="J37" s="26">
        <f t="shared" si="3"/>
        <v>4215.8329999999996</v>
      </c>
      <c r="K37" s="26">
        <f t="shared" si="4"/>
        <v>1479.204</v>
      </c>
      <c r="L37" s="26">
        <f t="shared" si="5"/>
        <v>1684.962</v>
      </c>
      <c r="M37" s="26">
        <f t="shared" si="6"/>
        <v>2154.5179699999999</v>
      </c>
      <c r="N37" s="26">
        <f t="shared" si="7"/>
        <v>1575.6138899999999</v>
      </c>
    </row>
    <row r="38" spans="1:17" s="28" customFormat="1" ht="18.75" x14ac:dyDescent="0.25">
      <c r="A38" s="29"/>
      <c r="B38" s="56" t="s">
        <v>65</v>
      </c>
      <c r="C38" s="26">
        <f t="shared" si="1"/>
        <v>3280275</v>
      </c>
      <c r="D38" s="26">
        <v>1551714</v>
      </c>
      <c r="E38" s="26">
        <v>1406586</v>
      </c>
      <c r="F38" s="26">
        <v>145005</v>
      </c>
      <c r="G38" s="26">
        <v>89970</v>
      </c>
      <c r="H38" s="26">
        <v>87000</v>
      </c>
      <c r="I38" s="26">
        <f t="shared" si="2"/>
        <v>3280.2750000000001</v>
      </c>
      <c r="J38" s="26">
        <f t="shared" si="3"/>
        <v>1551.7139999999999</v>
      </c>
      <c r="K38" s="26">
        <f t="shared" si="4"/>
        <v>1406.586</v>
      </c>
      <c r="L38" s="26">
        <f t="shared" si="5"/>
        <v>145.005</v>
      </c>
      <c r="M38" s="26">
        <f t="shared" si="6"/>
        <v>89.97</v>
      </c>
      <c r="N38" s="26">
        <f t="shared" si="7"/>
        <v>87</v>
      </c>
    </row>
    <row r="39" spans="1:17" s="28" customFormat="1" ht="18.75" x14ac:dyDescent="0.25">
      <c r="A39" s="29"/>
      <c r="B39" s="56" t="s">
        <v>67</v>
      </c>
      <c r="C39" s="26">
        <f t="shared" si="1"/>
        <v>12135078.859999999</v>
      </c>
      <c r="D39" s="26"/>
      <c r="E39" s="26">
        <v>721468</v>
      </c>
      <c r="F39" s="26">
        <v>577850</v>
      </c>
      <c r="G39" s="26">
        <v>4083307.26</v>
      </c>
      <c r="H39" s="26">
        <v>6752453.5999999996</v>
      </c>
      <c r="I39" s="26">
        <f t="shared" si="2"/>
        <v>12135.07886</v>
      </c>
      <c r="J39" s="26">
        <f t="shared" si="3"/>
        <v>0</v>
      </c>
      <c r="K39" s="26">
        <f t="shared" si="4"/>
        <v>721.46799999999996</v>
      </c>
      <c r="L39" s="26">
        <f t="shared" si="5"/>
        <v>577.85</v>
      </c>
      <c r="M39" s="26">
        <f t="shared" si="6"/>
        <v>4083.3072599999996</v>
      </c>
      <c r="N39" s="26">
        <f t="shared" si="7"/>
        <v>6752.4535999999998</v>
      </c>
    </row>
    <row r="40" spans="1:17" ht="18.75" x14ac:dyDescent="0.2">
      <c r="A40" s="32"/>
      <c r="B40" s="56" t="s">
        <v>69</v>
      </c>
      <c r="C40" s="26">
        <f t="shared" si="1"/>
        <v>1420351.94</v>
      </c>
      <c r="D40" s="26">
        <v>152218</v>
      </c>
      <c r="E40" s="26">
        <v>264026</v>
      </c>
      <c r="F40" s="26">
        <v>367115</v>
      </c>
      <c r="G40" s="26">
        <v>545870</v>
      </c>
      <c r="H40" s="26">
        <v>91122.94</v>
      </c>
      <c r="I40" s="26">
        <f t="shared" si="2"/>
        <v>1420.35194</v>
      </c>
      <c r="J40" s="26">
        <f t="shared" si="3"/>
        <v>152.21799999999999</v>
      </c>
      <c r="K40" s="26">
        <f t="shared" si="4"/>
        <v>264.02600000000001</v>
      </c>
      <c r="L40" s="26">
        <f t="shared" si="5"/>
        <v>367.11500000000001</v>
      </c>
      <c r="M40" s="26">
        <f t="shared" si="6"/>
        <v>545.87</v>
      </c>
      <c r="N40" s="26">
        <f t="shared" si="7"/>
        <v>91.12294</v>
      </c>
    </row>
    <row r="41" spans="1:17" ht="18.75" x14ac:dyDescent="0.2">
      <c r="A41" s="32"/>
      <c r="B41" s="56" t="s">
        <v>70</v>
      </c>
      <c r="C41" s="26">
        <f t="shared" si="1"/>
        <v>11800017.449999999</v>
      </c>
      <c r="D41" s="26">
        <v>6916584</v>
      </c>
      <c r="E41" s="26"/>
      <c r="F41" s="26"/>
      <c r="G41" s="26">
        <v>4567928</v>
      </c>
      <c r="H41" s="26">
        <v>315505.45</v>
      </c>
      <c r="I41" s="26">
        <f t="shared" si="2"/>
        <v>11800.017449999999</v>
      </c>
      <c r="J41" s="26">
        <f t="shared" si="3"/>
        <v>6916.5839999999998</v>
      </c>
      <c r="K41" s="26">
        <f t="shared" si="4"/>
        <v>0</v>
      </c>
      <c r="L41" s="26">
        <f t="shared" si="5"/>
        <v>0</v>
      </c>
      <c r="M41" s="26">
        <f t="shared" si="6"/>
        <v>4567.9279999999999</v>
      </c>
      <c r="N41" s="26">
        <f t="shared" si="7"/>
        <v>315.50545</v>
      </c>
    </row>
    <row r="42" spans="1:17" ht="18.75" x14ac:dyDescent="0.2">
      <c r="A42" s="32"/>
      <c r="B42" s="59" t="s">
        <v>89</v>
      </c>
      <c r="C42" s="60">
        <f t="shared" si="1"/>
        <v>3701475.09</v>
      </c>
      <c r="D42" s="60"/>
      <c r="E42" s="60"/>
      <c r="F42" s="60"/>
      <c r="G42" s="60"/>
      <c r="H42" s="60">
        <v>3701475.09</v>
      </c>
      <c r="I42" s="60">
        <f t="shared" si="2"/>
        <v>3701.4750899999999</v>
      </c>
      <c r="J42" s="60">
        <f t="shared" si="3"/>
        <v>0</v>
      </c>
      <c r="K42" s="60">
        <f t="shared" si="4"/>
        <v>0</v>
      </c>
      <c r="L42" s="60">
        <f t="shared" si="5"/>
        <v>0</v>
      </c>
      <c r="M42" s="60">
        <f t="shared" si="6"/>
        <v>0</v>
      </c>
      <c r="N42" s="60">
        <f t="shared" si="7"/>
        <v>3701.4750899999999</v>
      </c>
    </row>
    <row r="43" spans="1:17" ht="23.25" x14ac:dyDescent="0.35">
      <c r="A43" s="66"/>
      <c r="B43" s="67"/>
      <c r="C43" s="68">
        <f t="shared" si="1"/>
        <v>578883392.40537596</v>
      </c>
      <c r="D43" s="68">
        <v>97790097</v>
      </c>
      <c r="E43" s="68">
        <v>89785770</v>
      </c>
      <c r="F43" s="68">
        <v>128023555</v>
      </c>
      <c r="G43" s="68">
        <v>134488398.09537601</v>
      </c>
      <c r="H43" s="68">
        <f>125094097.22+H42</f>
        <v>128795572.31</v>
      </c>
      <c r="I43" s="69">
        <f t="shared" si="2"/>
        <v>578883.39240537595</v>
      </c>
      <c r="J43" s="69">
        <f t="shared" si="3"/>
        <v>97790.096999999994</v>
      </c>
      <c r="K43" s="69">
        <f t="shared" si="4"/>
        <v>89785.77</v>
      </c>
      <c r="L43" s="69">
        <f t="shared" si="5"/>
        <v>128023.55499999999</v>
      </c>
      <c r="M43" s="69">
        <f t="shared" si="6"/>
        <v>134488.398095376</v>
      </c>
      <c r="N43" s="69">
        <f t="shared" si="7"/>
        <v>128795.57231</v>
      </c>
    </row>
    <row r="44" spans="1:17" x14ac:dyDescent="0.2">
      <c r="C44" s="38"/>
      <c r="D44" s="38"/>
      <c r="E44" s="38"/>
      <c r="F44" s="38"/>
      <c r="G44" s="38"/>
      <c r="H44" s="38"/>
      <c r="I44" s="72"/>
      <c r="J44" s="38"/>
      <c r="K44" s="38"/>
      <c r="L44" s="38"/>
      <c r="M44" s="38"/>
      <c r="N44" s="38"/>
    </row>
    <row r="45" spans="1:17" s="34" customFormat="1" x14ac:dyDescent="0.2">
      <c r="A45" s="9"/>
      <c r="B45" s="58"/>
      <c r="C45" s="38"/>
      <c r="D45" s="38"/>
      <c r="E45" s="38"/>
      <c r="F45" s="38"/>
      <c r="G45" s="38"/>
      <c r="H45" s="38"/>
      <c r="I45" s="72"/>
      <c r="J45" s="38"/>
      <c r="K45" s="38"/>
      <c r="L45" s="38"/>
      <c r="M45" s="38"/>
      <c r="N45" s="38"/>
      <c r="O45" s="9"/>
      <c r="P45" s="9"/>
      <c r="Q45" s="9"/>
    </row>
  </sheetData>
  <mergeCells count="14">
    <mergeCell ref="A1:A3"/>
    <mergeCell ref="C1:C2"/>
    <mergeCell ref="D1:D2"/>
    <mergeCell ref="E1:E2"/>
    <mergeCell ref="L1:L2"/>
    <mergeCell ref="M1:M2"/>
    <mergeCell ref="N1:N2"/>
    <mergeCell ref="B1:B3"/>
    <mergeCell ref="F1:F2"/>
    <mergeCell ref="G1:G2"/>
    <mergeCell ref="H1:H2"/>
    <mergeCell ref="I1:I2"/>
    <mergeCell ref="J1:J2"/>
    <mergeCell ref="K1:K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FA57E-520B-485E-90CA-35AF76ED5AB0}">
  <sheetPr codeName="Лист10">
    <pageSetUpPr fitToPage="1"/>
  </sheetPr>
  <dimension ref="A1:W43"/>
  <sheetViews>
    <sheetView view="pageBreakPreview" zoomScaleNormal="100" zoomScaleSheetLayoutView="100" workbookViewId="0">
      <selection activeCell="B34" sqref="B34"/>
    </sheetView>
  </sheetViews>
  <sheetFormatPr defaultColWidth="14.140625" defaultRowHeight="11.25" outlineLevelCol="1" x14ac:dyDescent="0.2"/>
  <cols>
    <col min="1" max="1" width="6.140625" style="9" customWidth="1"/>
    <col min="2" max="2" width="62.140625" style="37" customWidth="1"/>
    <col min="3" max="3" width="21.7109375" style="9" customWidth="1"/>
    <col min="4" max="4" width="15.28515625" style="34" customWidth="1"/>
    <col min="5" max="5" width="14.85546875" style="34" customWidth="1"/>
    <col min="6" max="6" width="13.7109375" style="34" customWidth="1"/>
    <col min="7" max="7" width="12.85546875" style="34" customWidth="1"/>
    <col min="8" max="8" width="14.5703125" style="34" customWidth="1"/>
    <col min="9" max="10" width="15.140625" style="34" customWidth="1"/>
    <col min="11" max="22" width="16.42578125" style="34" hidden="1" customWidth="1" outlineLevel="1"/>
    <col min="23" max="23" width="14.140625" style="9" collapsed="1"/>
    <col min="24" max="16384" width="14.140625" style="9"/>
  </cols>
  <sheetData>
    <row r="1" spans="1:22" s="3" customFormat="1" ht="30" customHeight="1" x14ac:dyDescent="0.25">
      <c r="A1" s="1"/>
      <c r="B1" s="50" t="s">
        <v>90</v>
      </c>
      <c r="C1" s="39"/>
      <c r="D1" s="41" t="s">
        <v>0</v>
      </c>
      <c r="E1" s="41" t="s">
        <v>1</v>
      </c>
      <c r="F1" s="41" t="s">
        <v>2</v>
      </c>
      <c r="G1" s="41" t="s">
        <v>6</v>
      </c>
      <c r="H1" s="41" t="s">
        <v>3</v>
      </c>
      <c r="I1" s="41" t="s">
        <v>4</v>
      </c>
      <c r="J1" s="43" t="s">
        <v>5</v>
      </c>
      <c r="K1" s="44"/>
      <c r="L1" s="2" t="s">
        <v>82</v>
      </c>
      <c r="M1" s="2" t="s">
        <v>92</v>
      </c>
      <c r="N1" s="2" t="s">
        <v>84</v>
      </c>
      <c r="O1" s="2" t="s">
        <v>85</v>
      </c>
      <c r="P1" s="2" t="s">
        <v>93</v>
      </c>
      <c r="Q1" s="2"/>
      <c r="R1" s="2"/>
      <c r="S1" s="2"/>
      <c r="T1" s="2"/>
      <c r="U1" s="2"/>
      <c r="V1" s="2"/>
    </row>
    <row r="2" spans="1:22" x14ac:dyDescent="0.2">
      <c r="A2" s="4"/>
      <c r="B2" s="5" t="s">
        <v>12</v>
      </c>
      <c r="C2" s="6"/>
      <c r="D2" s="7"/>
      <c r="E2" s="7"/>
      <c r="F2" s="7"/>
      <c r="G2" s="7"/>
      <c r="H2" s="7"/>
      <c r="I2" s="7"/>
      <c r="J2" s="6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2" x14ac:dyDescent="0.2">
      <c r="A3" s="4"/>
      <c r="B3" s="5"/>
      <c r="C3" s="6" t="s">
        <v>14</v>
      </c>
      <c r="D3" s="6" t="s">
        <v>14</v>
      </c>
      <c r="E3" s="6" t="s">
        <v>14</v>
      </c>
      <c r="F3" s="6" t="s">
        <v>14</v>
      </c>
      <c r="G3" s="6" t="s">
        <v>14</v>
      </c>
      <c r="H3" s="6" t="s">
        <v>14</v>
      </c>
      <c r="I3" s="6" t="s">
        <v>14</v>
      </c>
      <c r="J3" s="6" t="s">
        <v>14</v>
      </c>
      <c r="K3" s="6" t="s">
        <v>14</v>
      </c>
      <c r="L3" s="6" t="s">
        <v>14</v>
      </c>
      <c r="M3" s="6" t="s">
        <v>14</v>
      </c>
      <c r="N3" s="6" t="s">
        <v>14</v>
      </c>
      <c r="O3" s="6" t="s">
        <v>14</v>
      </c>
      <c r="P3" s="6" t="s">
        <v>14</v>
      </c>
      <c r="Q3" s="6" t="s">
        <v>14</v>
      </c>
      <c r="R3" s="6" t="s">
        <v>14</v>
      </c>
      <c r="S3" s="6" t="s">
        <v>14</v>
      </c>
      <c r="T3" s="6" t="s">
        <v>14</v>
      </c>
      <c r="U3" s="6" t="s">
        <v>14</v>
      </c>
      <c r="V3" s="6" t="s">
        <v>14</v>
      </c>
    </row>
    <row r="4" spans="1:22" s="3" customFormat="1" ht="12.75" x14ac:dyDescent="0.25">
      <c r="A4" s="10" t="s">
        <v>15</v>
      </c>
      <c r="B4" s="11" t="s">
        <v>16</v>
      </c>
      <c r="C4" s="12">
        <f>D4</f>
        <v>22900370.449999999</v>
      </c>
      <c r="D4" s="12">
        <v>22900370.449999999</v>
      </c>
      <c r="E4" s="12"/>
      <c r="F4" s="12"/>
      <c r="G4" s="12"/>
      <c r="H4" s="12"/>
      <c r="I4" s="12"/>
      <c r="J4" s="12">
        <f>SUM(K4:V4)</f>
        <v>0</v>
      </c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</row>
    <row r="5" spans="1:22" s="3" customFormat="1" ht="12.75" x14ac:dyDescent="0.25">
      <c r="A5" s="10" t="s">
        <v>19</v>
      </c>
      <c r="B5" s="11" t="s">
        <v>20</v>
      </c>
      <c r="C5" s="12">
        <f>C6+C7</f>
        <v>3299450.21</v>
      </c>
      <c r="D5" s="12">
        <f t="shared" ref="D5" si="0">D6+D7</f>
        <v>3299450.21</v>
      </c>
      <c r="E5" s="12">
        <f>E6+E7</f>
        <v>0</v>
      </c>
      <c r="F5" s="12">
        <f t="shared" ref="F5:P5" si="1">F6+F7</f>
        <v>0</v>
      </c>
      <c r="G5" s="12">
        <f t="shared" si="1"/>
        <v>0</v>
      </c>
      <c r="H5" s="12"/>
      <c r="I5" s="12">
        <f t="shared" si="1"/>
        <v>0</v>
      </c>
      <c r="J5" s="12">
        <f t="shared" si="1"/>
        <v>0</v>
      </c>
      <c r="K5" s="13">
        <f t="shared" si="1"/>
        <v>0</v>
      </c>
      <c r="L5" s="13">
        <f t="shared" si="1"/>
        <v>0</v>
      </c>
      <c r="M5" s="13">
        <f t="shared" si="1"/>
        <v>0</v>
      </c>
      <c r="N5" s="13">
        <f t="shared" si="1"/>
        <v>0</v>
      </c>
      <c r="O5" s="13">
        <f t="shared" si="1"/>
        <v>0</v>
      </c>
      <c r="P5" s="13">
        <f t="shared" si="1"/>
        <v>0</v>
      </c>
      <c r="Q5" s="13">
        <f>Q6+Q7</f>
        <v>0</v>
      </c>
      <c r="R5" s="13">
        <f t="shared" ref="R5:V5" si="2">R6+R7</f>
        <v>0</v>
      </c>
      <c r="S5" s="13">
        <f t="shared" si="2"/>
        <v>0</v>
      </c>
      <c r="T5" s="13">
        <f>T6+T7</f>
        <v>0</v>
      </c>
      <c r="U5" s="13">
        <f>U6+U7</f>
        <v>0</v>
      </c>
      <c r="V5" s="13">
        <f t="shared" si="2"/>
        <v>0</v>
      </c>
    </row>
    <row r="6" spans="1:22" s="3" customFormat="1" x14ac:dyDescent="0.25">
      <c r="A6" s="18"/>
      <c r="B6" s="15" t="s">
        <v>21</v>
      </c>
      <c r="C6" s="16">
        <f t="shared" ref="C6:C35" si="3">D6+E6+J6+F6+G6+I6+H6</f>
        <v>2016115.21</v>
      </c>
      <c r="D6" s="16">
        <v>2016115.21</v>
      </c>
      <c r="E6" s="16"/>
      <c r="F6" s="16"/>
      <c r="G6" s="16"/>
      <c r="H6" s="16"/>
      <c r="I6" s="16"/>
      <c r="J6" s="16">
        <f>SUM(P6:V6)</f>
        <v>0</v>
      </c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</row>
    <row r="7" spans="1:22" s="3" customFormat="1" x14ac:dyDescent="0.25">
      <c r="A7" s="18"/>
      <c r="B7" s="15" t="s">
        <v>22</v>
      </c>
      <c r="C7" s="16">
        <f t="shared" si="3"/>
        <v>1283335</v>
      </c>
      <c r="D7" s="16">
        <v>1283335</v>
      </c>
      <c r="E7" s="16"/>
      <c r="F7" s="16"/>
      <c r="G7" s="16"/>
      <c r="H7" s="16"/>
      <c r="I7" s="16"/>
      <c r="J7" s="16">
        <f>SUM(P7:V7)</f>
        <v>0</v>
      </c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</row>
    <row r="8" spans="1:22" s="19" customFormat="1" ht="12.75" x14ac:dyDescent="0.25">
      <c r="A8" s="10" t="s">
        <v>23</v>
      </c>
      <c r="B8" s="11" t="s">
        <v>24</v>
      </c>
      <c r="C8" s="12">
        <f t="shared" si="3"/>
        <v>25255066.66212</v>
      </c>
      <c r="D8" s="12">
        <f t="shared" ref="D8:J8" si="4">SUM(D9:D15)</f>
        <v>0</v>
      </c>
      <c r="E8" s="12">
        <f t="shared" si="4"/>
        <v>22319979.600000001</v>
      </c>
      <c r="F8" s="12">
        <f t="shared" si="4"/>
        <v>2513107.0621199994</v>
      </c>
      <c r="G8" s="12">
        <f t="shared" si="4"/>
        <v>7980</v>
      </c>
      <c r="H8" s="12">
        <f t="shared" si="4"/>
        <v>414000</v>
      </c>
      <c r="I8" s="12">
        <f>I11</f>
        <v>0</v>
      </c>
      <c r="J8" s="12">
        <f t="shared" si="4"/>
        <v>0</v>
      </c>
      <c r="K8" s="13">
        <f>SUM(K9:K15)</f>
        <v>0</v>
      </c>
      <c r="L8" s="13">
        <f>SUM(L9:L15)</f>
        <v>0</v>
      </c>
      <c r="M8" s="13">
        <f>SUM(M9:M15)</f>
        <v>0</v>
      </c>
      <c r="N8" s="13">
        <f>SUM(N9:N15)</f>
        <v>0</v>
      </c>
      <c r="O8" s="13">
        <f>SUM(O9:O15)</f>
        <v>0</v>
      </c>
      <c r="P8" s="13"/>
      <c r="Q8" s="13">
        <f>SUM(Q9:Q15)</f>
        <v>0</v>
      </c>
      <c r="R8" s="13">
        <f t="shared" ref="R8:V8" si="5">SUM(R9:R15)</f>
        <v>0</v>
      </c>
      <c r="S8" s="13">
        <f t="shared" si="5"/>
        <v>0</v>
      </c>
      <c r="T8" s="13"/>
      <c r="U8" s="13">
        <f>SUM(U9:U15)</f>
        <v>0</v>
      </c>
      <c r="V8" s="13">
        <f t="shared" si="5"/>
        <v>0</v>
      </c>
    </row>
    <row r="9" spans="1:22" s="3" customFormat="1" hidden="1" x14ac:dyDescent="0.25">
      <c r="A9" s="18"/>
      <c r="B9" s="15" t="s">
        <v>25</v>
      </c>
      <c r="C9" s="16">
        <f t="shared" si="3"/>
        <v>0</v>
      </c>
      <c r="D9" s="16"/>
      <c r="E9" s="16"/>
      <c r="F9" s="16"/>
      <c r="G9" s="16"/>
      <c r="H9" s="16"/>
      <c r="I9" s="16"/>
      <c r="J9" s="16">
        <f t="shared" ref="J9:J16" si="6">SUM(P9:V9)</f>
        <v>0</v>
      </c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</row>
    <row r="10" spans="1:22" s="3" customFormat="1" hidden="1" x14ac:dyDescent="0.25">
      <c r="A10" s="18"/>
      <c r="B10" s="15" t="s">
        <v>26</v>
      </c>
      <c r="C10" s="16">
        <f t="shared" si="3"/>
        <v>0</v>
      </c>
      <c r="D10" s="16"/>
      <c r="E10" s="16"/>
      <c r="F10" s="16"/>
      <c r="G10" s="16"/>
      <c r="H10" s="16"/>
      <c r="I10" s="16"/>
      <c r="J10" s="16">
        <f t="shared" si="6"/>
        <v>0</v>
      </c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</row>
    <row r="11" spans="1:22" s="3" customFormat="1" x14ac:dyDescent="0.25">
      <c r="A11" s="18"/>
      <c r="B11" s="15" t="s">
        <v>27</v>
      </c>
      <c r="C11" s="16">
        <f t="shared" si="3"/>
        <v>0</v>
      </c>
      <c r="D11" s="16"/>
      <c r="E11" s="16"/>
      <c r="F11" s="16"/>
      <c r="G11" s="16"/>
      <c r="H11" s="16"/>
      <c r="I11" s="16"/>
      <c r="J11" s="16">
        <f t="shared" si="6"/>
        <v>0</v>
      </c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</row>
    <row r="12" spans="1:22" s="3" customFormat="1" x14ac:dyDescent="0.25">
      <c r="A12" s="18"/>
      <c r="B12" s="15" t="s">
        <v>28</v>
      </c>
      <c r="C12" s="16">
        <f t="shared" si="3"/>
        <v>2513107.0621199994</v>
      </c>
      <c r="D12" s="16"/>
      <c r="E12" s="16"/>
      <c r="F12" s="16">
        <f>[2]поступление!D51+[2]поступление!E51</f>
        <v>2513107.0621199994</v>
      </c>
      <c r="G12" s="16"/>
      <c r="H12" s="16"/>
      <c r="I12" s="16"/>
      <c r="J12" s="16">
        <f t="shared" si="6"/>
        <v>0</v>
      </c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</row>
    <row r="13" spans="1:22" s="3" customFormat="1" x14ac:dyDescent="0.25">
      <c r="A13" s="18"/>
      <c r="B13" s="15" t="s">
        <v>29</v>
      </c>
      <c r="C13" s="16">
        <f t="shared" si="3"/>
        <v>22319979.600000001</v>
      </c>
      <c r="D13" s="16"/>
      <c r="E13" s="16">
        <v>22319979.600000001</v>
      </c>
      <c r="F13" s="16"/>
      <c r="G13" s="16"/>
      <c r="H13" s="16"/>
      <c r="I13" s="16"/>
      <c r="J13" s="16">
        <f t="shared" si="6"/>
        <v>0</v>
      </c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</row>
    <row r="14" spans="1:22" s="3" customFormat="1" hidden="1" x14ac:dyDescent="0.25">
      <c r="A14" s="18"/>
      <c r="B14" s="15" t="s">
        <v>30</v>
      </c>
      <c r="C14" s="16">
        <f t="shared" si="3"/>
        <v>0</v>
      </c>
      <c r="D14" s="16"/>
      <c r="E14" s="16"/>
      <c r="F14" s="16"/>
      <c r="G14" s="16"/>
      <c r="H14" s="16"/>
      <c r="I14" s="16"/>
      <c r="J14" s="16">
        <f t="shared" si="6"/>
        <v>0</v>
      </c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</row>
    <row r="15" spans="1:22" s="3" customFormat="1" x14ac:dyDescent="0.25">
      <c r="A15" s="18"/>
      <c r="B15" s="15" t="s">
        <v>31</v>
      </c>
      <c r="C15" s="16">
        <f t="shared" si="3"/>
        <v>421980</v>
      </c>
      <c r="D15" s="16"/>
      <c r="E15" s="16"/>
      <c r="F15" s="16"/>
      <c r="G15" s="16">
        <v>7980</v>
      </c>
      <c r="H15" s="16">
        <v>414000</v>
      </c>
      <c r="I15" s="16"/>
      <c r="J15" s="16">
        <f t="shared" si="6"/>
        <v>0</v>
      </c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</row>
    <row r="16" spans="1:22" s="3" customFormat="1" ht="12.75" x14ac:dyDescent="0.25">
      <c r="A16" s="10" t="s">
        <v>32</v>
      </c>
      <c r="B16" s="11" t="s">
        <v>33</v>
      </c>
      <c r="C16" s="12">
        <f t="shared" si="3"/>
        <v>17077697.399999999</v>
      </c>
      <c r="D16" s="12"/>
      <c r="E16" s="12">
        <v>6677076</v>
      </c>
      <c r="F16" s="12">
        <v>111552</v>
      </c>
      <c r="G16" s="12"/>
      <c r="H16" s="12">
        <v>1791888</v>
      </c>
      <c r="I16" s="12">
        <v>8469293.4000000004</v>
      </c>
      <c r="J16" s="12">
        <f t="shared" si="6"/>
        <v>27888</v>
      </c>
      <c r="K16" s="13"/>
      <c r="L16" s="13"/>
      <c r="M16" s="13"/>
      <c r="N16" s="13"/>
      <c r="O16" s="13"/>
      <c r="P16" s="13">
        <v>27888</v>
      </c>
      <c r="Q16" s="13"/>
      <c r="R16" s="13"/>
      <c r="S16" s="13"/>
      <c r="T16" s="13"/>
      <c r="U16" s="13"/>
      <c r="V16" s="13"/>
    </row>
    <row r="17" spans="1:22" s="3" customFormat="1" ht="12.75" x14ac:dyDescent="0.25">
      <c r="A17" s="10" t="s">
        <v>34</v>
      </c>
      <c r="B17" s="11" t="s">
        <v>35</v>
      </c>
      <c r="C17" s="12">
        <f t="shared" si="3"/>
        <v>514228.01</v>
      </c>
      <c r="D17" s="12"/>
      <c r="E17" s="12"/>
      <c r="F17" s="12"/>
      <c r="G17" s="12"/>
      <c r="H17" s="12">
        <v>302788.01</v>
      </c>
      <c r="I17" s="12"/>
      <c r="J17" s="12">
        <f>SUM(K17:V17)</f>
        <v>211440</v>
      </c>
      <c r="K17" s="13"/>
      <c r="L17" s="13"/>
      <c r="M17" s="13"/>
      <c r="N17" s="13"/>
      <c r="O17" s="13">
        <v>211440</v>
      </c>
      <c r="P17" s="13"/>
      <c r="Q17" s="13"/>
      <c r="R17" s="13"/>
      <c r="S17" s="13"/>
      <c r="T17" s="13"/>
      <c r="U17" s="13"/>
      <c r="V17" s="13"/>
    </row>
    <row r="18" spans="1:22" s="3" customFormat="1" ht="12.75" x14ac:dyDescent="0.25">
      <c r="A18" s="10" t="s">
        <v>36</v>
      </c>
      <c r="B18" s="11" t="s">
        <v>37</v>
      </c>
      <c r="C18" s="12">
        <f t="shared" si="3"/>
        <v>6138283.6799999997</v>
      </c>
      <c r="D18" s="12"/>
      <c r="E18" s="12">
        <v>1642423.2</v>
      </c>
      <c r="F18" s="12"/>
      <c r="G18" s="12">
        <v>590580.47999999998</v>
      </c>
      <c r="H18" s="12">
        <v>3571200</v>
      </c>
      <c r="I18" s="12">
        <v>334080</v>
      </c>
      <c r="J18" s="12">
        <f>SUM(K18:V18)</f>
        <v>0</v>
      </c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 s="3" customFormat="1" ht="12.75" x14ac:dyDescent="0.25">
      <c r="A19" s="10" t="s">
        <v>38</v>
      </c>
      <c r="B19" s="11" t="s">
        <v>39</v>
      </c>
      <c r="C19" s="12">
        <f t="shared" si="3"/>
        <v>8320173.54</v>
      </c>
      <c r="D19" s="12">
        <f t="shared" ref="D19:I19" si="7">D23+D21+D20+D22</f>
        <v>0</v>
      </c>
      <c r="E19" s="12">
        <f t="shared" si="7"/>
        <v>4292368.6399999997</v>
      </c>
      <c r="F19" s="12">
        <f t="shared" si="7"/>
        <v>0</v>
      </c>
      <c r="G19" s="12">
        <f t="shared" si="7"/>
        <v>0</v>
      </c>
      <c r="H19" s="12">
        <f t="shared" si="7"/>
        <v>27804.9</v>
      </c>
      <c r="I19" s="12">
        <f t="shared" si="7"/>
        <v>0</v>
      </c>
      <c r="J19" s="12">
        <f>SUM(K19:V19)</f>
        <v>4000000</v>
      </c>
      <c r="K19" s="13">
        <f>K23+K21+K20+K22</f>
        <v>4000000</v>
      </c>
      <c r="L19" s="13">
        <f>L23+L21+L20+L22</f>
        <v>0</v>
      </c>
      <c r="M19" s="13">
        <f>M23+M21+M20+M22</f>
        <v>0</v>
      </c>
      <c r="N19" s="13">
        <f>N23+N21+N20+N22</f>
        <v>0</v>
      </c>
      <c r="O19" s="13">
        <f>O23+O21+O20+O22</f>
        <v>0</v>
      </c>
      <c r="P19" s="13">
        <f t="shared" ref="P19:V19" si="8">P23+P21+P20+P22</f>
        <v>0</v>
      </c>
      <c r="Q19" s="13">
        <f>Q23+Q21+Q20+Q22</f>
        <v>0</v>
      </c>
      <c r="R19" s="13">
        <f t="shared" si="8"/>
        <v>0</v>
      </c>
      <c r="S19" s="13">
        <f t="shared" si="8"/>
        <v>0</v>
      </c>
      <c r="T19" s="13">
        <f t="shared" si="8"/>
        <v>0</v>
      </c>
      <c r="U19" s="13">
        <f t="shared" si="8"/>
        <v>0</v>
      </c>
      <c r="V19" s="13">
        <f t="shared" si="8"/>
        <v>0</v>
      </c>
    </row>
    <row r="20" spans="1:22" s="3" customFormat="1" ht="12.75" x14ac:dyDescent="0.25">
      <c r="A20" s="20"/>
      <c r="B20" s="15" t="s">
        <v>40</v>
      </c>
      <c r="C20" s="16">
        <f t="shared" si="3"/>
        <v>4000000</v>
      </c>
      <c r="D20" s="16"/>
      <c r="E20" s="16"/>
      <c r="F20" s="16"/>
      <c r="G20" s="16"/>
      <c r="H20" s="16"/>
      <c r="I20" s="16"/>
      <c r="J20" s="16">
        <f>SUM(K20:V20)</f>
        <v>4000000</v>
      </c>
      <c r="K20" s="17">
        <v>4000000</v>
      </c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</row>
    <row r="21" spans="1:22" s="3" customFormat="1" ht="12.75" x14ac:dyDescent="0.25">
      <c r="A21" s="20"/>
      <c r="B21" s="15" t="s">
        <v>41</v>
      </c>
      <c r="C21" s="16">
        <f t="shared" si="3"/>
        <v>4320173.54</v>
      </c>
      <c r="D21" s="16"/>
      <c r="E21" s="16">
        <v>4292368.6399999997</v>
      </c>
      <c r="F21" s="16"/>
      <c r="G21" s="16"/>
      <c r="H21" s="16">
        <v>27804.9</v>
      </c>
      <c r="I21" s="16"/>
      <c r="J21" s="16">
        <f t="shared" ref="J21:J23" si="9">SUM(K21:V21)</f>
        <v>0</v>
      </c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</row>
    <row r="22" spans="1:22" s="3" customFormat="1" ht="12.75" x14ac:dyDescent="0.25">
      <c r="A22" s="20"/>
      <c r="B22" s="15" t="s">
        <v>42</v>
      </c>
      <c r="C22" s="16">
        <f t="shared" si="3"/>
        <v>0</v>
      </c>
      <c r="D22" s="16"/>
      <c r="E22" s="16"/>
      <c r="F22" s="16"/>
      <c r="G22" s="16"/>
      <c r="H22" s="16"/>
      <c r="I22" s="16"/>
      <c r="J22" s="16">
        <f t="shared" si="9"/>
        <v>0</v>
      </c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</row>
    <row r="23" spans="1:22" s="3" customFormat="1" ht="12.75" x14ac:dyDescent="0.25">
      <c r="A23" s="20"/>
      <c r="B23" s="15" t="s">
        <v>44</v>
      </c>
      <c r="C23" s="16">
        <f t="shared" si="3"/>
        <v>0</v>
      </c>
      <c r="D23" s="16"/>
      <c r="E23" s="16"/>
      <c r="F23" s="16"/>
      <c r="G23" s="16"/>
      <c r="H23" s="16"/>
      <c r="I23" s="16"/>
      <c r="J23" s="16">
        <f t="shared" si="9"/>
        <v>0</v>
      </c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</row>
    <row r="24" spans="1:22" s="3" customFormat="1" ht="12.75" hidden="1" x14ac:dyDescent="0.25">
      <c r="A24" s="10" t="s">
        <v>45</v>
      </c>
      <c r="B24" s="11" t="s">
        <v>46</v>
      </c>
      <c r="C24" s="12">
        <f t="shared" si="3"/>
        <v>0</v>
      </c>
      <c r="D24" s="12"/>
      <c r="E24" s="12"/>
      <c r="F24" s="12"/>
      <c r="G24" s="12"/>
      <c r="H24" s="12"/>
      <c r="I24" s="12"/>
      <c r="J24" s="12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</row>
    <row r="25" spans="1:22" s="3" customFormat="1" ht="12.75" x14ac:dyDescent="0.25">
      <c r="A25" s="10" t="s">
        <v>47</v>
      </c>
      <c r="B25" s="11" t="s">
        <v>48</v>
      </c>
      <c r="C25" s="12">
        <f t="shared" si="3"/>
        <v>12094083.699999999</v>
      </c>
      <c r="D25" s="12"/>
      <c r="E25" s="12">
        <v>2419769</v>
      </c>
      <c r="F25" s="12"/>
      <c r="G25" s="12">
        <v>15031.47</v>
      </c>
      <c r="H25" s="12">
        <v>6203400.0099999998</v>
      </c>
      <c r="I25" s="12">
        <v>1804599.22</v>
      </c>
      <c r="J25" s="12">
        <f>SUM(K25:V25)</f>
        <v>1651284</v>
      </c>
      <c r="K25" s="13"/>
      <c r="L25" s="13"/>
      <c r="M25" s="13"/>
      <c r="N25" s="13">
        <v>1651284</v>
      </c>
      <c r="O25" s="13"/>
      <c r="P25" s="13"/>
      <c r="Q25" s="13"/>
      <c r="R25" s="13"/>
      <c r="S25" s="13"/>
      <c r="T25" s="13"/>
      <c r="U25" s="13"/>
      <c r="V25" s="13"/>
    </row>
    <row r="26" spans="1:22" s="3" customFormat="1" ht="12.75" x14ac:dyDescent="0.25">
      <c r="A26" s="10" t="s">
        <v>49</v>
      </c>
      <c r="B26" s="11" t="s">
        <v>50</v>
      </c>
      <c r="C26" s="12">
        <f t="shared" si="3"/>
        <v>7537873.04</v>
      </c>
      <c r="D26" s="12">
        <f>D27+D28+D29</f>
        <v>7537873.04</v>
      </c>
      <c r="E26" s="12"/>
      <c r="F26" s="12"/>
      <c r="G26" s="12"/>
      <c r="H26" s="12"/>
      <c r="I26" s="12"/>
      <c r="J26" s="12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</row>
    <row r="27" spans="1:22" s="3" customFormat="1" x14ac:dyDescent="0.25">
      <c r="A27" s="18"/>
      <c r="B27" s="15" t="s">
        <v>51</v>
      </c>
      <c r="C27" s="16">
        <f t="shared" si="3"/>
        <v>7500000</v>
      </c>
      <c r="D27" s="16">
        <v>7500000</v>
      </c>
      <c r="E27" s="16"/>
      <c r="F27" s="16"/>
      <c r="G27" s="16"/>
      <c r="H27" s="16"/>
      <c r="I27" s="16"/>
      <c r="J27" s="16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</row>
    <row r="28" spans="1:22" s="3" customFormat="1" x14ac:dyDescent="0.25">
      <c r="A28" s="18"/>
      <c r="B28" s="15" t="s">
        <v>52</v>
      </c>
      <c r="C28" s="16">
        <f t="shared" si="3"/>
        <v>37873.040000000001</v>
      </c>
      <c r="D28" s="16">
        <v>37873.040000000001</v>
      </c>
      <c r="E28" s="16"/>
      <c r="F28" s="16"/>
      <c r="G28" s="16"/>
      <c r="H28" s="16"/>
      <c r="I28" s="16"/>
      <c r="J28" s="16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</row>
    <row r="29" spans="1:22" s="3" customFormat="1" hidden="1" x14ac:dyDescent="0.25">
      <c r="A29" s="18"/>
      <c r="B29" s="15" t="s">
        <v>53</v>
      </c>
      <c r="C29" s="16">
        <f t="shared" si="3"/>
        <v>0</v>
      </c>
      <c r="D29" s="16"/>
      <c r="E29" s="16"/>
      <c r="F29" s="16"/>
      <c r="G29" s="16"/>
      <c r="H29" s="16"/>
      <c r="I29" s="16"/>
      <c r="J29" s="16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</row>
    <row r="30" spans="1:22" s="3" customFormat="1" ht="12.75" hidden="1" x14ac:dyDescent="0.25">
      <c r="A30" s="18"/>
      <c r="B30" s="15" t="s">
        <v>54</v>
      </c>
      <c r="C30" s="16">
        <f t="shared" si="3"/>
        <v>0</v>
      </c>
      <c r="D30" s="16"/>
      <c r="E30" s="16"/>
      <c r="F30" s="16"/>
      <c r="G30" s="16"/>
      <c r="H30" s="16"/>
      <c r="I30" s="16"/>
      <c r="J30" s="21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</row>
    <row r="31" spans="1:22" s="3" customFormat="1" ht="38.25" x14ac:dyDescent="0.25">
      <c r="A31" s="10" t="s">
        <v>55</v>
      </c>
      <c r="B31" s="23" t="s">
        <v>56</v>
      </c>
      <c r="C31" s="12">
        <f t="shared" si="3"/>
        <v>14525234.263564</v>
      </c>
      <c r="D31" s="12">
        <f>1458034.95+731272+948400.78+[2]поступление!E55-320.75</f>
        <v>8591699.4135640003</v>
      </c>
      <c r="E31" s="12">
        <v>2562174.91</v>
      </c>
      <c r="F31" s="12">
        <v>115920</v>
      </c>
      <c r="G31" s="12">
        <v>158238.1</v>
      </c>
      <c r="H31" s="12">
        <v>1115771.99</v>
      </c>
      <c r="I31" s="12">
        <v>1732666.93</v>
      </c>
      <c r="J31" s="12">
        <f>SUM(K31:V31)</f>
        <v>248762.91999999998</v>
      </c>
      <c r="K31" s="13"/>
      <c r="L31" s="13"/>
      <c r="M31" s="13">
        <v>42528.1</v>
      </c>
      <c r="N31" s="13">
        <v>132799.57999999999</v>
      </c>
      <c r="O31" s="13">
        <v>73435.240000000005</v>
      </c>
      <c r="P31" s="13"/>
      <c r="Q31" s="13"/>
      <c r="R31" s="13"/>
      <c r="S31" s="13"/>
      <c r="T31" s="13"/>
      <c r="U31" s="13"/>
      <c r="V31" s="13"/>
    </row>
    <row r="32" spans="1:22" s="3" customFormat="1" ht="25.5" x14ac:dyDescent="0.25">
      <c r="A32" s="10" t="s">
        <v>57</v>
      </c>
      <c r="B32" s="23" t="s">
        <v>58</v>
      </c>
      <c r="C32" s="12">
        <f t="shared" si="3"/>
        <v>5597005.0300000003</v>
      </c>
      <c r="D32" s="12">
        <f>4299236.57-500000</f>
        <v>3799236.5700000003</v>
      </c>
      <c r="E32" s="12">
        <v>195848.4</v>
      </c>
      <c r="F32" s="12"/>
      <c r="G32" s="12">
        <v>28372.32</v>
      </c>
      <c r="H32" s="12">
        <v>1050716.82</v>
      </c>
      <c r="I32" s="12">
        <v>471617.68</v>
      </c>
      <c r="J32" s="12">
        <f t="shared" ref="J32:J33" si="10">SUM(K32:V32)</f>
        <v>51213.240000000005</v>
      </c>
      <c r="K32" s="13"/>
      <c r="L32" s="13"/>
      <c r="M32" s="13">
        <v>28107</v>
      </c>
      <c r="N32" s="13">
        <v>13154.4</v>
      </c>
      <c r="O32" s="13">
        <v>9951.84</v>
      </c>
      <c r="P32" s="13"/>
      <c r="Q32" s="13"/>
      <c r="R32" s="13"/>
      <c r="S32" s="13"/>
      <c r="T32" s="13"/>
      <c r="U32" s="13"/>
      <c r="V32" s="13"/>
    </row>
    <row r="33" spans="1:22" s="3" customFormat="1" ht="38.25" x14ac:dyDescent="0.25">
      <c r="A33" s="10" t="s">
        <v>59</v>
      </c>
      <c r="B33" s="23" t="s">
        <v>60</v>
      </c>
      <c r="C33" s="12">
        <f t="shared" si="3"/>
        <v>1289571.48</v>
      </c>
      <c r="D33" s="12">
        <v>785915.65</v>
      </c>
      <c r="E33" s="12">
        <v>18100</v>
      </c>
      <c r="F33" s="12"/>
      <c r="G33" s="12">
        <v>22425</v>
      </c>
      <c r="H33" s="12">
        <v>47250.97</v>
      </c>
      <c r="I33" s="12">
        <v>163909.67000000001</v>
      </c>
      <c r="J33" s="12">
        <f t="shared" si="10"/>
        <v>251970.19</v>
      </c>
      <c r="K33" s="13"/>
      <c r="L33" s="13"/>
      <c r="M33" s="13">
        <v>59800</v>
      </c>
      <c r="N33" s="13">
        <v>153560.23000000001</v>
      </c>
      <c r="O33" s="13">
        <v>38609.96</v>
      </c>
      <c r="P33" s="13"/>
      <c r="Q33" s="13"/>
      <c r="R33" s="13"/>
      <c r="S33" s="13"/>
      <c r="T33" s="13"/>
      <c r="U33" s="13"/>
      <c r="V33" s="13"/>
    </row>
    <row r="34" spans="1:22" s="3" customFormat="1" ht="12.75" x14ac:dyDescent="0.25">
      <c r="A34" s="10" t="s">
        <v>61</v>
      </c>
      <c r="B34" s="23" t="s">
        <v>62</v>
      </c>
      <c r="C34" s="12">
        <f t="shared" si="3"/>
        <v>699586.96</v>
      </c>
      <c r="D34" s="12">
        <v>102150</v>
      </c>
      <c r="E34" s="12">
        <v>28800</v>
      </c>
      <c r="F34" s="12"/>
      <c r="G34" s="12"/>
      <c r="H34" s="12">
        <v>5800</v>
      </c>
      <c r="I34" s="12"/>
      <c r="J34" s="12">
        <f>SUM(K34:V34)</f>
        <v>562836.96</v>
      </c>
      <c r="K34" s="13">
        <v>137480</v>
      </c>
      <c r="L34" s="13">
        <v>226000</v>
      </c>
      <c r="M34" s="13">
        <v>53856.959999999999</v>
      </c>
      <c r="N34" s="13"/>
      <c r="O34" s="13">
        <v>145500</v>
      </c>
      <c r="P34" s="13"/>
      <c r="Q34" s="13"/>
      <c r="R34" s="13"/>
      <c r="S34" s="13"/>
      <c r="T34" s="13"/>
      <c r="U34" s="13"/>
      <c r="V34" s="13"/>
    </row>
    <row r="35" spans="1:22" s="28" customFormat="1" ht="18.75" x14ac:dyDescent="0.25">
      <c r="A35" s="24"/>
      <c r="B35" s="25" t="s">
        <v>63</v>
      </c>
      <c r="C35" s="26">
        <f t="shared" si="3"/>
        <v>125248624.42568401</v>
      </c>
      <c r="D35" s="26">
        <f t="shared" ref="D35:V35" si="11">D4+D5+D8+D16+D17+D18+D19+D24+D25+D26+D31+D32+D33+D34</f>
        <v>47016695.333563998</v>
      </c>
      <c r="E35" s="51">
        <f t="shared" si="11"/>
        <v>40156539.749999993</v>
      </c>
      <c r="F35" s="51">
        <f t="shared" si="11"/>
        <v>2740579.0621199994</v>
      </c>
      <c r="G35" s="51">
        <f t="shared" si="11"/>
        <v>822627.36999999988</v>
      </c>
      <c r="H35" s="51">
        <f t="shared" si="11"/>
        <v>14530620.700000001</v>
      </c>
      <c r="I35" s="51">
        <f t="shared" si="11"/>
        <v>12976166.9</v>
      </c>
      <c r="J35" s="51">
        <f t="shared" si="11"/>
        <v>7005395.3100000005</v>
      </c>
      <c r="K35" s="27">
        <f t="shared" si="11"/>
        <v>4137480</v>
      </c>
      <c r="L35" s="27">
        <f t="shared" si="11"/>
        <v>226000</v>
      </c>
      <c r="M35" s="27">
        <f t="shared" si="11"/>
        <v>184292.06</v>
      </c>
      <c r="N35" s="27">
        <f t="shared" si="11"/>
        <v>1950798.21</v>
      </c>
      <c r="O35" s="27">
        <f t="shared" si="11"/>
        <v>478937.04000000004</v>
      </c>
      <c r="P35" s="27">
        <f t="shared" si="11"/>
        <v>27888</v>
      </c>
      <c r="Q35" s="27">
        <f t="shared" si="11"/>
        <v>0</v>
      </c>
      <c r="R35" s="27">
        <f t="shared" si="11"/>
        <v>0</v>
      </c>
      <c r="S35" s="27">
        <f t="shared" si="11"/>
        <v>0</v>
      </c>
      <c r="T35" s="27">
        <f t="shared" si="11"/>
        <v>0</v>
      </c>
      <c r="U35" s="27">
        <f t="shared" si="11"/>
        <v>0</v>
      </c>
      <c r="V35" s="27">
        <f t="shared" si="11"/>
        <v>0</v>
      </c>
    </row>
    <row r="36" spans="1:22" s="28" customFormat="1" ht="18.75" x14ac:dyDescent="0.25">
      <c r="A36" s="29"/>
      <c r="B36" s="30" t="s">
        <v>64</v>
      </c>
      <c r="C36" s="26">
        <f>1184961.68+500000</f>
        <v>1684961.68</v>
      </c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</row>
    <row r="37" spans="1:22" s="28" customFormat="1" ht="18.75" x14ac:dyDescent="0.25">
      <c r="A37" s="29"/>
      <c r="B37" s="30" t="s">
        <v>65</v>
      </c>
      <c r="C37" s="26">
        <v>145004.65</v>
      </c>
      <c r="D37" s="31"/>
      <c r="E37" s="31"/>
      <c r="F37" s="31"/>
    </row>
    <row r="38" spans="1:22" s="28" customFormat="1" ht="18.75" x14ac:dyDescent="0.25">
      <c r="A38" s="29"/>
      <c r="B38" s="30" t="s">
        <v>67</v>
      </c>
      <c r="C38" s="26">
        <v>577849.56999999995</v>
      </c>
      <c r="D38" s="31"/>
      <c r="E38" s="31"/>
      <c r="F38" s="31"/>
    </row>
    <row r="39" spans="1:22" ht="18.75" x14ac:dyDescent="0.2">
      <c r="A39" s="32"/>
      <c r="B39" s="30" t="s">
        <v>94</v>
      </c>
      <c r="C39" s="26">
        <f>367114.62</f>
        <v>367114.62</v>
      </c>
      <c r="J39" s="9"/>
    </row>
    <row r="40" spans="1:22" ht="18.75" x14ac:dyDescent="0.2">
      <c r="A40" s="32"/>
      <c r="B40" s="30" t="s">
        <v>70</v>
      </c>
      <c r="C40" s="26"/>
      <c r="D40" s="33"/>
      <c r="J40" s="9"/>
    </row>
    <row r="41" spans="1:22" ht="23.25" x14ac:dyDescent="0.35">
      <c r="A41" s="32"/>
      <c r="B41" s="35"/>
      <c r="C41" s="36">
        <f>SUM(C35:C40)</f>
        <v>128023554.94568402</v>
      </c>
      <c r="D41" s="33"/>
    </row>
    <row r="42" spans="1:22" x14ac:dyDescent="0.2">
      <c r="C42" s="38"/>
    </row>
    <row r="43" spans="1:22" x14ac:dyDescent="0.2">
      <c r="C43" s="38"/>
    </row>
  </sheetData>
  <pageMargins left="0.70866141732283472" right="0.70866141732283472" top="0.74803149606299213" bottom="0.74803149606299213" header="0.31496062992125984" footer="0.31496062992125984"/>
  <pageSetup paperSize="9" scale="69" orientation="landscape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52DD1-BE75-43E3-8348-230D0907746E}">
  <sheetPr codeName="Лист11">
    <pageSetUpPr fitToPage="1"/>
  </sheetPr>
  <dimension ref="A1:Y68"/>
  <sheetViews>
    <sheetView view="pageBreakPreview" zoomScale="60" zoomScaleNormal="100" workbookViewId="0">
      <selection activeCell="B17" sqref="B17"/>
    </sheetView>
  </sheetViews>
  <sheetFormatPr defaultColWidth="14.140625" defaultRowHeight="11.25" outlineLevelCol="1" x14ac:dyDescent="0.2"/>
  <cols>
    <col min="1" max="1" width="6.140625" style="9" customWidth="1"/>
    <col min="2" max="2" width="62.140625" style="37" customWidth="1"/>
    <col min="3" max="3" width="19.140625" style="9" customWidth="1"/>
    <col min="4" max="4" width="14.85546875" style="34" customWidth="1"/>
    <col min="5" max="5" width="13.42578125" style="34" customWidth="1"/>
    <col min="6" max="6" width="15.140625" style="34" hidden="1" customWidth="1"/>
    <col min="7" max="7" width="13.7109375" style="34" hidden="1" customWidth="1"/>
    <col min="8" max="8" width="14.5703125" style="34" customWidth="1"/>
    <col min="9" max="9" width="15.140625" style="34" customWidth="1"/>
    <col min="10" max="10" width="11.5703125" style="34" hidden="1" customWidth="1"/>
    <col min="11" max="11" width="14" style="34" hidden="1" customWidth="1"/>
    <col min="12" max="12" width="15.140625" style="34" customWidth="1"/>
    <col min="13" max="16" width="16.42578125" style="34" hidden="1" customWidth="1" outlineLevel="1"/>
    <col min="17" max="17" width="17" style="34" hidden="1" customWidth="1" outlineLevel="1"/>
    <col min="18" max="24" width="16.42578125" style="34" hidden="1" customWidth="1" outlineLevel="1"/>
    <col min="25" max="25" width="14.140625" style="9" collapsed="1"/>
    <col min="26" max="16384" width="14.140625" style="9"/>
  </cols>
  <sheetData>
    <row r="1" spans="1:24" s="3" customFormat="1" ht="66" customHeight="1" x14ac:dyDescent="0.25">
      <c r="A1" s="1"/>
      <c r="B1" s="50" t="s">
        <v>95</v>
      </c>
      <c r="C1" s="39"/>
      <c r="D1" s="41" t="s">
        <v>0</v>
      </c>
      <c r="E1" s="41" t="s">
        <v>96</v>
      </c>
      <c r="F1" s="42"/>
      <c r="G1" s="41" t="s">
        <v>2</v>
      </c>
      <c r="H1" s="41" t="s">
        <v>97</v>
      </c>
      <c r="I1" s="41" t="s">
        <v>98</v>
      </c>
      <c r="J1" s="42"/>
      <c r="K1" s="41"/>
      <c r="L1" s="43" t="s">
        <v>5</v>
      </c>
      <c r="M1" s="44"/>
      <c r="N1" s="2" t="s">
        <v>100</v>
      </c>
      <c r="O1" s="2" t="s">
        <v>101</v>
      </c>
      <c r="P1" s="2" t="s">
        <v>91</v>
      </c>
      <c r="Q1" s="2" t="s">
        <v>102</v>
      </c>
      <c r="R1" s="2" t="s">
        <v>83</v>
      </c>
      <c r="S1" s="2" t="s">
        <v>82</v>
      </c>
      <c r="T1" s="2" t="s">
        <v>103</v>
      </c>
      <c r="U1" s="2" t="s">
        <v>85</v>
      </c>
      <c r="V1" s="2" t="s">
        <v>104</v>
      </c>
      <c r="W1" s="2" t="s">
        <v>92</v>
      </c>
      <c r="X1" s="2" t="s">
        <v>84</v>
      </c>
    </row>
    <row r="2" spans="1:24" x14ac:dyDescent="0.2">
      <c r="A2" s="4"/>
      <c r="B2" s="5" t="s">
        <v>12</v>
      </c>
      <c r="C2" s="6"/>
      <c r="D2" s="7"/>
      <c r="E2" s="7"/>
      <c r="F2" s="7"/>
      <c r="G2" s="7"/>
      <c r="H2" s="7"/>
      <c r="I2" s="7"/>
      <c r="J2" s="7"/>
      <c r="K2" s="7"/>
      <c r="L2" s="6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3" spans="1:24" ht="13.5" customHeight="1" x14ac:dyDescent="0.2">
      <c r="A3" s="4"/>
      <c r="B3" s="5"/>
      <c r="C3" s="6" t="s">
        <v>14</v>
      </c>
      <c r="D3" s="6" t="s">
        <v>14</v>
      </c>
      <c r="E3" s="6" t="s">
        <v>14</v>
      </c>
      <c r="F3" s="6" t="s">
        <v>13</v>
      </c>
      <c r="G3" s="6" t="s">
        <v>14</v>
      </c>
      <c r="H3" s="6" t="s">
        <v>14</v>
      </c>
      <c r="I3" s="6" t="s">
        <v>14</v>
      </c>
      <c r="J3" s="6" t="s">
        <v>13</v>
      </c>
      <c r="K3" s="6" t="s">
        <v>14</v>
      </c>
      <c r="L3" s="6" t="s">
        <v>14</v>
      </c>
      <c r="M3" s="8" t="s">
        <v>14</v>
      </c>
      <c r="N3" s="8" t="s">
        <v>14</v>
      </c>
      <c r="O3" s="8" t="s">
        <v>14</v>
      </c>
      <c r="P3" s="8" t="s">
        <v>14</v>
      </c>
      <c r="Q3" s="8" t="s">
        <v>14</v>
      </c>
      <c r="R3" s="8" t="s">
        <v>14</v>
      </c>
      <c r="S3" s="8" t="s">
        <v>14</v>
      </c>
      <c r="T3" s="8" t="s">
        <v>14</v>
      </c>
      <c r="U3" s="8" t="s">
        <v>14</v>
      </c>
      <c r="V3" s="8" t="s">
        <v>14</v>
      </c>
      <c r="W3" s="8" t="s">
        <v>14</v>
      </c>
      <c r="X3" s="8" t="s">
        <v>14</v>
      </c>
    </row>
    <row r="4" spans="1:24" s="3" customFormat="1" ht="12.75" x14ac:dyDescent="0.25">
      <c r="A4" s="10" t="s">
        <v>15</v>
      </c>
      <c r="B4" s="11" t="s">
        <v>16</v>
      </c>
      <c r="C4" s="12">
        <f>C5+C6</f>
        <v>23262401.489999998</v>
      </c>
      <c r="D4" s="12">
        <f t="shared" ref="D4:L4" si="0">D5+D6</f>
        <v>23262401.489999998</v>
      </c>
      <c r="E4" s="12">
        <f t="shared" si="0"/>
        <v>0</v>
      </c>
      <c r="F4" s="12">
        <f t="shared" si="0"/>
        <v>0</v>
      </c>
      <c r="G4" s="12">
        <f t="shared" si="0"/>
        <v>0</v>
      </c>
      <c r="H4" s="12">
        <f t="shared" si="0"/>
        <v>0</v>
      </c>
      <c r="I4" s="12"/>
      <c r="J4" s="12">
        <f t="shared" si="0"/>
        <v>0</v>
      </c>
      <c r="K4" s="12">
        <f t="shared" si="0"/>
        <v>0</v>
      </c>
      <c r="L4" s="12">
        <f t="shared" si="0"/>
        <v>0</v>
      </c>
      <c r="M4" s="13">
        <f>M5+M6</f>
        <v>0</v>
      </c>
      <c r="N4" s="13"/>
      <c r="O4" s="13">
        <f t="shared" ref="O4:X4" si="1">O5+O6</f>
        <v>0</v>
      </c>
      <c r="P4" s="13">
        <f>P5+P6</f>
        <v>0</v>
      </c>
      <c r="Q4" s="13">
        <f t="shared" si="1"/>
        <v>0</v>
      </c>
      <c r="R4" s="13">
        <f>R5+R6</f>
        <v>0</v>
      </c>
      <c r="S4" s="13">
        <f t="shared" si="1"/>
        <v>0</v>
      </c>
      <c r="T4" s="13">
        <f>T5+T6</f>
        <v>0</v>
      </c>
      <c r="U4" s="13">
        <f>U5+U6</f>
        <v>0</v>
      </c>
      <c r="V4" s="13">
        <f t="shared" si="1"/>
        <v>0</v>
      </c>
      <c r="W4" s="13">
        <f t="shared" si="1"/>
        <v>0</v>
      </c>
      <c r="X4" s="13">
        <f t="shared" si="1"/>
        <v>0</v>
      </c>
    </row>
    <row r="5" spans="1:24" s="3" customFormat="1" x14ac:dyDescent="0.25">
      <c r="A5" s="14"/>
      <c r="B5" s="15" t="s">
        <v>17</v>
      </c>
      <c r="C5" s="16">
        <f>D5+E5+L5+G5+H5+I5+K5</f>
        <v>22890921.489999998</v>
      </c>
      <c r="D5" s="16">
        <f>22890921.49</f>
        <v>22890921.489999998</v>
      </c>
      <c r="E5" s="16"/>
      <c r="F5" s="16"/>
      <c r="G5" s="16"/>
      <c r="H5" s="16"/>
      <c r="I5" s="16"/>
      <c r="J5" s="16"/>
      <c r="K5" s="16"/>
      <c r="L5" s="16">
        <f>SUM(M5:X5)</f>
        <v>0</v>
      </c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</row>
    <row r="6" spans="1:24" s="3" customFormat="1" x14ac:dyDescent="0.25">
      <c r="A6" s="14"/>
      <c r="B6" s="15" t="s">
        <v>18</v>
      </c>
      <c r="C6" s="16">
        <f>D6+E6+L6+G6+H6+I6+K6</f>
        <v>371480</v>
      </c>
      <c r="D6" s="16">
        <f>378100-6620</f>
        <v>371480</v>
      </c>
      <c r="E6" s="16"/>
      <c r="F6" s="16"/>
      <c r="G6" s="16"/>
      <c r="H6" s="16"/>
      <c r="I6" s="16"/>
      <c r="J6" s="16"/>
      <c r="K6" s="16"/>
      <c r="L6" s="16">
        <f>SUM(M6:X6)</f>
        <v>0</v>
      </c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</row>
    <row r="7" spans="1:24" s="3" customFormat="1" ht="12.75" x14ac:dyDescent="0.25">
      <c r="A7" s="10" t="s">
        <v>19</v>
      </c>
      <c r="B7" s="11" t="s">
        <v>20</v>
      </c>
      <c r="C7" s="12">
        <f>C8+C9</f>
        <v>3511644.65</v>
      </c>
      <c r="D7" s="12">
        <f t="shared" ref="D7" si="2">D8+D9</f>
        <v>3511644.65</v>
      </c>
      <c r="E7" s="12">
        <f>E8+E9</f>
        <v>0</v>
      </c>
      <c r="F7" s="12">
        <f t="shared" ref="F7:K7" si="3">F8+F9</f>
        <v>0</v>
      </c>
      <c r="G7" s="12">
        <f t="shared" si="3"/>
        <v>0</v>
      </c>
      <c r="H7" s="12">
        <f t="shared" si="3"/>
        <v>0</v>
      </c>
      <c r="I7" s="12"/>
      <c r="J7" s="12">
        <f t="shared" si="3"/>
        <v>0</v>
      </c>
      <c r="K7" s="12">
        <f t="shared" si="3"/>
        <v>0</v>
      </c>
      <c r="L7" s="12">
        <f>L8+L9</f>
        <v>0</v>
      </c>
      <c r="M7" s="13">
        <f>M8+M9</f>
        <v>0</v>
      </c>
      <c r="N7" s="13">
        <f t="shared" ref="N7:O7" si="4">N8+N9</f>
        <v>0</v>
      </c>
      <c r="O7" s="13">
        <f t="shared" si="4"/>
        <v>0</v>
      </c>
      <c r="P7" s="13">
        <f>P8+P9</f>
        <v>0</v>
      </c>
      <c r="Q7" s="13">
        <f t="shared" ref="Q7:X7" si="5">Q8+Q9</f>
        <v>0</v>
      </c>
      <c r="R7" s="13">
        <f>R8+R9</f>
        <v>0</v>
      </c>
      <c r="S7" s="13">
        <f t="shared" si="5"/>
        <v>0</v>
      </c>
      <c r="T7" s="13">
        <f>T8+T9</f>
        <v>0</v>
      </c>
      <c r="U7" s="13">
        <f>U8+U9</f>
        <v>0</v>
      </c>
      <c r="V7" s="13">
        <f t="shared" si="5"/>
        <v>0</v>
      </c>
      <c r="W7" s="13">
        <f t="shared" si="5"/>
        <v>0</v>
      </c>
      <c r="X7" s="13">
        <f t="shared" si="5"/>
        <v>0</v>
      </c>
    </row>
    <row r="8" spans="1:24" s="3" customFormat="1" x14ac:dyDescent="0.25">
      <c r="A8" s="18"/>
      <c r="B8" s="15" t="s">
        <v>21</v>
      </c>
      <c r="C8" s="16">
        <f t="shared" ref="C8:C36" si="6">D8+E8+L8+G8+H8+K8+I8</f>
        <v>2188757.65</v>
      </c>
      <c r="D8" s="16">
        <f>2107944.02+66834.13+3766.5+10124+60+29</f>
        <v>2188757.65</v>
      </c>
      <c r="E8" s="16"/>
      <c r="F8" s="16"/>
      <c r="G8" s="16"/>
      <c r="H8" s="16"/>
      <c r="I8" s="16"/>
      <c r="J8" s="16"/>
      <c r="K8" s="16"/>
      <c r="L8" s="16">
        <f t="shared" ref="L8:L9" si="7">SUM(M8:X8)</f>
        <v>0</v>
      </c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</row>
    <row r="9" spans="1:24" s="3" customFormat="1" x14ac:dyDescent="0.25">
      <c r="A9" s="18"/>
      <c r="B9" s="15" t="s">
        <v>22</v>
      </c>
      <c r="C9" s="16">
        <f t="shared" si="6"/>
        <v>1322887</v>
      </c>
      <c r="D9" s="16">
        <v>1322887</v>
      </c>
      <c r="E9" s="16"/>
      <c r="F9" s="16"/>
      <c r="G9" s="16"/>
      <c r="H9" s="16"/>
      <c r="I9" s="16"/>
      <c r="J9" s="16"/>
      <c r="K9" s="16"/>
      <c r="L9" s="16">
        <f t="shared" si="7"/>
        <v>0</v>
      </c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</row>
    <row r="10" spans="1:24" s="19" customFormat="1" ht="12.75" x14ac:dyDescent="0.25">
      <c r="A10" s="10" t="s">
        <v>23</v>
      </c>
      <c r="B10" s="11" t="s">
        <v>24</v>
      </c>
      <c r="C10" s="12">
        <f t="shared" si="6"/>
        <v>6188244.8599999994</v>
      </c>
      <c r="D10" s="12">
        <f t="shared" ref="D10:L10" si="8">SUM(D11:D17)</f>
        <v>0</v>
      </c>
      <c r="E10" s="12">
        <f t="shared" si="8"/>
        <v>2543700</v>
      </c>
      <c r="F10" s="12">
        <f t="shared" si="8"/>
        <v>0</v>
      </c>
      <c r="G10" s="12">
        <f t="shared" si="8"/>
        <v>0</v>
      </c>
      <c r="H10" s="12">
        <f t="shared" si="8"/>
        <v>0</v>
      </c>
      <c r="I10" s="12">
        <f t="shared" si="8"/>
        <v>3354000</v>
      </c>
      <c r="J10" s="12">
        <f>J13</f>
        <v>0</v>
      </c>
      <c r="K10" s="12"/>
      <c r="L10" s="12">
        <f t="shared" si="8"/>
        <v>290544.86</v>
      </c>
      <c r="M10" s="13">
        <f>SUM(M11:M17)</f>
        <v>0</v>
      </c>
      <c r="N10" s="13"/>
      <c r="O10" s="13">
        <f t="shared" ref="O10" si="9">SUM(O11:O17)</f>
        <v>0</v>
      </c>
      <c r="P10" s="13">
        <f>SUM(P11:P17)</f>
        <v>0</v>
      </c>
      <c r="Q10" s="13">
        <f t="shared" ref="Q10:X10" si="10">SUM(Q11:Q17)</f>
        <v>0</v>
      </c>
      <c r="R10" s="13"/>
      <c r="S10" s="13">
        <f t="shared" si="10"/>
        <v>290544.86</v>
      </c>
      <c r="T10" s="13">
        <f>SUM(T11:T17)</f>
        <v>0</v>
      </c>
      <c r="U10" s="13">
        <f>SUM(U11:U17)</f>
        <v>0</v>
      </c>
      <c r="V10" s="13">
        <f t="shared" si="10"/>
        <v>0</v>
      </c>
      <c r="W10" s="13">
        <f t="shared" si="10"/>
        <v>0</v>
      </c>
      <c r="X10" s="13">
        <f t="shared" si="10"/>
        <v>0</v>
      </c>
    </row>
    <row r="11" spans="1:24" s="3" customFormat="1" hidden="1" x14ac:dyDescent="0.25">
      <c r="A11" s="18"/>
      <c r="B11" s="15" t="s">
        <v>25</v>
      </c>
      <c r="C11" s="16">
        <f t="shared" si="6"/>
        <v>0</v>
      </c>
      <c r="D11" s="16"/>
      <c r="E11" s="16"/>
      <c r="F11" s="16"/>
      <c r="G11" s="16"/>
      <c r="H11" s="16"/>
      <c r="I11" s="16"/>
      <c r="J11" s="16"/>
      <c r="K11" s="16"/>
      <c r="L11" s="16">
        <f t="shared" ref="L11:L20" si="11">SUM(M11:X11)</f>
        <v>0</v>
      </c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</row>
    <row r="12" spans="1:24" s="3" customFormat="1" hidden="1" x14ac:dyDescent="0.25">
      <c r="A12" s="18"/>
      <c r="B12" s="15" t="s">
        <v>26</v>
      </c>
      <c r="C12" s="16">
        <f t="shared" si="6"/>
        <v>0</v>
      </c>
      <c r="D12" s="16"/>
      <c r="E12" s="16"/>
      <c r="F12" s="16"/>
      <c r="G12" s="16"/>
      <c r="H12" s="16"/>
      <c r="I12" s="16"/>
      <c r="J12" s="16"/>
      <c r="K12" s="16"/>
      <c r="L12" s="16">
        <f t="shared" si="11"/>
        <v>0</v>
      </c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</row>
    <row r="13" spans="1:24" s="3" customFormat="1" hidden="1" x14ac:dyDescent="0.25">
      <c r="A13" s="18"/>
      <c r="B13" s="15" t="s">
        <v>105</v>
      </c>
      <c r="C13" s="16">
        <f t="shared" si="6"/>
        <v>0</v>
      </c>
      <c r="D13" s="16"/>
      <c r="E13" s="16"/>
      <c r="F13" s="16"/>
      <c r="G13" s="16"/>
      <c r="H13" s="16"/>
      <c r="I13" s="16"/>
      <c r="J13" s="16"/>
      <c r="K13" s="16"/>
      <c r="L13" s="16">
        <f t="shared" si="11"/>
        <v>0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</row>
    <row r="14" spans="1:24" s="3" customFormat="1" hidden="1" x14ac:dyDescent="0.25">
      <c r="A14" s="18"/>
      <c r="B14" s="15" t="s">
        <v>106</v>
      </c>
      <c r="C14" s="16">
        <f t="shared" si="6"/>
        <v>0</v>
      </c>
      <c r="D14" s="16"/>
      <c r="E14" s="16"/>
      <c r="F14" s="16"/>
      <c r="G14" s="16"/>
      <c r="H14" s="16"/>
      <c r="I14" s="16"/>
      <c r="J14" s="16"/>
      <c r="K14" s="16"/>
      <c r="L14" s="16">
        <f t="shared" si="11"/>
        <v>0</v>
      </c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</row>
    <row r="15" spans="1:24" s="3" customFormat="1" ht="15" hidden="1" customHeight="1" x14ac:dyDescent="0.25">
      <c r="A15" s="18"/>
      <c r="B15" s="15" t="s">
        <v>29</v>
      </c>
      <c r="C15" s="16">
        <f t="shared" si="6"/>
        <v>0</v>
      </c>
      <c r="D15" s="16"/>
      <c r="E15" s="16"/>
      <c r="F15" s="16"/>
      <c r="G15" s="16"/>
      <c r="H15" s="16"/>
      <c r="I15" s="16"/>
      <c r="J15" s="16"/>
      <c r="K15" s="16"/>
      <c r="L15" s="16">
        <f t="shared" si="11"/>
        <v>0</v>
      </c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</row>
    <row r="16" spans="1:24" s="3" customFormat="1" x14ac:dyDescent="0.25">
      <c r="A16" s="18"/>
      <c r="B16" s="15" t="s">
        <v>30</v>
      </c>
      <c r="C16" s="16">
        <f t="shared" si="6"/>
        <v>3290544.86</v>
      </c>
      <c r="D16" s="16"/>
      <c r="E16" s="16"/>
      <c r="F16" s="16"/>
      <c r="G16" s="16"/>
      <c r="H16" s="16"/>
      <c r="I16" s="16">
        <v>3000000</v>
      </c>
      <c r="J16" s="16"/>
      <c r="K16" s="16"/>
      <c r="L16" s="16">
        <f t="shared" si="11"/>
        <v>290544.86</v>
      </c>
      <c r="M16" s="17"/>
      <c r="N16" s="17"/>
      <c r="O16" s="17"/>
      <c r="P16" s="17"/>
      <c r="Q16" s="17"/>
      <c r="R16" s="17"/>
      <c r="S16" s="17">
        <v>290544.86</v>
      </c>
      <c r="T16" s="17"/>
      <c r="U16" s="17"/>
      <c r="V16" s="17"/>
      <c r="W16" s="17"/>
      <c r="X16" s="17"/>
    </row>
    <row r="17" spans="1:24" s="3" customFormat="1" x14ac:dyDescent="0.25">
      <c r="A17" s="18"/>
      <c r="B17" s="15" t="s">
        <v>31</v>
      </c>
      <c r="C17" s="16">
        <f t="shared" si="6"/>
        <v>2897700</v>
      </c>
      <c r="D17" s="16"/>
      <c r="E17" s="16">
        <v>2543700</v>
      </c>
      <c r="F17" s="16"/>
      <c r="G17" s="16"/>
      <c r="H17" s="16"/>
      <c r="I17" s="16">
        <v>354000</v>
      </c>
      <c r="J17" s="16"/>
      <c r="K17" s="16"/>
      <c r="L17" s="16">
        <f t="shared" si="11"/>
        <v>0</v>
      </c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</row>
    <row r="18" spans="1:24" s="3" customFormat="1" ht="12.75" x14ac:dyDescent="0.25">
      <c r="A18" s="10" t="s">
        <v>32</v>
      </c>
      <c r="B18" s="11" t="s">
        <v>33</v>
      </c>
      <c r="C18" s="12">
        <f t="shared" si="6"/>
        <v>7670176</v>
      </c>
      <c r="D18" s="12"/>
      <c r="E18" s="12">
        <v>1415250</v>
      </c>
      <c r="F18" s="12"/>
      <c r="G18" s="12"/>
      <c r="H18" s="12"/>
      <c r="I18" s="12">
        <v>6254926</v>
      </c>
      <c r="J18" s="12"/>
      <c r="K18" s="12"/>
      <c r="L18" s="12">
        <f t="shared" si="11"/>
        <v>0</v>
      </c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</row>
    <row r="19" spans="1:24" s="3" customFormat="1" ht="12.75" x14ac:dyDescent="0.25">
      <c r="A19" s="10" t="s">
        <v>34</v>
      </c>
      <c r="B19" s="11" t="s">
        <v>35</v>
      </c>
      <c r="C19" s="12">
        <f t="shared" si="6"/>
        <v>189269.52</v>
      </c>
      <c r="D19" s="12"/>
      <c r="E19" s="12">
        <v>34229.519999999997</v>
      </c>
      <c r="F19" s="12"/>
      <c r="G19" s="12"/>
      <c r="H19" s="12"/>
      <c r="I19" s="12"/>
      <c r="J19" s="12"/>
      <c r="K19" s="12"/>
      <c r="L19" s="12">
        <f t="shared" si="11"/>
        <v>155040</v>
      </c>
      <c r="M19" s="13"/>
      <c r="N19" s="13">
        <v>120000</v>
      </c>
      <c r="O19" s="13"/>
      <c r="P19" s="13"/>
      <c r="Q19" s="13"/>
      <c r="R19" s="13"/>
      <c r="S19" s="13"/>
      <c r="T19" s="13"/>
      <c r="U19" s="13">
        <v>35040</v>
      </c>
      <c r="V19" s="13"/>
      <c r="W19" s="13"/>
      <c r="X19" s="13"/>
    </row>
    <row r="20" spans="1:24" s="3" customFormat="1" ht="12.75" x14ac:dyDescent="0.25">
      <c r="A20" s="10" t="s">
        <v>36</v>
      </c>
      <c r="B20" s="11" t="s">
        <v>37</v>
      </c>
      <c r="C20" s="12">
        <f t="shared" si="6"/>
        <v>2008259.4</v>
      </c>
      <c r="D20" s="12"/>
      <c r="E20" s="12">
        <v>1512170.4</v>
      </c>
      <c r="F20" s="12"/>
      <c r="G20" s="12"/>
      <c r="H20" s="12">
        <v>496089</v>
      </c>
      <c r="I20" s="12"/>
      <c r="J20" s="12"/>
      <c r="K20" s="12"/>
      <c r="L20" s="12">
        <f t="shared" si="11"/>
        <v>0</v>
      </c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</row>
    <row r="21" spans="1:24" s="3" customFormat="1" ht="12.75" x14ac:dyDescent="0.25">
      <c r="A21" s="10" t="s">
        <v>38</v>
      </c>
      <c r="B21" s="11" t="s">
        <v>39</v>
      </c>
      <c r="C21" s="12">
        <f t="shared" si="6"/>
        <v>13104610.67</v>
      </c>
      <c r="D21" s="12">
        <f t="shared" ref="D21:K21" si="12">D25+D23+D22+D24</f>
        <v>0</v>
      </c>
      <c r="E21" s="12">
        <f t="shared" si="12"/>
        <v>104610.67</v>
      </c>
      <c r="F21" s="12">
        <f t="shared" si="12"/>
        <v>0</v>
      </c>
      <c r="G21" s="12">
        <f t="shared" si="12"/>
        <v>0</v>
      </c>
      <c r="H21" s="12">
        <f t="shared" si="12"/>
        <v>0</v>
      </c>
      <c r="I21" s="12">
        <f t="shared" si="12"/>
        <v>0</v>
      </c>
      <c r="J21" s="12">
        <f t="shared" si="12"/>
        <v>0</v>
      </c>
      <c r="K21" s="12">
        <f t="shared" si="12"/>
        <v>0</v>
      </c>
      <c r="L21" s="12">
        <f>L25+L23+L22+L24</f>
        <v>13000000</v>
      </c>
      <c r="M21" s="13">
        <f>M25+M23+M22+M24</f>
        <v>0</v>
      </c>
      <c r="N21" s="13">
        <f t="shared" ref="N21:X21" si="13">N25+N23+N22+N24</f>
        <v>0</v>
      </c>
      <c r="O21" s="13">
        <f t="shared" si="13"/>
        <v>0</v>
      </c>
      <c r="P21" s="13">
        <f t="shared" si="13"/>
        <v>13000000</v>
      </c>
      <c r="Q21" s="13">
        <f t="shared" si="13"/>
        <v>0</v>
      </c>
      <c r="R21" s="13">
        <f t="shared" si="13"/>
        <v>0</v>
      </c>
      <c r="S21" s="13">
        <f t="shared" si="13"/>
        <v>0</v>
      </c>
      <c r="T21" s="13">
        <f t="shared" si="13"/>
        <v>0</v>
      </c>
      <c r="U21" s="13">
        <f t="shared" si="13"/>
        <v>0</v>
      </c>
      <c r="V21" s="13">
        <f t="shared" si="13"/>
        <v>0</v>
      </c>
      <c r="W21" s="13">
        <f t="shared" si="13"/>
        <v>0</v>
      </c>
      <c r="X21" s="13">
        <f t="shared" si="13"/>
        <v>0</v>
      </c>
    </row>
    <row r="22" spans="1:24" s="3" customFormat="1" ht="12.75" x14ac:dyDescent="0.25">
      <c r="A22" s="20"/>
      <c r="B22" s="15" t="s">
        <v>40</v>
      </c>
      <c r="C22" s="16">
        <f t="shared" si="6"/>
        <v>13000000</v>
      </c>
      <c r="D22" s="16"/>
      <c r="E22" s="16"/>
      <c r="F22" s="16"/>
      <c r="G22" s="16"/>
      <c r="H22" s="16"/>
      <c r="I22" s="16"/>
      <c r="J22" s="16"/>
      <c r="K22" s="16"/>
      <c r="L22" s="16">
        <f t="shared" ref="L22:L25" si="14">SUM(M22:X22)</f>
        <v>13000000</v>
      </c>
      <c r="M22" s="17"/>
      <c r="N22" s="17"/>
      <c r="O22" s="17"/>
      <c r="P22" s="17">
        <v>13000000</v>
      </c>
      <c r="Q22" s="17"/>
      <c r="R22" s="17"/>
      <c r="S22" s="17"/>
      <c r="T22" s="17"/>
      <c r="U22" s="17"/>
      <c r="V22" s="17"/>
      <c r="W22" s="17"/>
      <c r="X22" s="17"/>
    </row>
    <row r="23" spans="1:24" s="3" customFormat="1" ht="12.75" x14ac:dyDescent="0.25">
      <c r="A23" s="20"/>
      <c r="B23" s="15" t="s">
        <v>41</v>
      </c>
      <c r="C23" s="16">
        <f t="shared" si="6"/>
        <v>104610.67</v>
      </c>
      <c r="D23" s="16"/>
      <c r="E23" s="16">
        <v>104610.67</v>
      </c>
      <c r="F23" s="16"/>
      <c r="G23" s="16"/>
      <c r="H23" s="16"/>
      <c r="I23" s="16"/>
      <c r="J23" s="16"/>
      <c r="K23" s="16"/>
      <c r="L23" s="16">
        <f t="shared" si="14"/>
        <v>0</v>
      </c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</row>
    <row r="24" spans="1:24" s="3" customFormat="1" ht="12.75" x14ac:dyDescent="0.25">
      <c r="A24" s="20"/>
      <c r="B24" s="15" t="s">
        <v>42</v>
      </c>
      <c r="C24" s="16">
        <f t="shared" si="6"/>
        <v>0</v>
      </c>
      <c r="D24" s="16"/>
      <c r="E24" s="16"/>
      <c r="F24" s="16"/>
      <c r="G24" s="16"/>
      <c r="H24" s="16"/>
      <c r="I24" s="16"/>
      <c r="J24" s="16"/>
      <c r="K24" s="16"/>
      <c r="L24" s="16">
        <f t="shared" si="14"/>
        <v>0</v>
      </c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</row>
    <row r="25" spans="1:24" s="3" customFormat="1" ht="12.75" x14ac:dyDescent="0.25">
      <c r="A25" s="20"/>
      <c r="B25" s="15" t="s">
        <v>44</v>
      </c>
      <c r="C25" s="16">
        <f t="shared" si="6"/>
        <v>0</v>
      </c>
      <c r="D25" s="16"/>
      <c r="E25" s="16"/>
      <c r="F25" s="16"/>
      <c r="G25" s="16"/>
      <c r="H25" s="16"/>
      <c r="I25" s="16"/>
      <c r="J25" s="16"/>
      <c r="K25" s="16"/>
      <c r="L25" s="16">
        <f t="shared" si="14"/>
        <v>0</v>
      </c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</row>
    <row r="26" spans="1:24" s="3" customFormat="1" ht="12.75" hidden="1" customHeight="1" x14ac:dyDescent="0.25">
      <c r="A26" s="10" t="s">
        <v>45</v>
      </c>
      <c r="B26" s="11" t="s">
        <v>46</v>
      </c>
      <c r="C26" s="12">
        <f t="shared" si="6"/>
        <v>0</v>
      </c>
      <c r="D26" s="12"/>
      <c r="E26" s="12"/>
      <c r="F26" s="12"/>
      <c r="G26" s="12"/>
      <c r="H26" s="12"/>
      <c r="I26" s="12"/>
      <c r="J26" s="12"/>
      <c r="K26" s="12"/>
      <c r="L26" s="12">
        <f t="shared" ref="L26:L27" si="15">SUM(M26:X26)</f>
        <v>0</v>
      </c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</row>
    <row r="27" spans="1:24" s="3" customFormat="1" ht="12.75" x14ac:dyDescent="0.25">
      <c r="A27" s="10" t="s">
        <v>47</v>
      </c>
      <c r="B27" s="11" t="s">
        <v>48</v>
      </c>
      <c r="C27" s="12">
        <f t="shared" si="6"/>
        <v>11628498.870000001</v>
      </c>
      <c r="D27" s="12"/>
      <c r="E27" s="12">
        <v>1387686.25</v>
      </c>
      <c r="F27" s="12"/>
      <c r="G27" s="12"/>
      <c r="H27" s="12">
        <v>3473950.03</v>
      </c>
      <c r="I27" s="12">
        <v>5258116.45</v>
      </c>
      <c r="J27" s="12"/>
      <c r="K27" s="12"/>
      <c r="L27" s="12">
        <f t="shared" si="15"/>
        <v>1508746.14</v>
      </c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>
        <v>1508746.14</v>
      </c>
    </row>
    <row r="28" spans="1:24" s="3" customFormat="1" ht="12.75" x14ac:dyDescent="0.25">
      <c r="A28" s="10" t="s">
        <v>49</v>
      </c>
      <c r="B28" s="11" t="s">
        <v>50</v>
      </c>
      <c r="C28" s="12">
        <f t="shared" si="6"/>
        <v>3055647.1</v>
      </c>
      <c r="D28" s="12">
        <f>D29+D30+D31</f>
        <v>3055647.1</v>
      </c>
      <c r="E28" s="12"/>
      <c r="F28" s="12"/>
      <c r="G28" s="12"/>
      <c r="H28" s="12"/>
      <c r="I28" s="12"/>
      <c r="J28" s="12"/>
      <c r="K28" s="12"/>
      <c r="L28" s="12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</row>
    <row r="29" spans="1:24" s="3" customFormat="1" x14ac:dyDescent="0.25">
      <c r="A29" s="18"/>
      <c r="B29" s="15" t="s">
        <v>51</v>
      </c>
      <c r="C29" s="16">
        <f t="shared" si="6"/>
        <v>3000000</v>
      </c>
      <c r="D29" s="16">
        <v>3000000</v>
      </c>
      <c r="E29" s="16"/>
      <c r="F29" s="16"/>
      <c r="G29" s="16"/>
      <c r="H29" s="16"/>
      <c r="I29" s="16"/>
      <c r="J29" s="16"/>
      <c r="K29" s="16"/>
      <c r="L29" s="16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</row>
    <row r="30" spans="1:24" s="3" customFormat="1" x14ac:dyDescent="0.25">
      <c r="A30" s="18"/>
      <c r="B30" s="15" t="s">
        <v>52</v>
      </c>
      <c r="C30" s="16">
        <f t="shared" si="6"/>
        <v>55647.100000000006</v>
      </c>
      <c r="D30" s="16">
        <f>17774.06+37873.04</f>
        <v>55647.100000000006</v>
      </c>
      <c r="E30" s="16"/>
      <c r="F30" s="16"/>
      <c r="G30" s="16"/>
      <c r="H30" s="16"/>
      <c r="I30" s="16"/>
      <c r="J30" s="16"/>
      <c r="K30" s="16"/>
      <c r="L30" s="16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</row>
    <row r="31" spans="1:24" s="3" customFormat="1" x14ac:dyDescent="0.25">
      <c r="A31" s="18"/>
      <c r="B31" s="15" t="s">
        <v>53</v>
      </c>
      <c r="C31" s="16">
        <f t="shared" si="6"/>
        <v>0</v>
      </c>
      <c r="D31" s="16"/>
      <c r="E31" s="16"/>
      <c r="F31" s="16"/>
      <c r="G31" s="16"/>
      <c r="H31" s="16"/>
      <c r="I31" s="16"/>
      <c r="J31" s="16"/>
      <c r="K31" s="16"/>
      <c r="L31" s="16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</row>
    <row r="32" spans="1:24" s="3" customFormat="1" ht="12.75" x14ac:dyDescent="0.25">
      <c r="A32" s="18"/>
      <c r="B32" s="15" t="s">
        <v>54</v>
      </c>
      <c r="C32" s="16">
        <f t="shared" si="6"/>
        <v>0</v>
      </c>
      <c r="D32" s="16"/>
      <c r="E32" s="16"/>
      <c r="F32" s="16"/>
      <c r="G32" s="16"/>
      <c r="H32" s="16"/>
      <c r="I32" s="16"/>
      <c r="J32" s="16"/>
      <c r="K32" s="16"/>
      <c r="L32" s="21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</row>
    <row r="33" spans="1:24" s="3" customFormat="1" ht="38.25" x14ac:dyDescent="0.25">
      <c r="A33" s="10" t="s">
        <v>55</v>
      </c>
      <c r="B33" s="23" t="s">
        <v>56</v>
      </c>
      <c r="C33" s="12">
        <f t="shared" si="6"/>
        <v>7839226.0919399997</v>
      </c>
      <c r="D33" s="12">
        <f>555658.8+1142912.87+[3]поступление!F50</f>
        <v>4571653.2411810001</v>
      </c>
      <c r="E33" s="12">
        <v>1541426.97</v>
      </c>
      <c r="F33" s="12"/>
      <c r="G33" s="12"/>
      <c r="H33" s="12">
        <f>97369.54+[3]поступление!G45</f>
        <v>109696.174055</v>
      </c>
      <c r="I33" s="12">
        <f>256528.45+[3]поступление!F51</f>
        <v>717918.42670399998</v>
      </c>
      <c r="J33" s="12"/>
      <c r="K33" s="12"/>
      <c r="L33" s="12">
        <f t="shared" ref="L33:L36" si="16">SUM(M33:X33)</f>
        <v>898531.28</v>
      </c>
      <c r="M33" s="13"/>
      <c r="N33" s="13"/>
      <c r="O33" s="13"/>
      <c r="P33" s="13"/>
      <c r="Q33" s="13">
        <v>659697.6</v>
      </c>
      <c r="R33" s="13"/>
      <c r="S33" s="13"/>
      <c r="T33" s="13"/>
      <c r="U33" s="13">
        <v>192912.24</v>
      </c>
      <c r="V33" s="13"/>
      <c r="W33" s="13">
        <v>26480.65</v>
      </c>
      <c r="X33" s="13">
        <v>19440.79</v>
      </c>
    </row>
    <row r="34" spans="1:24" s="3" customFormat="1" ht="25.5" x14ac:dyDescent="0.25">
      <c r="A34" s="10" t="s">
        <v>57</v>
      </c>
      <c r="B34" s="23" t="s">
        <v>58</v>
      </c>
      <c r="C34" s="12">
        <f t="shared" si="6"/>
        <v>5551061.7699999996</v>
      </c>
      <c r="D34" s="12">
        <v>2929087.03</v>
      </c>
      <c r="E34" s="12">
        <f>500187+11181.24</f>
        <v>511368.24</v>
      </c>
      <c r="F34" s="12"/>
      <c r="G34" s="12"/>
      <c r="H34" s="12">
        <f>881421.9+17584.56</f>
        <v>899006.46000000008</v>
      </c>
      <c r="I34" s="12">
        <f>1139195.04+3220.56</f>
        <v>1142415.6000000001</v>
      </c>
      <c r="J34" s="12"/>
      <c r="K34" s="12"/>
      <c r="L34" s="12">
        <f t="shared" si="16"/>
        <v>69184.44</v>
      </c>
      <c r="M34" s="13"/>
      <c r="N34" s="13"/>
      <c r="O34" s="13"/>
      <c r="P34" s="13"/>
      <c r="Q34" s="13"/>
      <c r="R34" s="13"/>
      <c r="S34" s="13"/>
      <c r="T34" s="13"/>
      <c r="U34" s="13">
        <v>18343.560000000001</v>
      </c>
      <c r="V34" s="13"/>
      <c r="W34" s="13">
        <v>29725.8</v>
      </c>
      <c r="X34" s="13">
        <f>9933.84+11181.24</f>
        <v>21115.08</v>
      </c>
    </row>
    <row r="35" spans="1:24" s="3" customFormat="1" ht="38.25" x14ac:dyDescent="0.25">
      <c r="A35" s="10" t="s">
        <v>59</v>
      </c>
      <c r="B35" s="23" t="s">
        <v>60</v>
      </c>
      <c r="C35" s="12">
        <f t="shared" si="6"/>
        <v>559162.46</v>
      </c>
      <c r="D35" s="12">
        <v>496327.98</v>
      </c>
      <c r="E35" s="12">
        <v>3429.05</v>
      </c>
      <c r="F35" s="12"/>
      <c r="G35" s="12"/>
      <c r="H35" s="12">
        <v>23058.86</v>
      </c>
      <c r="I35" s="12">
        <v>33000</v>
      </c>
      <c r="J35" s="12"/>
      <c r="K35" s="12"/>
      <c r="L35" s="12">
        <f t="shared" si="16"/>
        <v>3346.57</v>
      </c>
      <c r="M35" s="13"/>
      <c r="N35" s="13"/>
      <c r="O35" s="13"/>
      <c r="P35" s="13">
        <v>3346.57</v>
      </c>
      <c r="Q35" s="13"/>
      <c r="R35" s="13"/>
      <c r="S35" s="13"/>
      <c r="T35" s="13"/>
      <c r="U35" s="13"/>
      <c r="V35" s="13"/>
      <c r="W35" s="13"/>
      <c r="X35" s="13"/>
    </row>
    <row r="36" spans="1:24" s="3" customFormat="1" ht="12.75" x14ac:dyDescent="0.25">
      <c r="A36" s="10" t="s">
        <v>61</v>
      </c>
      <c r="B36" s="23" t="s">
        <v>62</v>
      </c>
      <c r="C36" s="12">
        <f t="shared" si="6"/>
        <v>1346283.2999999998</v>
      </c>
      <c r="D36" s="12">
        <v>2579.21</v>
      </c>
      <c r="E36" s="12"/>
      <c r="F36" s="12"/>
      <c r="G36" s="12"/>
      <c r="H36" s="12"/>
      <c r="I36" s="12">
        <v>5800</v>
      </c>
      <c r="J36" s="12"/>
      <c r="K36" s="12"/>
      <c r="L36" s="12">
        <f t="shared" si="16"/>
        <v>1337904.0899999999</v>
      </c>
      <c r="M36" s="13"/>
      <c r="N36" s="13"/>
      <c r="O36" s="13"/>
      <c r="P36" s="13"/>
      <c r="Q36" s="13"/>
      <c r="R36" s="13"/>
      <c r="S36" s="13">
        <v>963174.09</v>
      </c>
      <c r="T36" s="13"/>
      <c r="U36" s="13">
        <v>243270</v>
      </c>
      <c r="V36" s="13"/>
      <c r="W36" s="13">
        <v>131460</v>
      </c>
      <c r="X36" s="13"/>
    </row>
    <row r="37" spans="1:24" s="28" customFormat="1" ht="18.75" x14ac:dyDescent="0.25">
      <c r="A37" s="24"/>
      <c r="B37" s="25" t="s">
        <v>63</v>
      </c>
      <c r="C37" s="26">
        <v>85914486.181940004</v>
      </c>
      <c r="D37" s="26">
        <f t="shared" ref="D37:K37" si="17">D4+D7+D10+D18+D19+D20+D21+D26+D27+D28+D33+D34+D35+D36</f>
        <v>37829340.701180995</v>
      </c>
      <c r="E37" s="26">
        <f t="shared" si="17"/>
        <v>9053871.1000000015</v>
      </c>
      <c r="F37" s="26">
        <f>F4+F7+F10+F18+F19+F20+F21+F26+F27+F28+F33+F34+F35+F36</f>
        <v>0</v>
      </c>
      <c r="G37" s="26">
        <f t="shared" si="17"/>
        <v>0</v>
      </c>
      <c r="H37" s="26">
        <f t="shared" si="17"/>
        <v>5001800.5240550004</v>
      </c>
      <c r="I37" s="26">
        <f t="shared" si="17"/>
        <v>16766176.476704</v>
      </c>
      <c r="J37" s="26">
        <f>J4+J7+J10+J18+J19+J20+J21+J26+J27+J28+J33+J34+J35+J36</f>
        <v>0</v>
      </c>
      <c r="K37" s="26">
        <f t="shared" si="17"/>
        <v>0</v>
      </c>
      <c r="L37" s="26">
        <f>L4+L7+L10+L18+L19+L20+L21+L26+L27+L28+L33+L34+L35+L36</f>
        <v>17263297.379999999</v>
      </c>
      <c r="M37" s="27">
        <f t="shared" ref="M37:X37" si="18">M4+M7+M10+M18+M19+M20+M21+M26+M27+M28+M33+M34+M35+M36</f>
        <v>0</v>
      </c>
      <c r="N37" s="27">
        <f t="shared" si="18"/>
        <v>120000</v>
      </c>
      <c r="O37" s="27">
        <f t="shared" si="18"/>
        <v>0</v>
      </c>
      <c r="P37" s="27">
        <f>P4+P7+P10+P18+P19+P20+P21+P26+P27+P28+P33+P34+P35+P36</f>
        <v>13003346.57</v>
      </c>
      <c r="Q37" s="27">
        <f t="shared" si="18"/>
        <v>659697.6</v>
      </c>
      <c r="R37" s="27">
        <f t="shared" si="18"/>
        <v>0</v>
      </c>
      <c r="S37" s="27">
        <f t="shared" si="18"/>
        <v>1253718.95</v>
      </c>
      <c r="T37" s="27">
        <f t="shared" si="18"/>
        <v>0</v>
      </c>
      <c r="U37" s="27">
        <f t="shared" si="18"/>
        <v>489565.8</v>
      </c>
      <c r="V37" s="27">
        <f t="shared" si="18"/>
        <v>0</v>
      </c>
      <c r="W37" s="27">
        <f t="shared" si="18"/>
        <v>187666.45</v>
      </c>
      <c r="X37" s="27">
        <f t="shared" si="18"/>
        <v>1549302.01</v>
      </c>
    </row>
    <row r="38" spans="1:24" s="28" customFormat="1" ht="18.75" x14ac:dyDescent="0.25">
      <c r="A38" s="29"/>
      <c r="B38" s="30" t="s">
        <v>64</v>
      </c>
      <c r="C38" s="26">
        <v>1479204.28</v>
      </c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</row>
    <row r="39" spans="1:24" s="28" customFormat="1" ht="18.75" x14ac:dyDescent="0.25">
      <c r="A39" s="29"/>
      <c r="B39" s="30" t="s">
        <v>65</v>
      </c>
      <c r="C39" s="26">
        <v>1406585.84</v>
      </c>
      <c r="D39" s="31"/>
      <c r="E39" s="31"/>
      <c r="F39" s="31" t="s">
        <v>66</v>
      </c>
      <c r="G39" s="31"/>
    </row>
    <row r="40" spans="1:24" s="28" customFormat="1" ht="18.75" x14ac:dyDescent="0.25">
      <c r="A40" s="29"/>
      <c r="B40" s="30" t="s">
        <v>67</v>
      </c>
      <c r="C40" s="26">
        <v>721468.05</v>
      </c>
      <c r="D40" s="31"/>
      <c r="E40" s="31"/>
      <c r="F40" s="31"/>
      <c r="G40" s="31"/>
    </row>
    <row r="41" spans="1:24" s="28" customFormat="1" ht="18.75" hidden="1" x14ac:dyDescent="0.2">
      <c r="A41" s="29"/>
      <c r="B41" s="30"/>
      <c r="C41" s="26"/>
      <c r="D41" s="31"/>
      <c r="E41" s="31"/>
      <c r="F41" s="31"/>
      <c r="G41" s="31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</row>
    <row r="42" spans="1:24" s="28" customFormat="1" ht="18.75" hidden="1" x14ac:dyDescent="0.2">
      <c r="A42" s="29"/>
      <c r="B42" s="30"/>
      <c r="C42" s="26"/>
      <c r="D42" s="31"/>
      <c r="E42" s="31"/>
      <c r="F42" s="31"/>
      <c r="G42" s="31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</row>
    <row r="43" spans="1:24" ht="18.75" x14ac:dyDescent="0.2">
      <c r="A43" s="32"/>
      <c r="B43" s="30" t="s">
        <v>69</v>
      </c>
      <c r="C43" s="26">
        <v>264026.14</v>
      </c>
      <c r="L43" s="9"/>
    </row>
    <row r="44" spans="1:24" ht="18.75" x14ac:dyDescent="0.2">
      <c r="A44" s="32"/>
      <c r="B44" s="30" t="s">
        <v>107</v>
      </c>
      <c r="C44" s="26"/>
      <c r="D44" s="33"/>
      <c r="L44" s="9"/>
    </row>
    <row r="45" spans="1:24" ht="23.25" x14ac:dyDescent="0.35">
      <c r="A45" s="32"/>
      <c r="B45" s="35"/>
      <c r="C45" s="36">
        <v>89785770.491940007</v>
      </c>
      <c r="D45" s="33"/>
    </row>
    <row r="46" spans="1:24" x14ac:dyDescent="0.2">
      <c r="C46" s="38"/>
    </row>
    <row r="47" spans="1:24" x14ac:dyDescent="0.2">
      <c r="C47" s="38"/>
    </row>
    <row r="51" spans="2:2" ht="18.75" hidden="1" x14ac:dyDescent="0.2">
      <c r="B51" s="30" t="s">
        <v>67</v>
      </c>
    </row>
    <row r="52" spans="2:2" hidden="1" x14ac:dyDescent="0.2">
      <c r="B52" s="37" t="s">
        <v>108</v>
      </c>
    </row>
    <row r="53" spans="2:2" hidden="1" x14ac:dyDescent="0.2">
      <c r="B53" s="37" t="s">
        <v>109</v>
      </c>
    </row>
    <row r="54" spans="2:2" hidden="1" x14ac:dyDescent="0.2">
      <c r="B54" s="37" t="s">
        <v>110</v>
      </c>
    </row>
    <row r="55" spans="2:2" hidden="1" x14ac:dyDescent="0.2"/>
    <row r="56" spans="2:2" ht="18.75" hidden="1" x14ac:dyDescent="0.2">
      <c r="B56" s="30" t="s">
        <v>69</v>
      </c>
    </row>
    <row r="57" spans="2:2" hidden="1" x14ac:dyDescent="0.2">
      <c r="B57" s="37" t="s">
        <v>110</v>
      </c>
    </row>
    <row r="58" spans="2:2" hidden="1" x14ac:dyDescent="0.2">
      <c r="B58" s="37" t="s">
        <v>110</v>
      </c>
    </row>
    <row r="59" spans="2:2" hidden="1" x14ac:dyDescent="0.2">
      <c r="B59" s="37" t="s">
        <v>111</v>
      </c>
    </row>
    <row r="60" spans="2:2" hidden="1" x14ac:dyDescent="0.2">
      <c r="B60" s="37" t="s">
        <v>112</v>
      </c>
    </row>
    <row r="61" spans="2:2" hidden="1" x14ac:dyDescent="0.2">
      <c r="B61" s="37" t="s">
        <v>113</v>
      </c>
    </row>
    <row r="62" spans="2:2" hidden="1" x14ac:dyDescent="0.2">
      <c r="B62" s="37" t="s">
        <v>114</v>
      </c>
    </row>
    <row r="63" spans="2:2" hidden="1" x14ac:dyDescent="0.2">
      <c r="B63" s="37" t="s">
        <v>115</v>
      </c>
    </row>
    <row r="64" spans="2:2" hidden="1" x14ac:dyDescent="0.2"/>
    <row r="65" hidden="1" x14ac:dyDescent="0.2"/>
    <row r="66" hidden="1" x14ac:dyDescent="0.2"/>
    <row r="67" hidden="1" x14ac:dyDescent="0.2"/>
    <row r="68" hidden="1" x14ac:dyDescent="0.2"/>
  </sheetData>
  <pageMargins left="0.70866141732283472" right="0.70866141732283472" top="0.74803149606299213" bottom="0.74803149606299213" header="0.31496062992125984" footer="0.31496062992125984"/>
  <pageSetup paperSize="9" scale="78" orientation="landscape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AA18B-E345-4274-A62E-7AD9FB886658}">
  <sheetPr codeName="Лист12">
    <pageSetUpPr fitToPage="1"/>
  </sheetPr>
  <dimension ref="A1:V48"/>
  <sheetViews>
    <sheetView view="pageBreakPreview" zoomScale="60" zoomScaleNormal="100" workbookViewId="0">
      <selection activeCell="X26" sqref="X26"/>
    </sheetView>
  </sheetViews>
  <sheetFormatPr defaultColWidth="14.140625" defaultRowHeight="11.25" outlineLevelCol="1" x14ac:dyDescent="0.2"/>
  <cols>
    <col min="1" max="1" width="6.140625" style="9" customWidth="1"/>
    <col min="2" max="2" width="62.140625" style="37" customWidth="1"/>
    <col min="3" max="3" width="22.42578125" style="9" customWidth="1"/>
    <col min="4" max="4" width="16.85546875" style="34" customWidth="1"/>
    <col min="5" max="9" width="15.140625" style="34" customWidth="1"/>
    <col min="10" max="21" width="16.42578125" style="34" hidden="1" customWidth="1" outlineLevel="1"/>
    <col min="22" max="22" width="0" style="9" hidden="1" customWidth="1" collapsed="1"/>
    <col min="23" max="16384" width="14.140625" style="9"/>
  </cols>
  <sheetData>
    <row r="1" spans="1:21" s="3" customFormat="1" ht="30" customHeight="1" x14ac:dyDescent="0.25">
      <c r="A1" s="1"/>
      <c r="B1" s="50" t="s">
        <v>116</v>
      </c>
      <c r="C1" s="39"/>
      <c r="D1" s="41" t="s">
        <v>0</v>
      </c>
      <c r="E1" s="41" t="s">
        <v>117</v>
      </c>
      <c r="F1" s="41" t="s">
        <v>1</v>
      </c>
      <c r="G1" s="41" t="s">
        <v>6</v>
      </c>
      <c r="H1" s="41" t="s">
        <v>4</v>
      </c>
      <c r="I1" s="43" t="s">
        <v>5</v>
      </c>
      <c r="J1" s="2" t="s">
        <v>99</v>
      </c>
      <c r="K1" s="2" t="s">
        <v>97</v>
      </c>
      <c r="L1" s="2" t="s">
        <v>101</v>
      </c>
      <c r="M1" s="2" t="s">
        <v>91</v>
      </c>
      <c r="N1" s="2" t="s">
        <v>98</v>
      </c>
      <c r="O1" s="2" t="s">
        <v>83</v>
      </c>
      <c r="P1" s="2" t="s">
        <v>82</v>
      </c>
      <c r="Q1" s="2" t="s">
        <v>118</v>
      </c>
      <c r="R1" s="2" t="s">
        <v>9</v>
      </c>
      <c r="S1" s="2" t="s">
        <v>85</v>
      </c>
      <c r="T1" s="2" t="s">
        <v>92</v>
      </c>
      <c r="U1" s="2" t="s">
        <v>84</v>
      </c>
    </row>
    <row r="2" spans="1:21" x14ac:dyDescent="0.2">
      <c r="A2" s="4"/>
      <c r="B2" s="5" t="s">
        <v>12</v>
      </c>
      <c r="C2" s="6"/>
      <c r="D2" s="7"/>
      <c r="E2" s="7"/>
      <c r="F2" s="7"/>
      <c r="G2" s="7"/>
      <c r="H2" s="7"/>
      <c r="I2" s="6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</row>
    <row r="3" spans="1:21" x14ac:dyDescent="0.2">
      <c r="A3" s="4"/>
      <c r="B3" s="5"/>
      <c r="C3" s="6" t="s">
        <v>14</v>
      </c>
      <c r="D3" s="6" t="s">
        <v>14</v>
      </c>
      <c r="E3" s="6" t="s">
        <v>87</v>
      </c>
      <c r="F3" s="6" t="s">
        <v>14</v>
      </c>
      <c r="G3" s="6" t="s">
        <v>14</v>
      </c>
      <c r="H3" s="6" t="s">
        <v>14</v>
      </c>
      <c r="I3" s="6" t="s">
        <v>14</v>
      </c>
      <c r="J3" s="6" t="s">
        <v>14</v>
      </c>
      <c r="K3" s="6" t="s">
        <v>14</v>
      </c>
      <c r="L3" s="6" t="s">
        <v>14</v>
      </c>
      <c r="M3" s="6" t="s">
        <v>14</v>
      </c>
      <c r="N3" s="6" t="s">
        <v>14</v>
      </c>
      <c r="O3" s="6" t="s">
        <v>14</v>
      </c>
      <c r="P3" s="6" t="s">
        <v>14</v>
      </c>
      <c r="Q3" s="6" t="s">
        <v>14</v>
      </c>
      <c r="R3" s="6" t="s">
        <v>14</v>
      </c>
      <c r="S3" s="6" t="s">
        <v>14</v>
      </c>
      <c r="T3" s="6" t="s">
        <v>14</v>
      </c>
      <c r="U3" s="6" t="s">
        <v>14</v>
      </c>
    </row>
    <row r="4" spans="1:21" s="3" customFormat="1" ht="12.75" x14ac:dyDescent="0.25">
      <c r="A4" s="10" t="s">
        <v>15</v>
      </c>
      <c r="B4" s="11" t="s">
        <v>16</v>
      </c>
      <c r="C4" s="12">
        <f>C5+C6</f>
        <v>21229288.689999998</v>
      </c>
      <c r="D4" s="12">
        <f t="shared" ref="D4:I4" si="0">D5+D6</f>
        <v>10812222.6</v>
      </c>
      <c r="E4" s="12">
        <f t="shared" si="0"/>
        <v>0</v>
      </c>
      <c r="F4" s="12">
        <f t="shared" si="0"/>
        <v>1219354.67</v>
      </c>
      <c r="G4" s="12">
        <f t="shared" si="0"/>
        <v>0</v>
      </c>
      <c r="H4" s="12">
        <f t="shared" si="0"/>
        <v>0</v>
      </c>
      <c r="I4" s="12">
        <f t="shared" si="0"/>
        <v>9197711.4199999999</v>
      </c>
      <c r="J4" s="13">
        <f>J5+J6</f>
        <v>599904.43999999994</v>
      </c>
      <c r="K4" s="13">
        <f>K5+K6</f>
        <v>329821.87</v>
      </c>
      <c r="L4" s="13">
        <f t="shared" ref="L4:U4" si="1">L5+L6</f>
        <v>942591.29</v>
      </c>
      <c r="M4" s="13">
        <f>M5+M6</f>
        <v>1495675.59</v>
      </c>
      <c r="N4" s="13">
        <f t="shared" si="1"/>
        <v>1287333.45</v>
      </c>
      <c r="O4" s="13">
        <f>O5+O6</f>
        <v>0</v>
      </c>
      <c r="P4" s="13">
        <f t="shared" si="1"/>
        <v>37490</v>
      </c>
      <c r="Q4" s="13">
        <f>Q5+Q6</f>
        <v>1145388.5900000001</v>
      </c>
      <c r="R4" s="13">
        <f>R5+R6</f>
        <v>46840</v>
      </c>
      <c r="S4" s="13">
        <f t="shared" si="1"/>
        <v>346703.28</v>
      </c>
      <c r="T4" s="13">
        <f t="shared" si="1"/>
        <v>1028873.5</v>
      </c>
      <c r="U4" s="13">
        <f t="shared" si="1"/>
        <v>1937089.41</v>
      </c>
    </row>
    <row r="5" spans="1:21" s="3" customFormat="1" x14ac:dyDescent="0.25">
      <c r="A5" s="14"/>
      <c r="B5" s="15" t="s">
        <v>17</v>
      </c>
      <c r="C5" s="16">
        <f>D5+E5+I5+F5+G5+H5</f>
        <v>10417066.09</v>
      </c>
      <c r="D5" s="16"/>
      <c r="E5" s="16"/>
      <c r="F5" s="16">
        <v>1219354.67</v>
      </c>
      <c r="G5" s="16"/>
      <c r="H5" s="16"/>
      <c r="I5" s="16">
        <f>SUM(J5:U5)</f>
        <v>9197711.4199999999</v>
      </c>
      <c r="J5" s="17">
        <v>599904.43999999994</v>
      </c>
      <c r="K5" s="17">
        <v>329821.87</v>
      </c>
      <c r="L5" s="17">
        <v>942591.29</v>
      </c>
      <c r="M5" s="17">
        <v>1495675.59</v>
      </c>
      <c r="N5" s="17">
        <v>1287333.45</v>
      </c>
      <c r="O5" s="17"/>
      <c r="P5" s="17">
        <v>37490</v>
      </c>
      <c r="Q5" s="17">
        <v>1145388.5900000001</v>
      </c>
      <c r="R5" s="17">
        <v>46840</v>
      </c>
      <c r="S5" s="17">
        <v>346703.28</v>
      </c>
      <c r="T5" s="17">
        <v>1028873.5</v>
      </c>
      <c r="U5" s="17">
        <v>1937089.41</v>
      </c>
    </row>
    <row r="6" spans="1:21" s="3" customFormat="1" x14ac:dyDescent="0.25">
      <c r="A6" s="14"/>
      <c r="B6" s="15" t="s">
        <v>18</v>
      </c>
      <c r="C6" s="16">
        <f>D6+E6+I6+F6+G6+H6</f>
        <v>10812222.6</v>
      </c>
      <c r="D6" s="16">
        <v>10812222.6</v>
      </c>
      <c r="E6" s="16"/>
      <c r="F6" s="16"/>
      <c r="G6" s="16"/>
      <c r="H6" s="16"/>
      <c r="I6" s="16">
        <f>SUM(J6:U6)</f>
        <v>0</v>
      </c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</row>
    <row r="7" spans="1:21" s="3" customFormat="1" ht="12.75" x14ac:dyDescent="0.25">
      <c r="A7" s="10" t="s">
        <v>19</v>
      </c>
      <c r="B7" s="11" t="s">
        <v>20</v>
      </c>
      <c r="C7" s="12">
        <f>C8+C9</f>
        <v>3457329.02</v>
      </c>
      <c r="D7" s="12">
        <f t="shared" ref="D7" si="2">D8+D9</f>
        <v>2608329.02</v>
      </c>
      <c r="E7" s="12">
        <f>E8+E9</f>
        <v>0</v>
      </c>
      <c r="F7" s="12">
        <f t="shared" ref="F7:H7" si="3">F8+F9</f>
        <v>61500</v>
      </c>
      <c r="G7" s="12">
        <f t="shared" si="3"/>
        <v>0</v>
      </c>
      <c r="H7" s="12">
        <f t="shared" si="3"/>
        <v>0</v>
      </c>
      <c r="I7" s="12">
        <f>I8+I9</f>
        <v>787500</v>
      </c>
      <c r="J7" s="13">
        <f>J8+J9</f>
        <v>61500</v>
      </c>
      <c r="K7" s="13">
        <f t="shared" ref="K7:L7" si="4">K8+K9</f>
        <v>61500</v>
      </c>
      <c r="L7" s="13">
        <f t="shared" si="4"/>
        <v>0</v>
      </c>
      <c r="M7" s="13">
        <f>M8+M9</f>
        <v>0</v>
      </c>
      <c r="N7" s="13">
        <f t="shared" ref="N7:U7" si="5">N8+N9</f>
        <v>61500</v>
      </c>
      <c r="O7" s="13">
        <f>O8+O9</f>
        <v>0</v>
      </c>
      <c r="P7" s="13">
        <f t="shared" si="5"/>
        <v>0</v>
      </c>
      <c r="Q7" s="13">
        <f>Q8+Q9</f>
        <v>61500</v>
      </c>
      <c r="R7" s="13">
        <f>R8+R9</f>
        <v>0</v>
      </c>
      <c r="S7" s="13">
        <f t="shared" si="5"/>
        <v>60000</v>
      </c>
      <c r="T7" s="13">
        <f t="shared" si="5"/>
        <v>61500</v>
      </c>
      <c r="U7" s="13">
        <f t="shared" si="5"/>
        <v>60000</v>
      </c>
    </row>
    <row r="8" spans="1:21" s="3" customFormat="1" x14ac:dyDescent="0.25">
      <c r="A8" s="18"/>
      <c r="B8" s="15" t="s">
        <v>21</v>
      </c>
      <c r="C8" s="16">
        <f>D8+E8+I8+F8+G8+H8</f>
        <v>2082230.02</v>
      </c>
      <c r="D8" s="16">
        <f>1907914.47+88896.61+69393.19+16025.75</f>
        <v>2082230.02</v>
      </c>
      <c r="E8" s="16"/>
      <c r="F8" s="16"/>
      <c r="G8" s="16"/>
      <c r="H8" s="16"/>
      <c r="I8" s="16">
        <f>SUM(J8:U8)</f>
        <v>0</v>
      </c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</row>
    <row r="9" spans="1:21" s="3" customFormat="1" x14ac:dyDescent="0.25">
      <c r="A9" s="18"/>
      <c r="B9" s="15" t="s">
        <v>22</v>
      </c>
      <c r="C9" s="16">
        <f>D9+E9+I9+F9+G9+H9</f>
        <v>1375099</v>
      </c>
      <c r="D9" s="16">
        <v>526099</v>
      </c>
      <c r="E9" s="16"/>
      <c r="F9" s="16">
        <v>61500</v>
      </c>
      <c r="G9" s="16"/>
      <c r="H9" s="16"/>
      <c r="I9" s="16">
        <f>SUM(J9:U9)+360000</f>
        <v>787500</v>
      </c>
      <c r="J9" s="17">
        <v>61500</v>
      </c>
      <c r="K9" s="17">
        <v>61500</v>
      </c>
      <c r="L9" s="17"/>
      <c r="M9" s="17"/>
      <c r="N9" s="17">
        <v>61500</v>
      </c>
      <c r="O9" s="17"/>
      <c r="P9" s="17"/>
      <c r="Q9" s="17">
        <v>61500</v>
      </c>
      <c r="R9" s="17"/>
      <c r="S9" s="17">
        <v>60000</v>
      </c>
      <c r="T9" s="17">
        <v>61500</v>
      </c>
      <c r="U9" s="17">
        <v>60000</v>
      </c>
    </row>
    <row r="10" spans="1:21" s="19" customFormat="1" ht="12.75" x14ac:dyDescent="0.25">
      <c r="A10" s="10" t="s">
        <v>23</v>
      </c>
      <c r="B10" s="11" t="s">
        <v>24</v>
      </c>
      <c r="C10" s="12">
        <f>SUM(C11:C17)</f>
        <v>14946000</v>
      </c>
      <c r="D10" s="12">
        <f t="shared" ref="D10:I10" si="6">SUM(D11:D17)</f>
        <v>0</v>
      </c>
      <c r="E10" s="12">
        <f t="shared" si="6"/>
        <v>0</v>
      </c>
      <c r="F10" s="12">
        <f t="shared" si="6"/>
        <v>9600000</v>
      </c>
      <c r="G10" s="12">
        <f t="shared" si="6"/>
        <v>0</v>
      </c>
      <c r="H10" s="12"/>
      <c r="I10" s="12">
        <f t="shared" si="6"/>
        <v>5346000</v>
      </c>
      <c r="J10" s="13">
        <f>SUM(J11:J17)</f>
        <v>0</v>
      </c>
      <c r="K10" s="13">
        <f>SUM(K11:K17)</f>
        <v>0</v>
      </c>
      <c r="L10" s="13">
        <f t="shared" ref="L10" si="7">SUM(L11:L17)</f>
        <v>0</v>
      </c>
      <c r="M10" s="13">
        <f>SUM(M11:M17)</f>
        <v>0</v>
      </c>
      <c r="N10" s="13">
        <f t="shared" ref="N10:U10" si="8">SUM(N11:N17)</f>
        <v>0</v>
      </c>
      <c r="O10" s="13">
        <f t="shared" si="8"/>
        <v>5346000</v>
      </c>
      <c r="P10" s="13">
        <f t="shared" si="8"/>
        <v>0</v>
      </c>
      <c r="Q10" s="13">
        <f>SUM(Q11:Q17)</f>
        <v>0</v>
      </c>
      <c r="R10" s="13">
        <f>SUM(R11:R17)</f>
        <v>0</v>
      </c>
      <c r="S10" s="13">
        <f t="shared" si="8"/>
        <v>0</v>
      </c>
      <c r="T10" s="13">
        <f t="shared" si="8"/>
        <v>0</v>
      </c>
      <c r="U10" s="13">
        <f t="shared" si="8"/>
        <v>0</v>
      </c>
    </row>
    <row r="11" spans="1:21" s="3" customFormat="1" x14ac:dyDescent="0.25">
      <c r="A11" s="18"/>
      <c r="B11" s="15" t="s">
        <v>25</v>
      </c>
      <c r="C11" s="16">
        <f t="shared" ref="C11:C20" si="9">D11+E11+I11+F11+G11+H11</f>
        <v>0</v>
      </c>
      <c r="D11" s="16"/>
      <c r="E11" s="16"/>
      <c r="F11" s="16"/>
      <c r="G11" s="16"/>
      <c r="H11" s="16"/>
      <c r="I11" s="16">
        <f t="shared" ref="I11:I17" si="10">SUM(J11:U11)</f>
        <v>0</v>
      </c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</row>
    <row r="12" spans="1:21" s="3" customFormat="1" x14ac:dyDescent="0.25">
      <c r="A12" s="18"/>
      <c r="B12" s="15" t="s">
        <v>26</v>
      </c>
      <c r="C12" s="16">
        <f t="shared" si="9"/>
        <v>0</v>
      </c>
      <c r="D12" s="16"/>
      <c r="E12" s="16"/>
      <c r="F12" s="16"/>
      <c r="G12" s="16"/>
      <c r="H12" s="16"/>
      <c r="I12" s="16">
        <f t="shared" si="10"/>
        <v>0</v>
      </c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</row>
    <row r="13" spans="1:21" s="3" customFormat="1" x14ac:dyDescent="0.25">
      <c r="A13" s="18"/>
      <c r="B13" s="15" t="s">
        <v>105</v>
      </c>
      <c r="C13" s="16">
        <f t="shared" si="9"/>
        <v>5346000</v>
      </c>
      <c r="D13" s="16"/>
      <c r="E13" s="16"/>
      <c r="F13" s="16"/>
      <c r="G13" s="16"/>
      <c r="H13" s="16"/>
      <c r="I13" s="16">
        <f t="shared" si="10"/>
        <v>5346000</v>
      </c>
      <c r="J13" s="17"/>
      <c r="K13" s="17"/>
      <c r="L13" s="17"/>
      <c r="M13" s="17"/>
      <c r="N13" s="17"/>
      <c r="O13" s="17">
        <v>5346000</v>
      </c>
      <c r="P13" s="17"/>
      <c r="Q13" s="17"/>
      <c r="R13" s="17"/>
      <c r="S13" s="17"/>
      <c r="T13" s="17"/>
      <c r="U13" s="17"/>
    </row>
    <row r="14" spans="1:21" s="3" customFormat="1" x14ac:dyDescent="0.25">
      <c r="A14" s="18"/>
      <c r="B14" s="15" t="s">
        <v>106</v>
      </c>
      <c r="C14" s="16">
        <f t="shared" si="9"/>
        <v>0</v>
      </c>
      <c r="D14" s="16"/>
      <c r="E14" s="16"/>
      <c r="F14" s="16"/>
      <c r="G14" s="16"/>
      <c r="H14" s="16"/>
      <c r="I14" s="16">
        <f t="shared" si="10"/>
        <v>0</v>
      </c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</row>
    <row r="15" spans="1:21" s="3" customFormat="1" x14ac:dyDescent="0.25">
      <c r="A15" s="18"/>
      <c r="B15" s="15" t="s">
        <v>29</v>
      </c>
      <c r="C15" s="16">
        <f t="shared" si="9"/>
        <v>9600000</v>
      </c>
      <c r="D15" s="16"/>
      <c r="E15" s="16"/>
      <c r="F15" s="16">
        <v>9600000</v>
      </c>
      <c r="G15" s="16"/>
      <c r="H15" s="16"/>
      <c r="I15" s="16">
        <f t="shared" si="10"/>
        <v>0</v>
      </c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</row>
    <row r="16" spans="1:21" s="3" customFormat="1" x14ac:dyDescent="0.25">
      <c r="A16" s="18"/>
      <c r="B16" s="15" t="s">
        <v>30</v>
      </c>
      <c r="C16" s="16">
        <f t="shared" si="9"/>
        <v>0</v>
      </c>
      <c r="D16" s="16"/>
      <c r="E16" s="16"/>
      <c r="F16" s="16"/>
      <c r="G16" s="16"/>
      <c r="H16" s="16"/>
      <c r="I16" s="16">
        <f t="shared" si="10"/>
        <v>0</v>
      </c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</row>
    <row r="17" spans="1:21" s="3" customFormat="1" x14ac:dyDescent="0.25">
      <c r="A17" s="18"/>
      <c r="B17" s="15" t="s">
        <v>31</v>
      </c>
      <c r="C17" s="16">
        <f t="shared" si="9"/>
        <v>0</v>
      </c>
      <c r="D17" s="16"/>
      <c r="E17" s="16"/>
      <c r="F17" s="16"/>
      <c r="G17" s="16"/>
      <c r="H17" s="16"/>
      <c r="I17" s="16">
        <f t="shared" si="10"/>
        <v>0</v>
      </c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</row>
    <row r="18" spans="1:21" s="3" customFormat="1" ht="12.75" x14ac:dyDescent="0.25">
      <c r="A18" s="10" t="s">
        <v>32</v>
      </c>
      <c r="B18" s="11" t="s">
        <v>33</v>
      </c>
      <c r="C18" s="12">
        <f t="shared" si="9"/>
        <v>6725750.2000000002</v>
      </c>
      <c r="D18" s="12"/>
      <c r="E18" s="12"/>
      <c r="F18" s="12">
        <v>5456330.2000000002</v>
      </c>
      <c r="G18" s="12"/>
      <c r="H18" s="12"/>
      <c r="I18" s="12">
        <f>SUM(J18:U18)</f>
        <v>1269420</v>
      </c>
      <c r="J18" s="13"/>
      <c r="K18" s="13">
        <v>744720</v>
      </c>
      <c r="L18" s="13"/>
      <c r="M18" s="13"/>
      <c r="N18" s="13">
        <v>524700</v>
      </c>
      <c r="O18" s="13"/>
      <c r="P18" s="13"/>
      <c r="Q18" s="13"/>
      <c r="R18" s="13"/>
      <c r="S18" s="13"/>
      <c r="T18" s="13"/>
      <c r="U18" s="13"/>
    </row>
    <row r="19" spans="1:21" s="3" customFormat="1" ht="12.75" x14ac:dyDescent="0.25">
      <c r="A19" s="10" t="s">
        <v>34</v>
      </c>
      <c r="B19" s="11" t="s">
        <v>35</v>
      </c>
      <c r="C19" s="12">
        <f t="shared" si="9"/>
        <v>30717.62</v>
      </c>
      <c r="D19" s="12"/>
      <c r="E19" s="12"/>
      <c r="F19" s="12"/>
      <c r="G19" s="12"/>
      <c r="H19" s="12"/>
      <c r="I19" s="12">
        <f>SUM(J19:U19)</f>
        <v>30717.62</v>
      </c>
      <c r="J19" s="13"/>
      <c r="K19" s="13"/>
      <c r="L19" s="13"/>
      <c r="M19" s="13"/>
      <c r="N19" s="13"/>
      <c r="O19" s="13"/>
      <c r="P19" s="13"/>
      <c r="Q19" s="13"/>
      <c r="R19" s="13"/>
      <c r="S19" s="13">
        <v>30717.62</v>
      </c>
      <c r="T19" s="13"/>
      <c r="U19" s="13"/>
    </row>
    <row r="20" spans="1:21" s="3" customFormat="1" ht="12.75" x14ac:dyDescent="0.25">
      <c r="A20" s="10" t="s">
        <v>36</v>
      </c>
      <c r="B20" s="11" t="s">
        <v>37</v>
      </c>
      <c r="C20" s="12">
        <f t="shared" si="9"/>
        <v>4598050.05</v>
      </c>
      <c r="D20" s="12"/>
      <c r="E20" s="12"/>
      <c r="F20" s="12">
        <v>1912925.08</v>
      </c>
      <c r="G20" s="12"/>
      <c r="H20" s="12"/>
      <c r="I20" s="12">
        <f>SUM(J20:U20)</f>
        <v>2685124.9699999997</v>
      </c>
      <c r="J20" s="13"/>
      <c r="K20" s="13">
        <v>633600</v>
      </c>
      <c r="L20" s="13"/>
      <c r="M20" s="13"/>
      <c r="N20" s="13"/>
      <c r="O20" s="13"/>
      <c r="P20" s="13"/>
      <c r="Q20" s="13"/>
      <c r="R20" s="13"/>
      <c r="S20" s="13">
        <v>135252.54999999999</v>
      </c>
      <c r="T20" s="13"/>
      <c r="U20" s="13">
        <v>1916272.42</v>
      </c>
    </row>
    <row r="21" spans="1:21" s="3" customFormat="1" ht="12.75" x14ac:dyDescent="0.25">
      <c r="A21" s="10" t="s">
        <v>38</v>
      </c>
      <c r="B21" s="11" t="s">
        <v>39</v>
      </c>
      <c r="C21" s="12">
        <f>SUM(C22:C25)</f>
        <v>8249372.1799999997</v>
      </c>
      <c r="D21" s="12">
        <f t="shared" ref="D21:H21" si="11">D25+D23+D22+D24</f>
        <v>0</v>
      </c>
      <c r="E21" s="12">
        <f t="shared" si="11"/>
        <v>0</v>
      </c>
      <c r="F21" s="12">
        <f t="shared" si="11"/>
        <v>236973.6</v>
      </c>
      <c r="G21" s="12">
        <f t="shared" si="11"/>
        <v>0</v>
      </c>
      <c r="H21" s="12">
        <f t="shared" si="11"/>
        <v>0</v>
      </c>
      <c r="I21" s="12">
        <f>I25+I23+I22+I24</f>
        <v>8012398.5800000001</v>
      </c>
      <c r="J21" s="13">
        <f>J25+J23+J22+J24</f>
        <v>0</v>
      </c>
      <c r="K21" s="13">
        <f t="shared" ref="K21:U21" si="12">K25+K23+K22+K24</f>
        <v>0</v>
      </c>
      <c r="L21" s="13">
        <f t="shared" si="12"/>
        <v>0</v>
      </c>
      <c r="M21" s="13">
        <f t="shared" si="12"/>
        <v>7000000</v>
      </c>
      <c r="N21" s="13">
        <f t="shared" si="12"/>
        <v>0</v>
      </c>
      <c r="O21" s="13">
        <f t="shared" si="12"/>
        <v>0</v>
      </c>
      <c r="P21" s="13">
        <f t="shared" si="12"/>
        <v>0</v>
      </c>
      <c r="Q21" s="13">
        <f t="shared" si="12"/>
        <v>0</v>
      </c>
      <c r="R21" s="13">
        <f t="shared" si="12"/>
        <v>1012398.58</v>
      </c>
      <c r="S21" s="13">
        <f t="shared" si="12"/>
        <v>0</v>
      </c>
      <c r="T21" s="13">
        <f t="shared" si="12"/>
        <v>0</v>
      </c>
      <c r="U21" s="13">
        <f t="shared" si="12"/>
        <v>0</v>
      </c>
    </row>
    <row r="22" spans="1:21" s="3" customFormat="1" ht="12.75" x14ac:dyDescent="0.25">
      <c r="A22" s="20"/>
      <c r="B22" s="15" t="s">
        <v>40</v>
      </c>
      <c r="C22" s="16">
        <f>D22+E22+I22+F22+G22+H22</f>
        <v>7000000</v>
      </c>
      <c r="D22" s="16"/>
      <c r="E22" s="16"/>
      <c r="F22" s="16"/>
      <c r="G22" s="16"/>
      <c r="H22" s="16"/>
      <c r="I22" s="16">
        <f t="shared" ref="I22:I25" si="13">SUM(J22:U22)</f>
        <v>7000000</v>
      </c>
      <c r="J22" s="17"/>
      <c r="K22" s="17"/>
      <c r="L22" s="17"/>
      <c r="M22" s="17">
        <v>7000000</v>
      </c>
      <c r="N22" s="17"/>
      <c r="O22" s="17"/>
      <c r="P22" s="17"/>
      <c r="Q22" s="17"/>
      <c r="R22" s="17"/>
      <c r="S22" s="17"/>
      <c r="T22" s="17"/>
      <c r="U22" s="17"/>
    </row>
    <row r="23" spans="1:21" s="3" customFormat="1" ht="12.75" x14ac:dyDescent="0.25">
      <c r="A23" s="20"/>
      <c r="B23" s="15" t="s">
        <v>41</v>
      </c>
      <c r="C23" s="16">
        <f>D23+E23+I23+F23+G23+H23</f>
        <v>236973.6</v>
      </c>
      <c r="D23" s="16"/>
      <c r="E23" s="16"/>
      <c r="F23" s="16">
        <v>236973.6</v>
      </c>
      <c r="G23" s="16"/>
      <c r="H23" s="16"/>
      <c r="I23" s="16">
        <f t="shared" si="13"/>
        <v>0</v>
      </c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</row>
    <row r="24" spans="1:21" s="3" customFormat="1" ht="12.75" x14ac:dyDescent="0.25">
      <c r="A24" s="20"/>
      <c r="B24" s="15" t="s">
        <v>42</v>
      </c>
      <c r="C24" s="16">
        <f>D24+E24+I24+F24+G24+H24</f>
        <v>1012398.58</v>
      </c>
      <c r="D24" s="16"/>
      <c r="E24" s="16"/>
      <c r="F24" s="16"/>
      <c r="G24" s="16"/>
      <c r="H24" s="16"/>
      <c r="I24" s="16">
        <f t="shared" si="13"/>
        <v>1012398.58</v>
      </c>
      <c r="J24" s="17"/>
      <c r="K24" s="17"/>
      <c r="L24" s="17"/>
      <c r="M24" s="17"/>
      <c r="N24" s="17"/>
      <c r="O24" s="17"/>
      <c r="P24" s="17"/>
      <c r="Q24" s="17"/>
      <c r="R24" s="17">
        <v>1012398.58</v>
      </c>
      <c r="S24" s="17"/>
      <c r="T24" s="17"/>
      <c r="U24" s="17"/>
    </row>
    <row r="25" spans="1:21" s="3" customFormat="1" ht="12.75" x14ac:dyDescent="0.25">
      <c r="A25" s="20"/>
      <c r="B25" s="15" t="s">
        <v>44</v>
      </c>
      <c r="C25" s="16">
        <f>D25+E25+I25+F25+G25+H25</f>
        <v>0</v>
      </c>
      <c r="D25" s="16"/>
      <c r="E25" s="16"/>
      <c r="F25" s="16"/>
      <c r="G25" s="16"/>
      <c r="H25" s="16"/>
      <c r="I25" s="16">
        <f t="shared" si="13"/>
        <v>0</v>
      </c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</row>
    <row r="26" spans="1:21" s="3" customFormat="1" ht="12.75" x14ac:dyDescent="0.25">
      <c r="A26" s="10" t="s">
        <v>45</v>
      </c>
      <c r="B26" s="11" t="s">
        <v>46</v>
      </c>
      <c r="C26" s="12">
        <f>D26+E26+I26+F26</f>
        <v>0</v>
      </c>
      <c r="D26" s="12"/>
      <c r="E26" s="12"/>
      <c r="F26" s="12"/>
      <c r="G26" s="12"/>
      <c r="H26" s="12"/>
      <c r="I26" s="12">
        <f t="shared" ref="I26:I27" si="14">SUM(J26:U26)</f>
        <v>0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</row>
    <row r="27" spans="1:21" s="3" customFormat="1" ht="12.75" x14ac:dyDescent="0.25">
      <c r="A27" s="10" t="s">
        <v>47</v>
      </c>
      <c r="B27" s="11" t="s">
        <v>48</v>
      </c>
      <c r="C27" s="12">
        <f>D27+E27+I27+F27</f>
        <v>9016425.9900000002</v>
      </c>
      <c r="D27" s="12"/>
      <c r="E27" s="12"/>
      <c r="F27" s="12">
        <v>4256957.26</v>
      </c>
      <c r="G27" s="12"/>
      <c r="H27" s="12"/>
      <c r="I27" s="12">
        <f t="shared" si="14"/>
        <v>4759468.7300000004</v>
      </c>
      <c r="J27" s="13"/>
      <c r="K27" s="13">
        <v>1903632.74</v>
      </c>
      <c r="L27" s="13">
        <v>501500</v>
      </c>
      <c r="M27" s="13"/>
      <c r="N27" s="13"/>
      <c r="O27" s="13"/>
      <c r="P27" s="13"/>
      <c r="Q27" s="13"/>
      <c r="R27" s="13"/>
      <c r="S27" s="13"/>
      <c r="T27" s="13"/>
      <c r="U27" s="13">
        <v>2354335.9900000002</v>
      </c>
    </row>
    <row r="28" spans="1:21" s="3" customFormat="1" ht="12.75" x14ac:dyDescent="0.25">
      <c r="A28" s="10" t="s">
        <v>49</v>
      </c>
      <c r="B28" s="11" t="s">
        <v>50</v>
      </c>
      <c r="C28" s="12">
        <f>C29+C30+C31+C32</f>
        <v>8484976.5200000014</v>
      </c>
      <c r="D28" s="12">
        <f>D29+D30+D31</f>
        <v>8484976.5200000014</v>
      </c>
      <c r="E28" s="12"/>
      <c r="F28" s="12"/>
      <c r="G28" s="12"/>
      <c r="H28" s="12"/>
      <c r="I28" s="12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</row>
    <row r="29" spans="1:21" s="3" customFormat="1" x14ac:dyDescent="0.25">
      <c r="A29" s="18"/>
      <c r="B29" s="15" t="s">
        <v>51</v>
      </c>
      <c r="C29" s="16">
        <f>D29</f>
        <v>8452043.6400000006</v>
      </c>
      <c r="D29" s="16">
        <v>8452043.6400000006</v>
      </c>
      <c r="E29" s="16"/>
      <c r="F29" s="16"/>
      <c r="G29" s="16"/>
      <c r="H29" s="16"/>
      <c r="I29" s="16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</row>
    <row r="30" spans="1:21" s="3" customFormat="1" x14ac:dyDescent="0.25">
      <c r="A30" s="18"/>
      <c r="B30" s="15" t="s">
        <v>52</v>
      </c>
      <c r="C30" s="16">
        <f t="shared" ref="C30:C32" si="15">D30</f>
        <v>32932.879999999997</v>
      </c>
      <c r="D30" s="16">
        <v>32932.879999999997</v>
      </c>
      <c r="E30" s="16"/>
      <c r="F30" s="16"/>
      <c r="G30" s="16"/>
      <c r="H30" s="16"/>
      <c r="I30" s="16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</row>
    <row r="31" spans="1:21" s="3" customFormat="1" x14ac:dyDescent="0.25">
      <c r="A31" s="18"/>
      <c r="B31" s="15" t="s">
        <v>53</v>
      </c>
      <c r="C31" s="16">
        <f t="shared" si="15"/>
        <v>0</v>
      </c>
      <c r="D31" s="16"/>
      <c r="E31" s="16"/>
      <c r="F31" s="16"/>
      <c r="G31" s="16"/>
      <c r="H31" s="16"/>
      <c r="I31" s="16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</row>
    <row r="32" spans="1:21" s="3" customFormat="1" x14ac:dyDescent="0.25">
      <c r="A32" s="18"/>
      <c r="B32" s="15" t="s">
        <v>54</v>
      </c>
      <c r="C32" s="16">
        <f t="shared" si="15"/>
        <v>0</v>
      </c>
      <c r="D32" s="16"/>
      <c r="E32" s="16"/>
      <c r="F32" s="16"/>
      <c r="G32" s="16"/>
      <c r="H32" s="16"/>
      <c r="I32" s="16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</row>
    <row r="33" spans="1:21" s="3" customFormat="1" ht="38.25" x14ac:dyDescent="0.25">
      <c r="A33" s="10" t="s">
        <v>55</v>
      </c>
      <c r="B33" s="23" t="s">
        <v>56</v>
      </c>
      <c r="C33" s="12">
        <f>D33+E33+I33+F33+G33+H33</f>
        <v>4308426.5542280003</v>
      </c>
      <c r="D33" s="12">
        <f>925156.74+[4]поступление!F51-3079.23</f>
        <v>1223188.4028139999</v>
      </c>
      <c r="E33" s="12">
        <v>110892.28</v>
      </c>
      <c r="F33" s="12">
        <f>1811449.19+[4]поступление!F52+83700</f>
        <v>2421101.9114140002</v>
      </c>
      <c r="G33" s="12"/>
      <c r="H33" s="12"/>
      <c r="I33" s="12">
        <f>SUM(J33:U33)</f>
        <v>553243.96</v>
      </c>
      <c r="J33" s="13">
        <v>3580.68</v>
      </c>
      <c r="K33" s="13">
        <v>116926.46</v>
      </c>
      <c r="L33" s="13">
        <v>67498.58</v>
      </c>
      <c r="M33" s="13">
        <v>47703.12</v>
      </c>
      <c r="N33" s="13">
        <v>197900.89</v>
      </c>
      <c r="O33" s="13"/>
      <c r="P33" s="13">
        <v>172.8</v>
      </c>
      <c r="Q33" s="13"/>
      <c r="R33" s="13">
        <v>21916.46</v>
      </c>
      <c r="S33" s="13">
        <v>17332.18</v>
      </c>
      <c r="T33" s="13">
        <v>29420.080000000002</v>
      </c>
      <c r="U33" s="13">
        <v>50792.71</v>
      </c>
    </row>
    <row r="34" spans="1:21" s="3" customFormat="1" ht="25.5" x14ac:dyDescent="0.25">
      <c r="A34" s="10" t="s">
        <v>57</v>
      </c>
      <c r="B34" s="23" t="s">
        <v>58</v>
      </c>
      <c r="C34" s="12">
        <f>D34+E34+I34+F34+G34+H34</f>
        <v>3662739.0599999996</v>
      </c>
      <c r="D34" s="12">
        <f>2638073.28-700000</f>
        <v>1938073.2799999998</v>
      </c>
      <c r="E34" s="12">
        <v>210082.8</v>
      </c>
      <c r="F34" s="12">
        <v>1260448.74</v>
      </c>
      <c r="G34" s="12"/>
      <c r="H34" s="12"/>
      <c r="I34" s="12">
        <f t="shared" ref="I34:I36" si="16">SUM(J34:U34)</f>
        <v>254134.24</v>
      </c>
      <c r="J34" s="13">
        <v>164143.56</v>
      </c>
      <c r="K34" s="13"/>
      <c r="L34" s="13">
        <v>29540.32</v>
      </c>
      <c r="M34" s="13">
        <v>17670</v>
      </c>
      <c r="N34" s="13"/>
      <c r="O34" s="13"/>
      <c r="P34" s="13">
        <v>5609.52</v>
      </c>
      <c r="Q34" s="13"/>
      <c r="R34" s="13"/>
      <c r="S34" s="13"/>
      <c r="T34" s="13"/>
      <c r="U34" s="13">
        <v>37170.839999999997</v>
      </c>
    </row>
    <row r="35" spans="1:21" s="3" customFormat="1" ht="38.25" x14ac:dyDescent="0.25">
      <c r="A35" s="10" t="s">
        <v>59</v>
      </c>
      <c r="B35" s="23" t="s">
        <v>60</v>
      </c>
      <c r="C35" s="12">
        <f>D35+E35+I35+F35+G35+H35</f>
        <v>135671.66999999998</v>
      </c>
      <c r="D35" s="12">
        <v>82033.759999999995</v>
      </c>
      <c r="E35" s="12"/>
      <c r="F35" s="12">
        <v>6720</v>
      </c>
      <c r="G35" s="12"/>
      <c r="H35" s="12"/>
      <c r="I35" s="12">
        <f t="shared" si="16"/>
        <v>46917.91</v>
      </c>
      <c r="J35" s="13"/>
      <c r="K35" s="13">
        <v>21810</v>
      </c>
      <c r="L35" s="13"/>
      <c r="M35" s="13">
        <v>25107.91</v>
      </c>
      <c r="N35" s="13"/>
      <c r="O35" s="13"/>
      <c r="P35" s="13"/>
      <c r="Q35" s="13"/>
      <c r="R35" s="13"/>
      <c r="S35" s="13"/>
      <c r="T35" s="13"/>
      <c r="U35" s="13"/>
    </row>
    <row r="36" spans="1:21" s="3" customFormat="1" ht="12.75" x14ac:dyDescent="0.25">
      <c r="A36" s="10" t="s">
        <v>61</v>
      </c>
      <c r="B36" s="23" t="s">
        <v>62</v>
      </c>
      <c r="C36" s="12">
        <f>D36+E36+I36+F36+G36+H36</f>
        <v>109000</v>
      </c>
      <c r="D36" s="12">
        <v>3200</v>
      </c>
      <c r="E36" s="12"/>
      <c r="F36" s="12"/>
      <c r="G36" s="12"/>
      <c r="H36" s="12"/>
      <c r="I36" s="12">
        <f t="shared" si="16"/>
        <v>105800</v>
      </c>
      <c r="J36" s="13"/>
      <c r="K36" s="13"/>
      <c r="L36" s="13"/>
      <c r="M36" s="13"/>
      <c r="N36" s="13">
        <v>5800</v>
      </c>
      <c r="O36" s="13"/>
      <c r="P36" s="13">
        <v>100000</v>
      </c>
      <c r="Q36" s="13"/>
      <c r="R36" s="13"/>
      <c r="S36" s="13"/>
      <c r="T36" s="13"/>
      <c r="U36" s="13"/>
    </row>
    <row r="37" spans="1:21" s="28" customFormat="1" ht="18.75" x14ac:dyDescent="0.25">
      <c r="A37" s="24"/>
      <c r="B37" s="25" t="s">
        <v>63</v>
      </c>
      <c r="C37" s="26">
        <f>C4+C7+C10+C18+C19+C20+C21+C26+C27+C28+C33+C34+C35+C36</f>
        <v>84953747.554227993</v>
      </c>
      <c r="D37" s="26">
        <f t="shared" ref="D37:H37" si="17">D4+D7+D10+D18+D19+D20+D21+D26+D27+D28+D33+D34+D35+D36</f>
        <v>25152023.582814004</v>
      </c>
      <c r="E37" s="26">
        <f t="shared" si="17"/>
        <v>320975.07999999996</v>
      </c>
      <c r="F37" s="26">
        <f t="shared" si="17"/>
        <v>26432311.461414002</v>
      </c>
      <c r="G37" s="26">
        <f t="shared" si="17"/>
        <v>0</v>
      </c>
      <c r="H37" s="26">
        <f t="shared" si="17"/>
        <v>0</v>
      </c>
      <c r="I37" s="26">
        <f>I4+I7+I10+I18+I19+I20+I21+I26+I27+I28+I33+I34+I35+I36</f>
        <v>33048437.429999996</v>
      </c>
      <c r="J37" s="27">
        <f t="shared" ref="J37:U37" si="18">J4+J7+J10+J18+J19+J20+J21+J26+J27+J28+J33+J34+J35+J36</f>
        <v>829128.67999999993</v>
      </c>
      <c r="K37" s="27">
        <f t="shared" si="18"/>
        <v>3812011.0700000003</v>
      </c>
      <c r="L37" s="27">
        <f t="shared" si="18"/>
        <v>1541130.1900000002</v>
      </c>
      <c r="M37" s="27">
        <f>M4+M7+M10+M18+M19+M20+M21+M26+M27+M28+M33+M34+M35+M36</f>
        <v>8586156.6199999992</v>
      </c>
      <c r="N37" s="27">
        <f t="shared" si="18"/>
        <v>2077234.3399999999</v>
      </c>
      <c r="O37" s="27">
        <f t="shared" si="18"/>
        <v>5346000</v>
      </c>
      <c r="P37" s="27">
        <f t="shared" si="18"/>
        <v>143272.32000000001</v>
      </c>
      <c r="Q37" s="27">
        <f t="shared" si="18"/>
        <v>1206888.5900000001</v>
      </c>
      <c r="R37" s="27">
        <f t="shared" si="18"/>
        <v>1081155.04</v>
      </c>
      <c r="S37" s="27">
        <f t="shared" si="18"/>
        <v>590005.63</v>
      </c>
      <c r="T37" s="27">
        <f t="shared" si="18"/>
        <v>1119793.58</v>
      </c>
      <c r="U37" s="27">
        <f t="shared" si="18"/>
        <v>6355661.3700000001</v>
      </c>
    </row>
    <row r="38" spans="1:21" s="28" customFormat="1" ht="18.75" x14ac:dyDescent="0.25">
      <c r="A38" s="29"/>
      <c r="B38" s="30" t="s">
        <v>64</v>
      </c>
      <c r="C38" s="26">
        <f>3419531.96+[4]поступление!F50+700000</f>
        <v>4215833.0254999995</v>
      </c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</row>
    <row r="39" spans="1:21" s="28" customFormat="1" ht="18.75" x14ac:dyDescent="0.25">
      <c r="A39" s="29"/>
      <c r="B39" s="30" t="s">
        <v>65</v>
      </c>
      <c r="C39" s="26">
        <v>1551714.39</v>
      </c>
      <c r="D39" s="31"/>
      <c r="E39" s="31"/>
      <c r="F39" s="31"/>
    </row>
    <row r="40" spans="1:21" s="28" customFormat="1" ht="18.75" x14ac:dyDescent="0.25">
      <c r="A40" s="29"/>
      <c r="B40" s="30" t="s">
        <v>67</v>
      </c>
      <c r="C40" s="26"/>
      <c r="D40" s="31"/>
      <c r="E40" s="31"/>
      <c r="F40" s="31"/>
    </row>
    <row r="41" spans="1:21" s="28" customFormat="1" ht="18.75" x14ac:dyDescent="0.25">
      <c r="A41" s="29"/>
      <c r="B41" s="30" t="s">
        <v>69</v>
      </c>
      <c r="C41" s="26">
        <v>152217.67000000001</v>
      </c>
      <c r="D41" s="31"/>
      <c r="E41" s="31"/>
      <c r="F41" s="31"/>
    </row>
    <row r="42" spans="1:21" s="28" customFormat="1" ht="18.75" x14ac:dyDescent="0.2">
      <c r="A42" s="29"/>
      <c r="B42" s="30" t="s">
        <v>70</v>
      </c>
      <c r="C42" s="51">
        <v>6916584.2599999998</v>
      </c>
      <c r="D42" s="31"/>
      <c r="E42" s="31"/>
      <c r="F42" s="31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3" spans="1:21" s="28" customFormat="1" ht="18.75" x14ac:dyDescent="0.2">
      <c r="A43" s="29"/>
      <c r="B43" s="30"/>
      <c r="C43" s="26"/>
      <c r="D43" s="31"/>
      <c r="E43" s="31"/>
      <c r="F43" s="31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</row>
    <row r="44" spans="1:21" ht="18.75" x14ac:dyDescent="0.2">
      <c r="A44" s="32"/>
      <c r="C44" s="26"/>
      <c r="I44" s="9"/>
    </row>
    <row r="45" spans="1:21" ht="18.75" x14ac:dyDescent="0.2">
      <c r="A45" s="32"/>
      <c r="C45" s="26"/>
      <c r="D45" s="33"/>
      <c r="I45" s="9"/>
    </row>
    <row r="46" spans="1:21" ht="20.25" x14ac:dyDescent="0.3">
      <c r="A46" s="32"/>
      <c r="B46" s="35"/>
      <c r="C46" s="52">
        <f>SUM(C37:C45)</f>
        <v>97790096.899728</v>
      </c>
      <c r="D46" s="33"/>
    </row>
    <row r="47" spans="1:21" x14ac:dyDescent="0.2">
      <c r="C47" s="38"/>
    </row>
    <row r="48" spans="1:21" x14ac:dyDescent="0.2">
      <c r="C48" s="38"/>
    </row>
  </sheetData>
  <pageMargins left="0.70866141732283472" right="0.70866141732283472" top="0.74803149606299213" bottom="0.74803149606299213" header="0.31496062992125984" footer="0.31496062992125984"/>
  <pageSetup paperSize="9" scale="69" orientation="landscape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1444A-8AA2-4C03-BA3C-1EEF0574C60E}">
  <sheetPr codeName="Лист13">
    <pageSetUpPr fitToPage="1"/>
  </sheetPr>
  <dimension ref="A1:AD45"/>
  <sheetViews>
    <sheetView view="pageBreakPreview" zoomScale="90" zoomScaleNormal="100" zoomScaleSheetLayoutView="90" workbookViewId="0">
      <selection activeCell="J39" sqref="J39"/>
    </sheetView>
  </sheetViews>
  <sheetFormatPr defaultColWidth="14.140625" defaultRowHeight="11.25" outlineLevelCol="1" x14ac:dyDescent="0.2"/>
  <cols>
    <col min="1" max="1" width="6.140625" style="9" customWidth="1"/>
    <col min="2" max="2" width="40.140625" style="58" customWidth="1"/>
    <col min="3" max="3" width="21.28515625" style="37" hidden="1" customWidth="1"/>
    <col min="4" max="9" width="21.140625" style="9" hidden="1" customWidth="1"/>
    <col min="10" max="10" width="15.42578125" style="34" customWidth="1"/>
    <col min="11" max="11" width="13.140625" style="34" customWidth="1"/>
    <col min="12" max="12" width="15.85546875" style="34" customWidth="1"/>
    <col min="13" max="13" width="14.140625" style="34"/>
    <col min="14" max="14" width="14" style="34" customWidth="1"/>
    <col min="15" max="15" width="15.140625" style="34" customWidth="1"/>
    <col min="16" max="21" width="16.42578125" style="34" hidden="1" customWidth="1" outlineLevel="1"/>
    <col min="22" max="22" width="14.140625" style="9" collapsed="1"/>
    <col min="23" max="16384" width="14.140625" style="9"/>
  </cols>
  <sheetData>
    <row r="1" spans="1:21" s="3" customFormat="1" ht="30" customHeight="1" x14ac:dyDescent="0.25">
      <c r="A1" s="105"/>
      <c r="B1" s="102" t="s">
        <v>12</v>
      </c>
      <c r="C1" s="100" t="s">
        <v>79</v>
      </c>
      <c r="D1" s="100" t="s">
        <v>78</v>
      </c>
      <c r="E1" s="100" t="s">
        <v>73</v>
      </c>
      <c r="F1" s="100" t="s">
        <v>75</v>
      </c>
      <c r="G1" s="100" t="s">
        <v>76</v>
      </c>
      <c r="H1" s="100" t="s">
        <v>77</v>
      </c>
      <c r="I1" s="100" t="s">
        <v>74</v>
      </c>
      <c r="J1" s="40" t="s">
        <v>71</v>
      </c>
      <c r="K1" s="45" t="s">
        <v>1</v>
      </c>
      <c r="L1" s="45" t="s">
        <v>2</v>
      </c>
      <c r="M1" s="42" t="s">
        <v>3</v>
      </c>
      <c r="N1" s="42" t="s">
        <v>4</v>
      </c>
      <c r="O1" s="44" t="s">
        <v>5</v>
      </c>
      <c r="P1" s="2"/>
      <c r="Q1" s="2" t="s">
        <v>7</v>
      </c>
      <c r="R1" s="2" t="s">
        <v>8</v>
      </c>
      <c r="S1" s="2" t="s">
        <v>9</v>
      </c>
      <c r="T1" s="2" t="s">
        <v>10</v>
      </c>
      <c r="U1" s="2" t="s">
        <v>11</v>
      </c>
    </row>
    <row r="2" spans="1:21" x14ac:dyDescent="0.2">
      <c r="A2" s="106"/>
      <c r="B2" s="104"/>
      <c r="C2" s="101"/>
      <c r="D2" s="101"/>
      <c r="E2" s="101"/>
      <c r="F2" s="101"/>
      <c r="G2" s="101"/>
      <c r="H2" s="101"/>
      <c r="I2" s="101"/>
      <c r="J2" s="7"/>
      <c r="K2" s="7"/>
      <c r="L2" s="7"/>
      <c r="M2" s="7"/>
      <c r="N2" s="7"/>
      <c r="O2" s="6"/>
      <c r="P2" s="8"/>
      <c r="Q2" s="8"/>
      <c r="R2" s="8"/>
      <c r="S2" s="8"/>
      <c r="T2" s="8"/>
      <c r="U2" s="8"/>
    </row>
    <row r="3" spans="1:21" x14ac:dyDescent="0.2">
      <c r="A3" s="107"/>
      <c r="B3" s="53"/>
      <c r="C3" s="5"/>
      <c r="D3" s="46"/>
      <c r="E3" s="46"/>
      <c r="F3" s="46"/>
      <c r="G3" s="46"/>
      <c r="H3" s="46"/>
      <c r="I3" s="46"/>
      <c r="J3" s="46" t="s">
        <v>72</v>
      </c>
      <c r="K3" s="46" t="s">
        <v>72</v>
      </c>
      <c r="L3" s="46" t="s">
        <v>72</v>
      </c>
      <c r="M3" s="46" t="s">
        <v>72</v>
      </c>
      <c r="N3" s="46" t="s">
        <v>72</v>
      </c>
      <c r="O3" s="46" t="s">
        <v>72</v>
      </c>
      <c r="P3" s="6" t="s">
        <v>14</v>
      </c>
      <c r="Q3" s="6" t="s">
        <v>14</v>
      </c>
      <c r="R3" s="6" t="s">
        <v>14</v>
      </c>
      <c r="S3" s="6" t="s">
        <v>14</v>
      </c>
      <c r="T3" s="6" t="s">
        <v>14</v>
      </c>
      <c r="U3" s="6" t="s">
        <v>14</v>
      </c>
    </row>
    <row r="4" spans="1:21" s="3" customFormat="1" ht="12.75" x14ac:dyDescent="0.25">
      <c r="A4" s="10" t="s">
        <v>15</v>
      </c>
      <c r="B4" s="23" t="s">
        <v>16</v>
      </c>
      <c r="C4" s="11"/>
      <c r="D4" s="12">
        <f>E4+F4+G4+H4+I4</f>
        <v>117607597.83</v>
      </c>
      <c r="E4" s="12">
        <v>21229289</v>
      </c>
      <c r="F4" s="12">
        <v>23262401</v>
      </c>
      <c r="G4" s="12">
        <v>22900370</v>
      </c>
      <c r="H4" s="12">
        <v>25412073.890000001</v>
      </c>
      <c r="I4" s="12">
        <v>24803463.940000001</v>
      </c>
      <c r="J4" s="12">
        <v>24803463.940000001</v>
      </c>
      <c r="K4" s="12">
        <v>0</v>
      </c>
      <c r="L4" s="12">
        <v>0</v>
      </c>
      <c r="M4" s="12"/>
      <c r="N4" s="12">
        <v>0</v>
      </c>
      <c r="O4" s="12"/>
      <c r="P4" s="13" t="e">
        <f>#REF!+#REF!</f>
        <v>#REF!</v>
      </c>
      <c r="Q4" s="13" t="e">
        <f>#REF!+#REF!</f>
        <v>#REF!</v>
      </c>
      <c r="R4" s="13" t="e">
        <f>#REF!+#REF!</f>
        <v>#REF!</v>
      </c>
      <c r="S4" s="13" t="e">
        <f>#REF!+#REF!</f>
        <v>#REF!</v>
      </c>
      <c r="T4" s="13"/>
      <c r="U4" s="13" t="e">
        <f>#REF!+#REF!</f>
        <v>#REF!</v>
      </c>
    </row>
    <row r="5" spans="1:21" s="3" customFormat="1" ht="12.75" x14ac:dyDescent="0.25">
      <c r="A5" s="10" t="s">
        <v>19</v>
      </c>
      <c r="B5" s="23" t="s">
        <v>20</v>
      </c>
      <c r="C5" s="11"/>
      <c r="D5" s="12">
        <f t="shared" ref="D5:D43" si="0">E5+F5+G5+H5+I5</f>
        <v>18524750.780000001</v>
      </c>
      <c r="E5" s="12">
        <v>3457329</v>
      </c>
      <c r="F5" s="12">
        <v>3511645</v>
      </c>
      <c r="G5" s="12">
        <v>3299450</v>
      </c>
      <c r="H5" s="12">
        <v>4109841.62</v>
      </c>
      <c r="I5" s="12">
        <v>4146485.1599999997</v>
      </c>
      <c r="J5" s="12">
        <v>4146485.1599999997</v>
      </c>
      <c r="K5" s="12">
        <v>0</v>
      </c>
      <c r="L5" s="12">
        <v>0</v>
      </c>
      <c r="M5" s="12"/>
      <c r="N5" s="12">
        <v>0</v>
      </c>
      <c r="O5" s="12"/>
      <c r="P5" s="13">
        <f t="shared" ref="P5:T5" si="1">P6+P7</f>
        <v>0</v>
      </c>
      <c r="Q5" s="13">
        <f t="shared" si="1"/>
        <v>0</v>
      </c>
      <c r="R5" s="13">
        <f t="shared" si="1"/>
        <v>0</v>
      </c>
      <c r="S5" s="13">
        <f t="shared" si="1"/>
        <v>0</v>
      </c>
      <c r="T5" s="13">
        <f t="shared" si="1"/>
        <v>0</v>
      </c>
      <c r="U5" s="13">
        <f>U6+U7</f>
        <v>0</v>
      </c>
    </row>
    <row r="6" spans="1:21" s="3" customFormat="1" hidden="1" x14ac:dyDescent="0.25">
      <c r="A6" s="18"/>
      <c r="B6" s="54" t="s">
        <v>21</v>
      </c>
      <c r="C6" s="15"/>
      <c r="D6" s="16">
        <f t="shared" si="0"/>
        <v>11978594.780000001</v>
      </c>
      <c r="E6" s="16">
        <v>2082230</v>
      </c>
      <c r="F6" s="16">
        <v>2188758</v>
      </c>
      <c r="G6" s="16">
        <v>2016115</v>
      </c>
      <c r="H6" s="16">
        <v>2826506.62</v>
      </c>
      <c r="I6" s="16">
        <v>2864985.1599999997</v>
      </c>
      <c r="J6" s="16">
        <v>2864985.1599999997</v>
      </c>
      <c r="K6" s="16"/>
      <c r="L6" s="16"/>
      <c r="M6" s="16"/>
      <c r="N6" s="16"/>
      <c r="O6" s="16"/>
      <c r="P6" s="17"/>
      <c r="Q6" s="17"/>
      <c r="R6" s="17"/>
      <c r="S6" s="17"/>
      <c r="T6" s="17"/>
      <c r="U6" s="17"/>
    </row>
    <row r="7" spans="1:21" s="3" customFormat="1" hidden="1" x14ac:dyDescent="0.25">
      <c r="A7" s="18"/>
      <c r="B7" s="54" t="s">
        <v>22</v>
      </c>
      <c r="C7" s="15"/>
      <c r="D7" s="16">
        <f t="shared" si="0"/>
        <v>6546156</v>
      </c>
      <c r="E7" s="16">
        <v>1375099</v>
      </c>
      <c r="F7" s="16">
        <v>1322887</v>
      </c>
      <c r="G7" s="16">
        <v>1283335</v>
      </c>
      <c r="H7" s="16">
        <v>1283335</v>
      </c>
      <c r="I7" s="16">
        <v>1281500</v>
      </c>
      <c r="J7" s="16">
        <v>1281500</v>
      </c>
      <c r="K7" s="16"/>
      <c r="L7" s="16"/>
      <c r="M7" s="16"/>
      <c r="N7" s="16"/>
      <c r="O7" s="16"/>
      <c r="P7" s="17"/>
      <c r="Q7" s="17"/>
      <c r="R7" s="17"/>
      <c r="S7" s="17"/>
      <c r="T7" s="17"/>
      <c r="U7" s="17"/>
    </row>
    <row r="8" spans="1:21" s="19" customFormat="1" ht="12.75" x14ac:dyDescent="0.25">
      <c r="A8" s="10" t="s">
        <v>23</v>
      </c>
      <c r="B8" s="23" t="s">
        <v>24</v>
      </c>
      <c r="C8" s="11"/>
      <c r="D8" s="12">
        <f t="shared" si="0"/>
        <v>91893657.202999994</v>
      </c>
      <c r="E8" s="12">
        <v>14946000</v>
      </c>
      <c r="F8" s="12">
        <v>6188245</v>
      </c>
      <c r="G8" s="12">
        <v>25255067</v>
      </c>
      <c r="H8" s="12">
        <v>1269000</v>
      </c>
      <c r="I8" s="12">
        <v>44235345.202999994</v>
      </c>
      <c r="J8" s="12">
        <v>0</v>
      </c>
      <c r="K8" s="12">
        <v>0</v>
      </c>
      <c r="L8" s="12">
        <v>44235345.202999994</v>
      </c>
      <c r="M8" s="12">
        <v>0</v>
      </c>
      <c r="N8" s="12">
        <v>0</v>
      </c>
      <c r="O8" s="12"/>
      <c r="P8" s="13">
        <f>SUM(P9:P15)</f>
        <v>0</v>
      </c>
      <c r="Q8" s="13">
        <f>SUM(Q9:Q15)</f>
        <v>0</v>
      </c>
      <c r="R8" s="13">
        <f>SUM(R9:R15)</f>
        <v>0</v>
      </c>
      <c r="S8" s="13">
        <f>SUM(S9:S15)</f>
        <v>0</v>
      </c>
      <c r="T8" s="13"/>
      <c r="U8" s="13">
        <f>SUM(U9:U15)</f>
        <v>0</v>
      </c>
    </row>
    <row r="9" spans="1:21" s="3" customFormat="1" hidden="1" x14ac:dyDescent="0.25">
      <c r="A9" s="18"/>
      <c r="B9" s="54" t="s">
        <v>119</v>
      </c>
      <c r="C9" s="15"/>
      <c r="D9" s="16">
        <f t="shared" si="0"/>
        <v>5346000</v>
      </c>
      <c r="E9" s="16">
        <v>5346000</v>
      </c>
      <c r="F9" s="16"/>
      <c r="G9" s="16"/>
      <c r="H9" s="16">
        <v>0</v>
      </c>
      <c r="I9" s="16">
        <v>0</v>
      </c>
      <c r="J9" s="16"/>
      <c r="K9" s="16"/>
      <c r="L9" s="16"/>
      <c r="M9" s="16"/>
      <c r="N9" s="16"/>
      <c r="O9" s="16"/>
      <c r="P9" s="17"/>
      <c r="Q9" s="17"/>
      <c r="R9" s="17"/>
      <c r="S9" s="17"/>
      <c r="T9" s="17"/>
      <c r="U9" s="17"/>
    </row>
    <row r="10" spans="1:21" s="3" customFormat="1" hidden="1" x14ac:dyDescent="0.25">
      <c r="A10" s="18"/>
      <c r="B10" s="54" t="s">
        <v>26</v>
      </c>
      <c r="C10" s="15"/>
      <c r="D10" s="16">
        <f t="shared" si="0"/>
        <v>24738319.302999999</v>
      </c>
      <c r="E10" s="16"/>
      <c r="F10" s="16"/>
      <c r="G10" s="16"/>
      <c r="H10" s="16">
        <v>0</v>
      </c>
      <c r="I10" s="16">
        <v>24738319.302999999</v>
      </c>
      <c r="J10" s="16"/>
      <c r="K10" s="16"/>
      <c r="L10" s="16">
        <v>24738319.302999999</v>
      </c>
      <c r="M10" s="16"/>
      <c r="N10" s="16"/>
      <c r="O10" s="16"/>
      <c r="P10" s="17"/>
      <c r="Q10" s="17"/>
      <c r="R10" s="17"/>
      <c r="S10" s="17"/>
      <c r="T10" s="17"/>
      <c r="U10" s="17"/>
    </row>
    <row r="11" spans="1:21" s="3" customFormat="1" hidden="1" x14ac:dyDescent="0.25">
      <c r="A11" s="18"/>
      <c r="B11" s="54" t="s">
        <v>27</v>
      </c>
      <c r="C11" s="15"/>
      <c r="D11" s="16">
        <f t="shared" si="0"/>
        <v>0</v>
      </c>
      <c r="E11" s="16"/>
      <c r="F11" s="16"/>
      <c r="G11" s="16"/>
      <c r="H11" s="16">
        <v>0</v>
      </c>
      <c r="I11" s="16">
        <v>0</v>
      </c>
      <c r="J11" s="16"/>
      <c r="K11" s="16"/>
      <c r="L11" s="16"/>
      <c r="M11" s="16"/>
      <c r="N11" s="16"/>
      <c r="O11" s="16"/>
      <c r="P11" s="17"/>
      <c r="Q11" s="17"/>
      <c r="R11" s="17"/>
      <c r="S11" s="17"/>
      <c r="T11" s="17"/>
      <c r="U11" s="17"/>
    </row>
    <row r="12" spans="1:21" s="3" customFormat="1" hidden="1" x14ac:dyDescent="0.25">
      <c r="A12" s="18"/>
      <c r="B12" s="54" t="s">
        <v>28</v>
      </c>
      <c r="C12" s="15"/>
      <c r="D12" s="16">
        <f t="shared" si="0"/>
        <v>2513107</v>
      </c>
      <c r="E12" s="16"/>
      <c r="F12" s="16"/>
      <c r="G12" s="16">
        <v>2513107</v>
      </c>
      <c r="H12" s="16">
        <v>0</v>
      </c>
      <c r="I12" s="16">
        <v>0</v>
      </c>
      <c r="J12" s="16"/>
      <c r="K12" s="16"/>
      <c r="L12" s="16"/>
      <c r="M12" s="16"/>
      <c r="N12" s="16"/>
      <c r="O12" s="16"/>
      <c r="P12" s="17"/>
      <c r="Q12" s="17"/>
      <c r="R12" s="17"/>
      <c r="S12" s="17"/>
      <c r="T12" s="17"/>
      <c r="U12" s="17"/>
    </row>
    <row r="13" spans="1:21" s="3" customFormat="1" hidden="1" x14ac:dyDescent="0.25">
      <c r="A13" s="18"/>
      <c r="B13" s="54" t="s">
        <v>29</v>
      </c>
      <c r="C13" s="15"/>
      <c r="D13" s="16">
        <f t="shared" si="0"/>
        <v>51417005.899999999</v>
      </c>
      <c r="E13" s="16">
        <v>9600000</v>
      </c>
      <c r="F13" s="16"/>
      <c r="G13" s="16">
        <v>22319980</v>
      </c>
      <c r="H13" s="16">
        <v>0</v>
      </c>
      <c r="I13" s="16">
        <v>19497025.899999999</v>
      </c>
      <c r="J13" s="16"/>
      <c r="K13" s="16"/>
      <c r="L13" s="16">
        <v>19497025.899999999</v>
      </c>
      <c r="M13" s="16"/>
      <c r="N13" s="16"/>
      <c r="O13" s="16"/>
      <c r="P13" s="17"/>
      <c r="Q13" s="17"/>
      <c r="R13" s="17"/>
      <c r="S13" s="17"/>
      <c r="T13" s="17"/>
      <c r="U13" s="17"/>
    </row>
    <row r="14" spans="1:21" s="3" customFormat="1" hidden="1" x14ac:dyDescent="0.25">
      <c r="A14" s="18"/>
      <c r="B14" s="54" t="s">
        <v>30</v>
      </c>
      <c r="C14" s="15"/>
      <c r="D14" s="16">
        <f t="shared" si="0"/>
        <v>3290545</v>
      </c>
      <c r="E14" s="16"/>
      <c r="F14" s="16">
        <v>3290545</v>
      </c>
      <c r="G14" s="16"/>
      <c r="H14" s="16">
        <v>0</v>
      </c>
      <c r="I14" s="16">
        <v>0</v>
      </c>
      <c r="J14" s="16"/>
      <c r="K14" s="16"/>
      <c r="L14" s="16"/>
      <c r="M14" s="16"/>
      <c r="N14" s="16"/>
      <c r="O14" s="16"/>
      <c r="P14" s="17"/>
      <c r="Q14" s="17"/>
      <c r="R14" s="17"/>
      <c r="S14" s="17"/>
      <c r="T14" s="17"/>
      <c r="U14" s="17"/>
    </row>
    <row r="15" spans="1:21" s="3" customFormat="1" hidden="1" x14ac:dyDescent="0.25">
      <c r="A15" s="18"/>
      <c r="B15" s="54" t="s">
        <v>31</v>
      </c>
      <c r="C15" s="15"/>
      <c r="D15" s="16">
        <f t="shared" si="0"/>
        <v>4588680</v>
      </c>
      <c r="E15" s="16"/>
      <c r="F15" s="16">
        <v>2897700</v>
      </c>
      <c r="G15" s="16">
        <v>421980</v>
      </c>
      <c r="H15" s="16">
        <v>1269000</v>
      </c>
      <c r="I15" s="16">
        <v>0</v>
      </c>
      <c r="J15" s="16"/>
      <c r="K15" s="16"/>
      <c r="L15" s="16"/>
      <c r="M15" s="16"/>
      <c r="N15" s="16"/>
      <c r="O15" s="16"/>
      <c r="P15" s="17"/>
      <c r="Q15" s="17"/>
      <c r="R15" s="17"/>
      <c r="S15" s="17"/>
      <c r="T15" s="17"/>
      <c r="U15" s="17"/>
    </row>
    <row r="16" spans="1:21" s="3" customFormat="1" ht="25.5" x14ac:dyDescent="0.25">
      <c r="A16" s="10" t="s">
        <v>32</v>
      </c>
      <c r="B16" s="23" t="s">
        <v>33</v>
      </c>
      <c r="C16" s="11"/>
      <c r="D16" s="12">
        <f t="shared" si="0"/>
        <v>39479496.060000002</v>
      </c>
      <c r="E16" s="12">
        <v>6725750</v>
      </c>
      <c r="F16" s="12">
        <v>7670176</v>
      </c>
      <c r="G16" s="12">
        <v>17077697</v>
      </c>
      <c r="H16" s="12">
        <v>965720.2</v>
      </c>
      <c r="I16" s="12">
        <v>7040152.8599999994</v>
      </c>
      <c r="J16" s="12"/>
      <c r="K16" s="12">
        <v>1304280</v>
      </c>
      <c r="L16" s="12"/>
      <c r="M16" s="12">
        <v>3646812.86</v>
      </c>
      <c r="N16" s="12">
        <v>2089060</v>
      </c>
      <c r="O16" s="12"/>
      <c r="P16" s="13"/>
      <c r="Q16" s="13"/>
      <c r="R16" s="13"/>
      <c r="S16" s="13"/>
      <c r="T16" s="13"/>
      <c r="U16" s="13"/>
    </row>
    <row r="17" spans="1:21" s="3" customFormat="1" ht="12.75" x14ac:dyDescent="0.25">
      <c r="A17" s="10" t="s">
        <v>34</v>
      </c>
      <c r="B17" s="23" t="s">
        <v>35</v>
      </c>
      <c r="C17" s="11"/>
      <c r="D17" s="12">
        <f t="shared" si="0"/>
        <v>11917975.800000001</v>
      </c>
      <c r="E17" s="12">
        <v>30718</v>
      </c>
      <c r="F17" s="12">
        <v>189270</v>
      </c>
      <c r="G17" s="12">
        <v>514228</v>
      </c>
      <c r="H17" s="12">
        <v>7359059.6700000009</v>
      </c>
      <c r="I17" s="12">
        <v>3824700.13</v>
      </c>
      <c r="J17" s="12"/>
      <c r="K17" s="12"/>
      <c r="L17" s="12">
        <v>602043.18999999994</v>
      </c>
      <c r="M17" s="12">
        <v>861284.34</v>
      </c>
      <c r="N17" s="12">
        <v>2084398.8</v>
      </c>
      <c r="O17" s="12">
        <v>276973.8</v>
      </c>
      <c r="P17" s="13"/>
      <c r="Q17" s="13"/>
      <c r="R17" s="13"/>
      <c r="S17" s="13"/>
      <c r="T17" s="13"/>
      <c r="U17" s="13"/>
    </row>
    <row r="18" spans="1:21" s="3" customFormat="1" ht="12.75" x14ac:dyDescent="0.25">
      <c r="A18" s="10" t="s">
        <v>36</v>
      </c>
      <c r="B18" s="23" t="s">
        <v>37</v>
      </c>
      <c r="C18" s="11"/>
      <c r="D18" s="12">
        <f t="shared" si="0"/>
        <v>17075145.32</v>
      </c>
      <c r="E18" s="12">
        <v>4598050</v>
      </c>
      <c r="F18" s="12">
        <v>2008259</v>
      </c>
      <c r="G18" s="12">
        <v>6138284</v>
      </c>
      <c r="H18" s="12">
        <v>4330552.32</v>
      </c>
      <c r="I18" s="12">
        <v>0</v>
      </c>
      <c r="J18" s="12"/>
      <c r="K18" s="12"/>
      <c r="L18" s="12"/>
      <c r="M18" s="12"/>
      <c r="N18" s="12"/>
      <c r="O18" s="12"/>
      <c r="P18" s="13"/>
      <c r="Q18" s="13"/>
      <c r="R18" s="13"/>
      <c r="S18" s="13"/>
      <c r="T18" s="13"/>
      <c r="U18" s="13"/>
    </row>
    <row r="19" spans="1:21" s="3" customFormat="1" ht="25.5" x14ac:dyDescent="0.25">
      <c r="A19" s="10" t="s">
        <v>38</v>
      </c>
      <c r="B19" s="23" t="s">
        <v>39</v>
      </c>
      <c r="C19" s="11"/>
      <c r="D19" s="12">
        <f t="shared" si="0"/>
        <v>54060871.960000001</v>
      </c>
      <c r="E19" s="12">
        <v>8249372</v>
      </c>
      <c r="F19" s="12">
        <v>13104611</v>
      </c>
      <c r="G19" s="12">
        <v>8320174</v>
      </c>
      <c r="H19" s="12">
        <v>15812432.57</v>
      </c>
      <c r="I19" s="12">
        <v>8574282.3900000006</v>
      </c>
      <c r="J19" s="12">
        <v>0</v>
      </c>
      <c r="K19" s="12">
        <v>844218.46</v>
      </c>
      <c r="L19" s="12">
        <v>0</v>
      </c>
      <c r="M19" s="12">
        <v>5765629.1399999997</v>
      </c>
      <c r="N19" s="12">
        <v>1964434.79</v>
      </c>
      <c r="O19" s="12"/>
      <c r="P19" s="13">
        <f>P24+P21+P20+P22</f>
        <v>0</v>
      </c>
      <c r="Q19" s="13">
        <f>Q24+Q21+Q20+Q22</f>
        <v>0</v>
      </c>
      <c r="R19" s="13">
        <f>R24+R21+R20+R22</f>
        <v>0</v>
      </c>
      <c r="S19" s="13">
        <f>S24+S21+S20+S22</f>
        <v>0</v>
      </c>
      <c r="T19" s="13">
        <f t="shared" ref="T19" si="2">T24+T21+T20+T22</f>
        <v>0</v>
      </c>
      <c r="U19" s="13">
        <f>U24+U21+U20+U22</f>
        <v>0</v>
      </c>
    </row>
    <row r="20" spans="1:21" s="3" customFormat="1" ht="12.75" hidden="1" x14ac:dyDescent="0.25">
      <c r="A20" s="20"/>
      <c r="B20" s="54" t="s">
        <v>40</v>
      </c>
      <c r="C20" s="15"/>
      <c r="D20" s="16">
        <f t="shared" si="0"/>
        <v>37657433.460000001</v>
      </c>
      <c r="E20" s="16">
        <v>7000000</v>
      </c>
      <c r="F20" s="16">
        <v>13000000</v>
      </c>
      <c r="G20" s="16">
        <v>4000000</v>
      </c>
      <c r="H20" s="16">
        <v>13657433.460000001</v>
      </c>
      <c r="I20" s="16">
        <v>0</v>
      </c>
      <c r="J20" s="16"/>
      <c r="K20" s="16"/>
      <c r="L20" s="16"/>
      <c r="M20" s="16"/>
      <c r="N20" s="16"/>
      <c r="O20" s="16"/>
      <c r="P20" s="17"/>
      <c r="Q20" s="17"/>
      <c r="R20" s="17"/>
      <c r="S20" s="17"/>
      <c r="T20" s="17"/>
      <c r="U20" s="17"/>
    </row>
    <row r="21" spans="1:21" s="3" customFormat="1" ht="12.75" hidden="1" x14ac:dyDescent="0.25">
      <c r="A21" s="20"/>
      <c r="B21" s="54" t="s">
        <v>41</v>
      </c>
      <c r="C21" s="15"/>
      <c r="D21" s="16">
        <f t="shared" si="0"/>
        <v>14835854.560000001</v>
      </c>
      <c r="E21" s="16">
        <v>236974</v>
      </c>
      <c r="F21" s="16">
        <v>104611</v>
      </c>
      <c r="G21" s="16">
        <v>4320174</v>
      </c>
      <c r="H21" s="16">
        <v>1599813.17</v>
      </c>
      <c r="I21" s="16">
        <v>8574282.3900000006</v>
      </c>
      <c r="J21" s="16"/>
      <c r="K21" s="16">
        <v>844218.46</v>
      </c>
      <c r="L21" s="16"/>
      <c r="M21" s="16">
        <v>5765629.1399999997</v>
      </c>
      <c r="N21" s="16">
        <v>1964434.79</v>
      </c>
      <c r="O21" s="16"/>
      <c r="P21" s="17"/>
      <c r="Q21" s="17"/>
      <c r="R21" s="17"/>
      <c r="S21" s="17"/>
      <c r="T21" s="17"/>
      <c r="U21" s="17"/>
    </row>
    <row r="22" spans="1:21" s="3" customFormat="1" ht="12.75" hidden="1" x14ac:dyDescent="0.25">
      <c r="A22" s="20"/>
      <c r="B22" s="54" t="s">
        <v>42</v>
      </c>
      <c r="C22" s="15"/>
      <c r="D22" s="16">
        <f t="shared" si="0"/>
        <v>1012399</v>
      </c>
      <c r="E22" s="16">
        <v>1012399</v>
      </c>
      <c r="F22" s="16"/>
      <c r="G22" s="16"/>
      <c r="H22" s="16">
        <v>0</v>
      </c>
      <c r="I22" s="16">
        <v>0</v>
      </c>
      <c r="J22" s="16"/>
      <c r="K22" s="16"/>
      <c r="L22" s="16"/>
      <c r="M22" s="16"/>
      <c r="N22" s="16"/>
      <c r="O22" s="16"/>
      <c r="P22" s="17"/>
      <c r="Q22" s="17"/>
      <c r="R22" s="17"/>
      <c r="S22" s="17"/>
      <c r="T22" s="17"/>
      <c r="U22" s="17"/>
    </row>
    <row r="23" spans="1:21" s="3" customFormat="1" ht="12.75" hidden="1" x14ac:dyDescent="0.25">
      <c r="A23" s="20"/>
      <c r="B23" s="54" t="s">
        <v>43</v>
      </c>
      <c r="C23" s="15"/>
      <c r="D23" s="16">
        <f t="shared" si="0"/>
        <v>555185.93999999994</v>
      </c>
      <c r="E23" s="16"/>
      <c r="F23" s="16"/>
      <c r="G23" s="16"/>
      <c r="H23" s="16">
        <v>555185.93999999994</v>
      </c>
      <c r="I23" s="16">
        <v>0</v>
      </c>
      <c r="J23" s="16"/>
      <c r="K23" s="16"/>
      <c r="L23" s="16"/>
      <c r="M23" s="16"/>
      <c r="N23" s="16"/>
      <c r="O23" s="16"/>
      <c r="P23" s="17"/>
      <c r="Q23" s="17"/>
      <c r="R23" s="17"/>
      <c r="S23" s="17"/>
      <c r="T23" s="17"/>
      <c r="U23" s="17"/>
    </row>
    <row r="24" spans="1:21" s="3" customFormat="1" ht="12.75" hidden="1" x14ac:dyDescent="0.25">
      <c r="A24" s="20"/>
      <c r="B24" s="54" t="s">
        <v>44</v>
      </c>
      <c r="C24" s="15"/>
      <c r="D24" s="16">
        <f t="shared" si="0"/>
        <v>0</v>
      </c>
      <c r="E24" s="16"/>
      <c r="F24" s="16"/>
      <c r="G24" s="16"/>
      <c r="H24" s="16">
        <v>0</v>
      </c>
      <c r="I24" s="16">
        <v>0</v>
      </c>
      <c r="J24" s="16"/>
      <c r="K24" s="16"/>
      <c r="L24" s="16"/>
      <c r="M24" s="16"/>
      <c r="N24" s="16"/>
      <c r="O24" s="16"/>
      <c r="P24" s="17"/>
      <c r="Q24" s="17"/>
      <c r="R24" s="17"/>
      <c r="S24" s="17"/>
      <c r="T24" s="17"/>
      <c r="U24" s="17"/>
    </row>
    <row r="25" spans="1:21" s="3" customFormat="1" ht="12.75" x14ac:dyDescent="0.25">
      <c r="A25" s="10" t="s">
        <v>45</v>
      </c>
      <c r="B25" s="23" t="s">
        <v>46</v>
      </c>
      <c r="C25" s="11"/>
      <c r="D25" s="12">
        <f t="shared" si="0"/>
        <v>0</v>
      </c>
      <c r="E25" s="12"/>
      <c r="F25" s="12"/>
      <c r="G25" s="12"/>
      <c r="H25" s="12">
        <v>0</v>
      </c>
      <c r="I25" s="12">
        <v>0</v>
      </c>
      <c r="J25" s="12"/>
      <c r="K25" s="12"/>
      <c r="L25" s="12"/>
      <c r="M25" s="12"/>
      <c r="N25" s="12"/>
      <c r="O25" s="12"/>
      <c r="P25" s="13"/>
      <c r="Q25" s="13"/>
      <c r="R25" s="13"/>
      <c r="S25" s="13"/>
      <c r="T25" s="13"/>
      <c r="U25" s="13"/>
    </row>
    <row r="26" spans="1:21" s="3" customFormat="1" ht="12.75" x14ac:dyDescent="0.25">
      <c r="A26" s="10" t="s">
        <v>47</v>
      </c>
      <c r="B26" s="23" t="s">
        <v>48</v>
      </c>
      <c r="C26" s="11"/>
      <c r="D26" s="12">
        <f t="shared" si="0"/>
        <v>49665343.510000005</v>
      </c>
      <c r="E26" s="12">
        <v>9016426</v>
      </c>
      <c r="F26" s="12">
        <v>11628499</v>
      </c>
      <c r="G26" s="12">
        <v>12094084</v>
      </c>
      <c r="H26" s="12">
        <v>11916941.030000001</v>
      </c>
      <c r="I26" s="12">
        <v>5009393.4800000004</v>
      </c>
      <c r="J26" s="12"/>
      <c r="K26" s="12">
        <v>1718985.16</v>
      </c>
      <c r="L26" s="12"/>
      <c r="M26" s="12">
        <v>1193923.6299999999</v>
      </c>
      <c r="N26" s="12">
        <v>1749918.69</v>
      </c>
      <c r="O26" s="12">
        <v>346566</v>
      </c>
      <c r="P26" s="13">
        <v>346566</v>
      </c>
      <c r="Q26" s="13"/>
      <c r="R26" s="13"/>
      <c r="S26" s="13"/>
      <c r="T26" s="13"/>
      <c r="U26" s="13"/>
    </row>
    <row r="27" spans="1:21" s="3" customFormat="1" ht="12.75" x14ac:dyDescent="0.25">
      <c r="A27" s="10" t="s">
        <v>49</v>
      </c>
      <c r="B27" s="23" t="s">
        <v>50</v>
      </c>
      <c r="C27" s="11"/>
      <c r="D27" s="12">
        <f t="shared" si="0"/>
        <v>58639612.579999998</v>
      </c>
      <c r="E27" s="12">
        <v>8484977</v>
      </c>
      <c r="F27" s="12">
        <v>3055647</v>
      </c>
      <c r="G27" s="12">
        <v>7537873</v>
      </c>
      <c r="H27" s="12">
        <v>36707967.18</v>
      </c>
      <c r="I27" s="12">
        <v>2853148.4</v>
      </c>
      <c r="J27" s="12">
        <v>2853148.4</v>
      </c>
      <c r="K27" s="12"/>
      <c r="L27" s="12"/>
      <c r="M27" s="12"/>
      <c r="N27" s="12"/>
      <c r="O27" s="12">
        <v>0</v>
      </c>
      <c r="P27" s="13"/>
      <c r="Q27" s="13"/>
      <c r="R27" s="13"/>
      <c r="S27" s="13"/>
      <c r="T27" s="13"/>
      <c r="U27" s="13"/>
    </row>
    <row r="28" spans="1:21" s="3" customFormat="1" hidden="1" x14ac:dyDescent="0.25">
      <c r="A28" s="18"/>
      <c r="B28" s="54" t="s">
        <v>51</v>
      </c>
      <c r="C28" s="15"/>
      <c r="D28" s="16">
        <f t="shared" si="0"/>
        <v>58402044</v>
      </c>
      <c r="E28" s="16">
        <v>8452044</v>
      </c>
      <c r="F28" s="16">
        <v>3000000</v>
      </c>
      <c r="G28" s="16">
        <v>7500000</v>
      </c>
      <c r="H28" s="16">
        <v>36650000</v>
      </c>
      <c r="I28" s="16">
        <v>2800000</v>
      </c>
      <c r="J28" s="16">
        <v>2800000</v>
      </c>
      <c r="K28" s="16"/>
      <c r="L28" s="16"/>
      <c r="M28" s="16"/>
      <c r="N28" s="16"/>
      <c r="O28" s="16"/>
      <c r="P28" s="17"/>
      <c r="Q28" s="17"/>
      <c r="R28" s="17"/>
      <c r="S28" s="17"/>
      <c r="T28" s="17"/>
      <c r="U28" s="17"/>
    </row>
    <row r="29" spans="1:21" s="3" customFormat="1" hidden="1" x14ac:dyDescent="0.25">
      <c r="A29" s="18"/>
      <c r="B29" s="54" t="s">
        <v>52</v>
      </c>
      <c r="C29" s="15"/>
      <c r="D29" s="16">
        <f t="shared" si="0"/>
        <v>237568.58</v>
      </c>
      <c r="E29" s="16">
        <v>32933</v>
      </c>
      <c r="F29" s="16">
        <v>55647</v>
      </c>
      <c r="G29" s="16">
        <v>37873</v>
      </c>
      <c r="H29" s="16">
        <v>57967.18</v>
      </c>
      <c r="I29" s="16">
        <v>53148.4</v>
      </c>
      <c r="J29" s="16">
        <v>53148.4</v>
      </c>
      <c r="K29" s="16"/>
      <c r="L29" s="16"/>
      <c r="M29" s="16"/>
      <c r="N29" s="16"/>
      <c r="O29" s="16"/>
      <c r="P29" s="17"/>
      <c r="Q29" s="17"/>
      <c r="R29" s="17"/>
      <c r="S29" s="17"/>
      <c r="T29" s="17"/>
      <c r="U29" s="17"/>
    </row>
    <row r="30" spans="1:21" s="3" customFormat="1" ht="11.25" hidden="1" customHeight="1" x14ac:dyDescent="0.25">
      <c r="A30" s="18"/>
      <c r="B30" s="54" t="s">
        <v>53</v>
      </c>
      <c r="C30" s="15"/>
      <c r="D30" s="16">
        <f t="shared" si="0"/>
        <v>0</v>
      </c>
      <c r="E30" s="16"/>
      <c r="F30" s="16"/>
      <c r="G30" s="16"/>
      <c r="H30" s="16">
        <v>0</v>
      </c>
      <c r="I30" s="16">
        <v>0</v>
      </c>
      <c r="J30" s="16"/>
      <c r="K30" s="16"/>
      <c r="L30" s="16"/>
      <c r="M30" s="16"/>
      <c r="N30" s="16"/>
      <c r="O30" s="16"/>
      <c r="P30" s="17"/>
      <c r="Q30" s="17"/>
      <c r="R30" s="17"/>
      <c r="S30" s="17"/>
      <c r="T30" s="17"/>
      <c r="U30" s="17"/>
    </row>
    <row r="31" spans="1:21" s="3" customFormat="1" ht="12.75" hidden="1" customHeight="1" x14ac:dyDescent="0.25">
      <c r="A31" s="18"/>
      <c r="B31" s="54" t="s">
        <v>54</v>
      </c>
      <c r="C31" s="15"/>
      <c r="D31" s="16">
        <f t="shared" si="0"/>
        <v>0</v>
      </c>
      <c r="E31" s="16"/>
      <c r="F31" s="16"/>
      <c r="G31" s="16"/>
      <c r="H31" s="16">
        <v>0</v>
      </c>
      <c r="I31" s="16">
        <v>0</v>
      </c>
      <c r="J31" s="16"/>
      <c r="K31" s="16"/>
      <c r="L31" s="16"/>
      <c r="M31" s="16"/>
      <c r="N31" s="16"/>
      <c r="O31" s="21"/>
      <c r="P31" s="22"/>
      <c r="Q31" s="22"/>
      <c r="R31" s="22"/>
      <c r="S31" s="22"/>
      <c r="T31" s="22"/>
      <c r="U31" s="22"/>
    </row>
    <row r="32" spans="1:21" s="3" customFormat="1" ht="51" x14ac:dyDescent="0.25">
      <c r="A32" s="10" t="s">
        <v>55</v>
      </c>
      <c r="B32" s="23" t="s">
        <v>56</v>
      </c>
      <c r="C32" s="23"/>
      <c r="D32" s="12">
        <f t="shared" si="0"/>
        <v>45857246.362608001</v>
      </c>
      <c r="E32" s="12">
        <v>4308427</v>
      </c>
      <c r="F32" s="12">
        <v>7839226</v>
      </c>
      <c r="G32" s="12">
        <v>14525234</v>
      </c>
      <c r="H32" s="12">
        <v>7883496.005375999</v>
      </c>
      <c r="I32" s="12">
        <v>11300863.357232001</v>
      </c>
      <c r="J32" s="12">
        <v>5255955.4217419997</v>
      </c>
      <c r="K32" s="12">
        <v>153417.38</v>
      </c>
      <c r="L32" s="12">
        <v>214707.65</v>
      </c>
      <c r="M32" s="12">
        <v>4746179.3654900007</v>
      </c>
      <c r="N32" s="12">
        <v>275963.09999999998</v>
      </c>
      <c r="O32" s="12">
        <v>654640.43999999994</v>
      </c>
      <c r="P32" s="13">
        <v>134115.60999999999</v>
      </c>
      <c r="Q32" s="13"/>
      <c r="R32" s="13"/>
      <c r="S32" s="13">
        <v>51344.83</v>
      </c>
      <c r="T32" s="13">
        <v>10736.75</v>
      </c>
      <c r="U32" s="13">
        <v>13640.96</v>
      </c>
    </row>
    <row r="33" spans="1:30" s="3" customFormat="1" ht="38.25" x14ac:dyDescent="0.25">
      <c r="A33" s="10" t="s">
        <v>57</v>
      </c>
      <c r="B33" s="23" t="s">
        <v>58</v>
      </c>
      <c r="C33" s="23"/>
      <c r="D33" s="12">
        <f t="shared" si="0"/>
        <v>21324719.010000002</v>
      </c>
      <c r="E33" s="12">
        <v>3662739</v>
      </c>
      <c r="F33" s="12">
        <v>5551062</v>
      </c>
      <c r="G33" s="12">
        <v>5597005</v>
      </c>
      <c r="H33" s="12">
        <v>4469636.0699999994</v>
      </c>
      <c r="I33" s="12">
        <v>2044276.9399999997</v>
      </c>
      <c r="J33" s="12">
        <v>1362125.24</v>
      </c>
      <c r="K33" s="12">
        <v>134112.42000000001</v>
      </c>
      <c r="L33" s="12">
        <v>49886.400000000001</v>
      </c>
      <c r="M33" s="12">
        <v>177617.64</v>
      </c>
      <c r="N33" s="12">
        <v>235232.76</v>
      </c>
      <c r="O33" s="12">
        <v>85302.48000000001</v>
      </c>
      <c r="P33" s="13">
        <v>6849.36</v>
      </c>
      <c r="Q33" s="13"/>
      <c r="R33" s="13"/>
      <c r="S33" s="13">
        <v>38996.400000000001</v>
      </c>
      <c r="T33" s="13">
        <v>29825.279999999999</v>
      </c>
      <c r="U33" s="13">
        <v>9631.44</v>
      </c>
    </row>
    <row r="34" spans="1:30" s="3" customFormat="1" ht="63.75" x14ac:dyDescent="0.25">
      <c r="A34" s="10" t="s">
        <v>59</v>
      </c>
      <c r="B34" s="23" t="s">
        <v>60</v>
      </c>
      <c r="C34" s="23"/>
      <c r="D34" s="12">
        <f t="shared" si="0"/>
        <v>6145253.4697680082</v>
      </c>
      <c r="E34" s="12">
        <v>135672</v>
      </c>
      <c r="F34" s="12">
        <v>559162</v>
      </c>
      <c r="G34" s="12">
        <v>1289571</v>
      </c>
      <c r="H34" s="12">
        <v>1730758.99</v>
      </c>
      <c r="I34" s="12">
        <v>2430089.4797680085</v>
      </c>
      <c r="J34" s="12">
        <v>1267167.8797680086</v>
      </c>
      <c r="K34" s="12">
        <v>91693.14</v>
      </c>
      <c r="L34" s="12">
        <v>598886.06000000006</v>
      </c>
      <c r="M34" s="12">
        <v>313626</v>
      </c>
      <c r="N34" s="12">
        <v>40250</v>
      </c>
      <c r="O34" s="12">
        <v>118466.4</v>
      </c>
      <c r="P34" s="13"/>
      <c r="Q34" s="13">
        <v>60368.89</v>
      </c>
      <c r="R34" s="13">
        <v>35672.51</v>
      </c>
      <c r="S34" s="13"/>
      <c r="T34" s="13"/>
      <c r="U34" s="13">
        <v>22425</v>
      </c>
    </row>
    <row r="35" spans="1:30" s="3" customFormat="1" ht="12.75" x14ac:dyDescent="0.25">
      <c r="A35" s="10" t="s">
        <v>61</v>
      </c>
      <c r="B35" s="23" t="s">
        <v>62</v>
      </c>
      <c r="C35" s="23"/>
      <c r="D35" s="12">
        <f t="shared" si="0"/>
        <v>3244395.3200000003</v>
      </c>
      <c r="E35" s="12">
        <v>109000</v>
      </c>
      <c r="F35" s="12">
        <v>1346283</v>
      </c>
      <c r="G35" s="12">
        <v>699587</v>
      </c>
      <c r="H35" s="12">
        <v>1079325.32</v>
      </c>
      <c r="I35" s="12">
        <v>10200</v>
      </c>
      <c r="J35" s="12"/>
      <c r="K35" s="12"/>
      <c r="L35" s="12">
        <v>4400</v>
      </c>
      <c r="M35" s="12">
        <v>5800</v>
      </c>
      <c r="N35" s="12"/>
      <c r="O35" s="12"/>
      <c r="P35" s="13"/>
      <c r="Q35" s="13"/>
      <c r="R35" s="13"/>
      <c r="S35" s="13"/>
      <c r="T35" s="13"/>
      <c r="U35" s="13"/>
    </row>
    <row r="36" spans="1:30" s="28" customFormat="1" ht="18.75" x14ac:dyDescent="0.25">
      <c r="A36" s="24"/>
      <c r="B36" s="55" t="s">
        <v>63</v>
      </c>
      <c r="C36" s="25"/>
      <c r="D36" s="26">
        <f t="shared" si="0"/>
        <v>535436064.20537603</v>
      </c>
      <c r="E36" s="26">
        <v>84953748</v>
      </c>
      <c r="F36" s="26">
        <v>85914486</v>
      </c>
      <c r="G36" s="26">
        <v>125248624</v>
      </c>
      <c r="H36" s="26">
        <v>123046804.865376</v>
      </c>
      <c r="I36" s="26">
        <v>116272401.34</v>
      </c>
      <c r="J36" s="26">
        <v>39688346.041510008</v>
      </c>
      <c r="K36" s="26">
        <v>4246706.5599999996</v>
      </c>
      <c r="L36" s="26">
        <v>45705268.502999991</v>
      </c>
      <c r="M36" s="26">
        <v>16710872.97549</v>
      </c>
      <c r="N36" s="26">
        <v>8439258.1399999987</v>
      </c>
      <c r="O36" s="26">
        <v>1481949.1199999999</v>
      </c>
      <c r="P36" s="27" t="e">
        <f t="shared" ref="P36:U36" si="3">P4+P5+P8+P16+P17+P18+P19+P25+P26+P27+P32+P33+P34+P35</f>
        <v>#REF!</v>
      </c>
      <c r="Q36" s="27" t="e">
        <f t="shared" si="3"/>
        <v>#REF!</v>
      </c>
      <c r="R36" s="27" t="e">
        <f t="shared" si="3"/>
        <v>#REF!</v>
      </c>
      <c r="S36" s="27" t="e">
        <f t="shared" si="3"/>
        <v>#REF!</v>
      </c>
      <c r="T36" s="27">
        <f t="shared" si="3"/>
        <v>40562.03</v>
      </c>
      <c r="U36" s="27" t="e">
        <f t="shared" si="3"/>
        <v>#REF!</v>
      </c>
    </row>
    <row r="37" spans="1:30" s="28" customFormat="1" ht="18.75" x14ac:dyDescent="0.25">
      <c r="A37" s="29"/>
      <c r="B37" s="56" t="s">
        <v>64</v>
      </c>
      <c r="C37" s="30"/>
      <c r="D37" s="26">
        <f t="shared" si="0"/>
        <v>11110130.859999999</v>
      </c>
      <c r="E37" s="26">
        <v>4215833</v>
      </c>
      <c r="F37" s="26">
        <v>1479204</v>
      </c>
      <c r="G37" s="26">
        <v>1684962</v>
      </c>
      <c r="H37" s="26">
        <v>2154517.9699999997</v>
      </c>
      <c r="I37" s="26">
        <v>1575613.89</v>
      </c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</row>
    <row r="38" spans="1:30" s="28" customFormat="1" ht="18.75" x14ac:dyDescent="0.25">
      <c r="A38" s="29"/>
      <c r="B38" s="56" t="s">
        <v>65</v>
      </c>
      <c r="C38" s="30"/>
      <c r="D38" s="26">
        <f t="shared" si="0"/>
        <v>3280275</v>
      </c>
      <c r="E38" s="26">
        <v>1551714</v>
      </c>
      <c r="F38" s="26">
        <v>1406586</v>
      </c>
      <c r="G38" s="26">
        <v>145005</v>
      </c>
      <c r="H38" s="26">
        <v>89970</v>
      </c>
      <c r="I38" s="26">
        <v>87000</v>
      </c>
      <c r="J38" s="31"/>
      <c r="K38" s="31"/>
      <c r="L38" s="31"/>
    </row>
    <row r="39" spans="1:30" s="28" customFormat="1" ht="18.75" x14ac:dyDescent="0.25">
      <c r="A39" s="29"/>
      <c r="B39" s="56" t="s">
        <v>67</v>
      </c>
      <c r="C39" s="30"/>
      <c r="D39" s="26">
        <f t="shared" si="0"/>
        <v>12135078.859999999</v>
      </c>
      <c r="E39" s="26"/>
      <c r="F39" s="26">
        <v>721468</v>
      </c>
      <c r="G39" s="26">
        <v>577850</v>
      </c>
      <c r="H39" s="26">
        <v>4083307.26</v>
      </c>
      <c r="I39" s="26">
        <v>6752453.5999999996</v>
      </c>
      <c r="J39" s="31"/>
      <c r="K39" s="31"/>
      <c r="L39" s="47"/>
      <c r="M39" s="48"/>
      <c r="N39" s="48"/>
    </row>
    <row r="40" spans="1:30" ht="18.75" x14ac:dyDescent="0.2">
      <c r="A40" s="32"/>
      <c r="B40" s="56" t="s">
        <v>69</v>
      </c>
      <c r="C40" s="30"/>
      <c r="D40" s="26">
        <f t="shared" si="0"/>
        <v>1420351.94</v>
      </c>
      <c r="E40" s="26">
        <v>152218</v>
      </c>
      <c r="F40" s="26">
        <v>264026</v>
      </c>
      <c r="G40" s="26">
        <v>367115</v>
      </c>
      <c r="H40" s="26">
        <v>545870</v>
      </c>
      <c r="I40" s="26">
        <v>91122.94</v>
      </c>
      <c r="L40" s="49"/>
      <c r="M40" s="49"/>
      <c r="N40" s="49"/>
      <c r="O40" s="9"/>
    </row>
    <row r="41" spans="1:30" ht="18.75" x14ac:dyDescent="0.2">
      <c r="A41" s="32"/>
      <c r="B41" s="56" t="s">
        <v>70</v>
      </c>
      <c r="C41" s="30"/>
      <c r="D41" s="26">
        <f t="shared" si="0"/>
        <v>11800017.449999999</v>
      </c>
      <c r="E41" s="26">
        <v>6916584</v>
      </c>
      <c r="F41" s="26"/>
      <c r="G41" s="26"/>
      <c r="H41" s="26">
        <v>4567928</v>
      </c>
      <c r="I41" s="26">
        <v>315505.45</v>
      </c>
      <c r="J41" s="33"/>
      <c r="L41" s="49"/>
      <c r="M41" s="49"/>
      <c r="N41" s="49"/>
      <c r="O41" s="9"/>
    </row>
    <row r="42" spans="1:30" ht="18.75" x14ac:dyDescent="0.2">
      <c r="A42" s="32"/>
      <c r="B42" s="56" t="s">
        <v>89</v>
      </c>
      <c r="C42" s="30"/>
      <c r="D42" s="26">
        <f t="shared" si="0"/>
        <v>3701475.09</v>
      </c>
      <c r="E42" s="26"/>
      <c r="F42" s="26"/>
      <c r="G42" s="26"/>
      <c r="H42" s="26"/>
      <c r="I42" s="26">
        <v>3701475.09</v>
      </c>
      <c r="J42" s="33"/>
      <c r="L42" s="49"/>
      <c r="M42" s="49"/>
      <c r="N42" s="49"/>
      <c r="O42" s="9"/>
    </row>
    <row r="43" spans="1:30" ht="23.25" x14ac:dyDescent="0.35">
      <c r="A43" s="32"/>
      <c r="B43" s="57"/>
      <c r="C43" s="35"/>
      <c r="D43" s="36">
        <f t="shared" si="0"/>
        <v>578883392.40537596</v>
      </c>
      <c r="E43" s="36">
        <v>97790097</v>
      </c>
      <c r="F43" s="36">
        <v>89785770</v>
      </c>
      <c r="G43" s="36">
        <v>128023555</v>
      </c>
      <c r="H43" s="36">
        <v>134488398.09537601</v>
      </c>
      <c r="I43" s="36">
        <f>125094097.22+I42</f>
        <v>128795572.31</v>
      </c>
      <c r="J43" s="33"/>
    </row>
    <row r="44" spans="1:30" x14ac:dyDescent="0.2">
      <c r="D44" s="38"/>
      <c r="E44" s="38"/>
      <c r="F44" s="38"/>
      <c r="G44" s="38"/>
      <c r="H44" s="38"/>
      <c r="I44" s="38"/>
    </row>
    <row r="45" spans="1:30" s="34" customFormat="1" x14ac:dyDescent="0.2">
      <c r="A45" s="9"/>
      <c r="B45" s="58"/>
      <c r="C45" s="37"/>
      <c r="D45" s="38"/>
      <c r="E45" s="38"/>
      <c r="F45" s="38"/>
      <c r="G45" s="38"/>
      <c r="H45" s="38"/>
      <c r="I45" s="38"/>
      <c r="V45" s="9"/>
      <c r="W45" s="9"/>
      <c r="X45" s="9"/>
      <c r="Y45" s="9"/>
      <c r="Z45" s="9"/>
      <c r="AA45" s="9"/>
      <c r="AB45" s="9"/>
      <c r="AC45" s="9"/>
      <c r="AD45" s="9"/>
    </row>
  </sheetData>
  <mergeCells count="9">
    <mergeCell ref="I1:I2"/>
    <mergeCell ref="B1:B2"/>
    <mergeCell ref="A1:A3"/>
    <mergeCell ref="E1:E2"/>
    <mergeCell ref="F1:F2"/>
    <mergeCell ref="G1:G2"/>
    <mergeCell ref="H1:H2"/>
    <mergeCell ref="D1:D2"/>
    <mergeCell ref="C1:C2"/>
  </mergeCells>
  <pageMargins left="0" right="0" top="0" bottom="0" header="0.31496062992125984" footer="0.31496062992125984"/>
  <pageSetup paperSize="9" orientation="landscape" verticalDpi="300" r:id="rId1"/>
  <colBreaks count="1" manualBreakCount="1">
    <brk id="15" max="3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5BBDA-9B58-411A-9FEC-1548A8A587FB}">
  <sheetPr codeName="Лист2">
    <tabColor rgb="FFFF0000"/>
    <pageSetUpPr fitToPage="1"/>
  </sheetPr>
  <dimension ref="A1:P39"/>
  <sheetViews>
    <sheetView view="pageBreakPreview" zoomScaleNormal="90" zoomScaleSheetLayoutView="100" workbookViewId="0">
      <selection activeCell="M3" sqref="M3"/>
    </sheetView>
  </sheetViews>
  <sheetFormatPr defaultColWidth="14.140625" defaultRowHeight="11.25" x14ac:dyDescent="0.2"/>
  <cols>
    <col min="1" max="1" width="6.140625" style="71" customWidth="1"/>
    <col min="2" max="2" width="40.140625" style="80" customWidth="1"/>
    <col min="3" max="8" width="14.42578125" style="71" hidden="1" customWidth="1"/>
    <col min="9" max="14" width="11.5703125" style="86" customWidth="1"/>
    <col min="15" max="16384" width="14.140625" style="71"/>
  </cols>
  <sheetData>
    <row r="1" spans="1:15" s="74" customFormat="1" ht="30" customHeight="1" x14ac:dyDescent="0.25">
      <c r="A1" s="108"/>
      <c r="B1" s="102" t="s">
        <v>12</v>
      </c>
      <c r="C1" s="100" t="s">
        <v>78</v>
      </c>
      <c r="D1" s="100" t="s">
        <v>73</v>
      </c>
      <c r="E1" s="100" t="s">
        <v>75</v>
      </c>
      <c r="F1" s="100" t="s">
        <v>76</v>
      </c>
      <c r="G1" s="100" t="s">
        <v>77</v>
      </c>
      <c r="H1" s="100" t="s">
        <v>74</v>
      </c>
      <c r="I1" s="102" t="s">
        <v>78</v>
      </c>
      <c r="J1" s="102" t="s">
        <v>121</v>
      </c>
      <c r="K1" s="102" t="s">
        <v>122</v>
      </c>
      <c r="L1" s="102" t="s">
        <v>123</v>
      </c>
      <c r="M1" s="102" t="s">
        <v>124</v>
      </c>
      <c r="N1" s="102" t="s">
        <v>72</v>
      </c>
    </row>
    <row r="2" spans="1:15" x14ac:dyDescent="0.2">
      <c r="A2" s="109"/>
      <c r="B2" s="104"/>
      <c r="C2" s="101"/>
      <c r="D2" s="101"/>
      <c r="E2" s="101"/>
      <c r="F2" s="101"/>
      <c r="G2" s="101"/>
      <c r="H2" s="101"/>
      <c r="I2" s="104"/>
      <c r="J2" s="104"/>
      <c r="K2" s="104"/>
      <c r="L2" s="104"/>
      <c r="M2" s="104"/>
      <c r="N2" s="104"/>
    </row>
    <row r="3" spans="1:15" x14ac:dyDescent="0.2">
      <c r="A3" s="110"/>
      <c r="B3" s="53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</row>
    <row r="4" spans="1:15" s="74" customFormat="1" ht="12.75" x14ac:dyDescent="0.25">
      <c r="A4" s="20" t="s">
        <v>15</v>
      </c>
      <c r="B4" s="61" t="s">
        <v>16</v>
      </c>
      <c r="C4" s="21">
        <f>D4+E4+F4+G4+H4</f>
        <v>117607597.94</v>
      </c>
      <c r="D4" s="21">
        <v>21229289</v>
      </c>
      <c r="E4" s="21">
        <v>23262401</v>
      </c>
      <c r="F4" s="21">
        <v>22900370</v>
      </c>
      <c r="G4" s="21">
        <v>25412074</v>
      </c>
      <c r="H4" s="21">
        <v>24803463.940000001</v>
      </c>
      <c r="I4" s="82">
        <f t="shared" ref="I4:I27" si="0">C4/1000</f>
        <v>117607.59793999999</v>
      </c>
      <c r="J4" s="82">
        <f t="shared" ref="J4:N5" si="1">D4/1000</f>
        <v>21229.289000000001</v>
      </c>
      <c r="K4" s="82">
        <f t="shared" si="1"/>
        <v>23262.401000000002</v>
      </c>
      <c r="L4" s="82">
        <f t="shared" si="1"/>
        <v>22900.37</v>
      </c>
      <c r="M4" s="82">
        <f t="shared" si="1"/>
        <v>25412.074000000001</v>
      </c>
      <c r="N4" s="82">
        <f t="shared" si="1"/>
        <v>24803.463940000001</v>
      </c>
    </row>
    <row r="5" spans="1:15" s="74" customFormat="1" ht="12.75" x14ac:dyDescent="0.25">
      <c r="A5" s="20" t="s">
        <v>19</v>
      </c>
      <c r="B5" s="61" t="s">
        <v>20</v>
      </c>
      <c r="C5" s="21">
        <f t="shared" ref="C5:C36" si="2">D5+E5+F5+G5+H5</f>
        <v>18524751.16</v>
      </c>
      <c r="D5" s="21">
        <v>3457329</v>
      </c>
      <c r="E5" s="21">
        <v>3511645</v>
      </c>
      <c r="F5" s="21">
        <v>3299450</v>
      </c>
      <c r="G5" s="21">
        <v>4109842</v>
      </c>
      <c r="H5" s="21">
        <v>4146485.1599999997</v>
      </c>
      <c r="I5" s="82">
        <f t="shared" si="0"/>
        <v>18524.75116</v>
      </c>
      <c r="J5" s="82">
        <f t="shared" si="1"/>
        <v>3457.3290000000002</v>
      </c>
      <c r="K5" s="82">
        <f t="shared" si="1"/>
        <v>3511.645</v>
      </c>
      <c r="L5" s="82">
        <f t="shared" si="1"/>
        <v>3299.45</v>
      </c>
      <c r="M5" s="82">
        <f t="shared" si="1"/>
        <v>4109.8419999999996</v>
      </c>
      <c r="N5" s="82">
        <f t="shared" si="1"/>
        <v>4146.4851599999993</v>
      </c>
    </row>
    <row r="6" spans="1:15" s="74" customFormat="1" ht="12.75" hidden="1" x14ac:dyDescent="0.25">
      <c r="A6" s="18"/>
      <c r="B6" s="54" t="s">
        <v>21</v>
      </c>
      <c r="C6" s="21">
        <f t="shared" si="2"/>
        <v>2864985.1599999997</v>
      </c>
      <c r="D6" s="16"/>
      <c r="E6" s="16"/>
      <c r="F6" s="16"/>
      <c r="G6" s="16"/>
      <c r="H6" s="16">
        <v>2864985.1599999997</v>
      </c>
      <c r="I6" s="82">
        <f t="shared" si="0"/>
        <v>2864.9851599999997</v>
      </c>
      <c r="J6" s="83"/>
      <c r="K6" s="83"/>
      <c r="L6" s="83"/>
      <c r="M6" s="83"/>
      <c r="N6" s="83"/>
    </row>
    <row r="7" spans="1:15" s="74" customFormat="1" ht="12.75" hidden="1" x14ac:dyDescent="0.25">
      <c r="A7" s="18"/>
      <c r="B7" s="54" t="s">
        <v>22</v>
      </c>
      <c r="C7" s="21">
        <f t="shared" si="2"/>
        <v>1281500</v>
      </c>
      <c r="D7" s="16"/>
      <c r="E7" s="16"/>
      <c r="F7" s="16"/>
      <c r="G7" s="16"/>
      <c r="H7" s="16">
        <v>1281500</v>
      </c>
      <c r="I7" s="82">
        <f t="shared" si="0"/>
        <v>1281.5</v>
      </c>
      <c r="J7" s="83"/>
      <c r="K7" s="83"/>
      <c r="L7" s="83"/>
      <c r="M7" s="83"/>
      <c r="N7" s="83"/>
    </row>
    <row r="8" spans="1:15" s="19" customFormat="1" ht="12.75" hidden="1" x14ac:dyDescent="0.25">
      <c r="A8" s="20" t="s">
        <v>23</v>
      </c>
      <c r="B8" s="61" t="s">
        <v>24</v>
      </c>
      <c r="C8" s="21">
        <f t="shared" si="2"/>
        <v>0</v>
      </c>
      <c r="D8" s="21"/>
      <c r="E8" s="21"/>
      <c r="F8" s="21"/>
      <c r="G8" s="21"/>
      <c r="H8" s="21">
        <v>0</v>
      </c>
      <c r="I8" s="82">
        <f t="shared" si="0"/>
        <v>0</v>
      </c>
      <c r="J8" s="82"/>
      <c r="K8" s="82"/>
      <c r="L8" s="82"/>
      <c r="M8" s="82"/>
      <c r="N8" s="82"/>
      <c r="O8" s="74"/>
    </row>
    <row r="9" spans="1:15" s="74" customFormat="1" ht="12.75" hidden="1" x14ac:dyDescent="0.25">
      <c r="A9" s="18"/>
      <c r="B9" s="54" t="s">
        <v>119</v>
      </c>
      <c r="C9" s="21">
        <f t="shared" si="2"/>
        <v>0</v>
      </c>
      <c r="D9" s="16"/>
      <c r="E9" s="16"/>
      <c r="F9" s="16"/>
      <c r="G9" s="16"/>
      <c r="H9" s="16"/>
      <c r="I9" s="82">
        <f t="shared" si="0"/>
        <v>0</v>
      </c>
      <c r="J9" s="83"/>
      <c r="K9" s="83"/>
      <c r="L9" s="83"/>
      <c r="M9" s="83"/>
      <c r="N9" s="83"/>
    </row>
    <row r="10" spans="1:15" s="74" customFormat="1" ht="12.75" hidden="1" x14ac:dyDescent="0.25">
      <c r="A10" s="18"/>
      <c r="B10" s="54" t="s">
        <v>26</v>
      </c>
      <c r="C10" s="21">
        <f t="shared" si="2"/>
        <v>0</v>
      </c>
      <c r="D10" s="16"/>
      <c r="E10" s="16"/>
      <c r="F10" s="16"/>
      <c r="G10" s="16"/>
      <c r="H10" s="16"/>
      <c r="I10" s="82">
        <f t="shared" si="0"/>
        <v>0</v>
      </c>
      <c r="J10" s="83"/>
      <c r="K10" s="83"/>
      <c r="L10" s="83"/>
      <c r="M10" s="83"/>
      <c r="N10" s="83"/>
    </row>
    <row r="11" spans="1:15" s="74" customFormat="1" ht="12.75" hidden="1" x14ac:dyDescent="0.25">
      <c r="A11" s="18"/>
      <c r="B11" s="54" t="s">
        <v>27</v>
      </c>
      <c r="C11" s="21">
        <f t="shared" si="2"/>
        <v>0</v>
      </c>
      <c r="D11" s="16"/>
      <c r="E11" s="16"/>
      <c r="F11" s="16"/>
      <c r="G11" s="16"/>
      <c r="H11" s="16"/>
      <c r="I11" s="82">
        <f t="shared" si="0"/>
        <v>0</v>
      </c>
      <c r="J11" s="83"/>
      <c r="K11" s="83"/>
      <c r="L11" s="83"/>
      <c r="M11" s="83"/>
      <c r="N11" s="83"/>
    </row>
    <row r="12" spans="1:15" s="74" customFormat="1" ht="12.75" hidden="1" x14ac:dyDescent="0.25">
      <c r="A12" s="18"/>
      <c r="B12" s="54" t="s">
        <v>28</v>
      </c>
      <c r="C12" s="21">
        <f t="shared" si="2"/>
        <v>0</v>
      </c>
      <c r="D12" s="16"/>
      <c r="E12" s="16"/>
      <c r="F12" s="16"/>
      <c r="G12" s="16"/>
      <c r="H12" s="16"/>
      <c r="I12" s="82">
        <f t="shared" si="0"/>
        <v>0</v>
      </c>
      <c r="J12" s="83"/>
      <c r="K12" s="83"/>
      <c r="L12" s="83"/>
      <c r="M12" s="83"/>
      <c r="N12" s="83"/>
    </row>
    <row r="13" spans="1:15" s="74" customFormat="1" ht="12.75" hidden="1" x14ac:dyDescent="0.25">
      <c r="A13" s="18"/>
      <c r="B13" s="54" t="s">
        <v>29</v>
      </c>
      <c r="C13" s="21">
        <f t="shared" si="2"/>
        <v>0</v>
      </c>
      <c r="D13" s="16"/>
      <c r="E13" s="16"/>
      <c r="F13" s="16"/>
      <c r="G13" s="16"/>
      <c r="H13" s="16"/>
      <c r="I13" s="82">
        <f t="shared" si="0"/>
        <v>0</v>
      </c>
      <c r="J13" s="83"/>
      <c r="K13" s="83"/>
      <c r="L13" s="83"/>
      <c r="M13" s="83"/>
      <c r="N13" s="83"/>
    </row>
    <row r="14" spans="1:15" s="74" customFormat="1" ht="12.75" hidden="1" x14ac:dyDescent="0.25">
      <c r="A14" s="18"/>
      <c r="B14" s="54" t="s">
        <v>30</v>
      </c>
      <c r="C14" s="21">
        <f t="shared" si="2"/>
        <v>0</v>
      </c>
      <c r="D14" s="16"/>
      <c r="E14" s="16"/>
      <c r="F14" s="16"/>
      <c r="G14" s="16"/>
      <c r="H14" s="16"/>
      <c r="I14" s="82">
        <f t="shared" si="0"/>
        <v>0</v>
      </c>
      <c r="J14" s="83"/>
      <c r="K14" s="83"/>
      <c r="L14" s="83"/>
      <c r="M14" s="83"/>
      <c r="N14" s="83"/>
    </row>
    <row r="15" spans="1:15" s="74" customFormat="1" ht="12.75" hidden="1" x14ac:dyDescent="0.25">
      <c r="A15" s="18"/>
      <c r="B15" s="54" t="s">
        <v>31</v>
      </c>
      <c r="C15" s="21">
        <f t="shared" si="2"/>
        <v>0</v>
      </c>
      <c r="D15" s="16"/>
      <c r="E15" s="16"/>
      <c r="F15" s="16"/>
      <c r="G15" s="16"/>
      <c r="H15" s="16"/>
      <c r="I15" s="82">
        <f t="shared" si="0"/>
        <v>0</v>
      </c>
      <c r="J15" s="83"/>
      <c r="K15" s="83"/>
      <c r="L15" s="83"/>
      <c r="M15" s="83"/>
      <c r="N15" s="83"/>
    </row>
    <row r="16" spans="1:15" s="74" customFormat="1" ht="25.5" hidden="1" x14ac:dyDescent="0.25">
      <c r="A16" s="20" t="s">
        <v>32</v>
      </c>
      <c r="B16" s="61" t="s">
        <v>33</v>
      </c>
      <c r="C16" s="21">
        <f t="shared" si="2"/>
        <v>0</v>
      </c>
      <c r="D16" s="21"/>
      <c r="E16" s="21"/>
      <c r="F16" s="21"/>
      <c r="G16" s="21"/>
      <c r="H16" s="21"/>
      <c r="I16" s="82">
        <f t="shared" si="0"/>
        <v>0</v>
      </c>
      <c r="J16" s="82"/>
      <c r="K16" s="82"/>
      <c r="L16" s="82"/>
      <c r="M16" s="82"/>
      <c r="N16" s="82"/>
    </row>
    <row r="17" spans="1:14" s="74" customFormat="1" ht="12.75" hidden="1" x14ac:dyDescent="0.25">
      <c r="A17" s="20" t="s">
        <v>34</v>
      </c>
      <c r="B17" s="61" t="s">
        <v>35</v>
      </c>
      <c r="C17" s="21">
        <f t="shared" si="2"/>
        <v>0</v>
      </c>
      <c r="D17" s="21"/>
      <c r="E17" s="21"/>
      <c r="F17" s="21"/>
      <c r="G17" s="21"/>
      <c r="H17" s="21"/>
      <c r="I17" s="82">
        <f t="shared" si="0"/>
        <v>0</v>
      </c>
      <c r="J17" s="82"/>
      <c r="K17" s="82"/>
      <c r="L17" s="82"/>
      <c r="M17" s="82"/>
      <c r="N17" s="82"/>
    </row>
    <row r="18" spans="1:14" s="74" customFormat="1" ht="12.75" hidden="1" x14ac:dyDescent="0.25">
      <c r="A18" s="20" t="s">
        <v>36</v>
      </c>
      <c r="B18" s="61" t="s">
        <v>37</v>
      </c>
      <c r="C18" s="21">
        <f t="shared" si="2"/>
        <v>0</v>
      </c>
      <c r="D18" s="21"/>
      <c r="E18" s="21"/>
      <c r="F18" s="21"/>
      <c r="G18" s="21"/>
      <c r="H18" s="21"/>
      <c r="I18" s="82">
        <f t="shared" si="0"/>
        <v>0</v>
      </c>
      <c r="J18" s="82"/>
      <c r="K18" s="82"/>
      <c r="L18" s="82"/>
      <c r="M18" s="82"/>
      <c r="N18" s="82"/>
    </row>
    <row r="19" spans="1:14" s="74" customFormat="1" ht="25.5" hidden="1" x14ac:dyDescent="0.25">
      <c r="A19" s="20" t="s">
        <v>38</v>
      </c>
      <c r="B19" s="61" t="s">
        <v>39</v>
      </c>
      <c r="C19" s="21">
        <f t="shared" si="2"/>
        <v>0</v>
      </c>
      <c r="D19" s="21"/>
      <c r="E19" s="21"/>
      <c r="F19" s="21"/>
      <c r="G19" s="21"/>
      <c r="H19" s="21">
        <v>0</v>
      </c>
      <c r="I19" s="82">
        <f t="shared" si="0"/>
        <v>0</v>
      </c>
      <c r="J19" s="82"/>
      <c r="K19" s="82"/>
      <c r="L19" s="82"/>
      <c r="M19" s="82"/>
      <c r="N19" s="82"/>
    </row>
    <row r="20" spans="1:14" s="74" customFormat="1" ht="12.75" hidden="1" x14ac:dyDescent="0.25">
      <c r="A20" s="20"/>
      <c r="B20" s="54" t="s">
        <v>40</v>
      </c>
      <c r="C20" s="21">
        <f t="shared" si="2"/>
        <v>0</v>
      </c>
      <c r="D20" s="16"/>
      <c r="E20" s="16"/>
      <c r="F20" s="16"/>
      <c r="G20" s="16"/>
      <c r="H20" s="16"/>
      <c r="I20" s="82">
        <f t="shared" si="0"/>
        <v>0</v>
      </c>
      <c r="J20" s="83"/>
      <c r="K20" s="83"/>
      <c r="L20" s="83"/>
      <c r="M20" s="83"/>
      <c r="N20" s="83"/>
    </row>
    <row r="21" spans="1:14" s="74" customFormat="1" ht="12.75" hidden="1" x14ac:dyDescent="0.25">
      <c r="A21" s="20"/>
      <c r="B21" s="54" t="s">
        <v>41</v>
      </c>
      <c r="C21" s="21">
        <f t="shared" si="2"/>
        <v>0</v>
      </c>
      <c r="D21" s="16"/>
      <c r="E21" s="16"/>
      <c r="F21" s="16"/>
      <c r="G21" s="16"/>
      <c r="H21" s="16"/>
      <c r="I21" s="82">
        <f t="shared" si="0"/>
        <v>0</v>
      </c>
      <c r="J21" s="83"/>
      <c r="K21" s="83"/>
      <c r="L21" s="83"/>
      <c r="M21" s="83"/>
      <c r="N21" s="83"/>
    </row>
    <row r="22" spans="1:14" s="74" customFormat="1" ht="12.75" hidden="1" x14ac:dyDescent="0.25">
      <c r="A22" s="20"/>
      <c r="B22" s="54" t="s">
        <v>42</v>
      </c>
      <c r="C22" s="21">
        <f t="shared" si="2"/>
        <v>0</v>
      </c>
      <c r="D22" s="16"/>
      <c r="E22" s="16"/>
      <c r="F22" s="16"/>
      <c r="G22" s="16"/>
      <c r="H22" s="16"/>
      <c r="I22" s="82">
        <f t="shared" si="0"/>
        <v>0</v>
      </c>
      <c r="J22" s="83"/>
      <c r="K22" s="83"/>
      <c r="L22" s="83"/>
      <c r="M22" s="83"/>
      <c r="N22" s="83"/>
    </row>
    <row r="23" spans="1:14" s="74" customFormat="1" ht="12.75" hidden="1" x14ac:dyDescent="0.25">
      <c r="A23" s="20"/>
      <c r="B23" s="54" t="s">
        <v>43</v>
      </c>
      <c r="C23" s="21">
        <f t="shared" si="2"/>
        <v>0</v>
      </c>
      <c r="D23" s="16"/>
      <c r="E23" s="16"/>
      <c r="F23" s="16"/>
      <c r="G23" s="16"/>
      <c r="H23" s="16"/>
      <c r="I23" s="82">
        <f t="shared" si="0"/>
        <v>0</v>
      </c>
      <c r="J23" s="83"/>
      <c r="K23" s="83"/>
      <c r="L23" s="83"/>
      <c r="M23" s="83"/>
      <c r="N23" s="83"/>
    </row>
    <row r="24" spans="1:14" s="74" customFormat="1" ht="12.75" hidden="1" x14ac:dyDescent="0.25">
      <c r="A24" s="20"/>
      <c r="B24" s="54" t="s">
        <v>44</v>
      </c>
      <c r="C24" s="21">
        <f t="shared" si="2"/>
        <v>0</v>
      </c>
      <c r="D24" s="16"/>
      <c r="E24" s="16"/>
      <c r="F24" s="16"/>
      <c r="G24" s="16"/>
      <c r="H24" s="16"/>
      <c r="I24" s="82">
        <f t="shared" si="0"/>
        <v>0</v>
      </c>
      <c r="J24" s="83"/>
      <c r="K24" s="83"/>
      <c r="L24" s="83"/>
      <c r="M24" s="83"/>
      <c r="N24" s="83"/>
    </row>
    <row r="25" spans="1:14" s="74" customFormat="1" ht="12.75" hidden="1" x14ac:dyDescent="0.25">
      <c r="A25" s="20" t="s">
        <v>45</v>
      </c>
      <c r="B25" s="61" t="s">
        <v>46</v>
      </c>
      <c r="C25" s="21">
        <f t="shared" si="2"/>
        <v>0</v>
      </c>
      <c r="D25" s="21"/>
      <c r="E25" s="21"/>
      <c r="F25" s="21"/>
      <c r="G25" s="21"/>
      <c r="H25" s="21"/>
      <c r="I25" s="82">
        <f t="shared" si="0"/>
        <v>0</v>
      </c>
      <c r="J25" s="82"/>
      <c r="K25" s="82"/>
      <c r="L25" s="82"/>
      <c r="M25" s="82"/>
      <c r="N25" s="82"/>
    </row>
    <row r="26" spans="1:14" s="74" customFormat="1" ht="12.75" hidden="1" x14ac:dyDescent="0.25">
      <c r="A26" s="20" t="s">
        <v>47</v>
      </c>
      <c r="B26" s="61" t="s">
        <v>48</v>
      </c>
      <c r="C26" s="21">
        <f t="shared" si="2"/>
        <v>0</v>
      </c>
      <c r="D26" s="21"/>
      <c r="E26" s="21"/>
      <c r="F26" s="21"/>
      <c r="G26" s="21"/>
      <c r="H26" s="21"/>
      <c r="I26" s="82">
        <f t="shared" si="0"/>
        <v>0</v>
      </c>
      <c r="J26" s="82"/>
      <c r="K26" s="82"/>
      <c r="L26" s="82"/>
      <c r="M26" s="82"/>
      <c r="N26" s="82"/>
    </row>
    <row r="27" spans="1:14" s="74" customFormat="1" ht="12.75" x14ac:dyDescent="0.25">
      <c r="A27" s="20" t="s">
        <v>49</v>
      </c>
      <c r="B27" s="61" t="s">
        <v>50</v>
      </c>
      <c r="C27" s="21">
        <f t="shared" si="2"/>
        <v>58639612.399999999</v>
      </c>
      <c r="D27" s="21">
        <v>8484977</v>
      </c>
      <c r="E27" s="21">
        <v>3055647</v>
      </c>
      <c r="F27" s="21">
        <v>7537873</v>
      </c>
      <c r="G27" s="21">
        <v>36707967</v>
      </c>
      <c r="H27" s="21">
        <v>2853148.4</v>
      </c>
      <c r="I27" s="82">
        <f t="shared" si="0"/>
        <v>58639.612399999998</v>
      </c>
      <c r="J27" s="82">
        <f t="shared" ref="J27:N27" si="3">D27/1000</f>
        <v>8484.9770000000008</v>
      </c>
      <c r="K27" s="82">
        <f t="shared" si="3"/>
        <v>3055.6469999999999</v>
      </c>
      <c r="L27" s="82">
        <f t="shared" si="3"/>
        <v>7537.8729999999996</v>
      </c>
      <c r="M27" s="82">
        <f t="shared" si="3"/>
        <v>36707.966999999997</v>
      </c>
      <c r="N27" s="82">
        <f t="shared" si="3"/>
        <v>2853.1484</v>
      </c>
    </row>
    <row r="28" spans="1:14" s="74" customFormat="1" ht="12.75" hidden="1" x14ac:dyDescent="0.25">
      <c r="A28" s="18"/>
      <c r="B28" s="54" t="s">
        <v>51</v>
      </c>
      <c r="C28" s="21">
        <f t="shared" si="2"/>
        <v>2800000</v>
      </c>
      <c r="D28" s="16"/>
      <c r="E28" s="16"/>
      <c r="F28" s="16"/>
      <c r="G28" s="16"/>
      <c r="H28" s="16">
        <v>2800000</v>
      </c>
      <c r="I28" s="82">
        <f t="shared" ref="I28:I36" si="4">C28/1000</f>
        <v>2800</v>
      </c>
      <c r="J28" s="83">
        <f t="shared" ref="J28:J36" si="5">D28/1000</f>
        <v>0</v>
      </c>
      <c r="K28" s="83">
        <f t="shared" ref="K28:K36" si="6">E28/1000</f>
        <v>0</v>
      </c>
      <c r="L28" s="83">
        <f t="shared" ref="L28:L36" si="7">F28/1000</f>
        <v>0</v>
      </c>
      <c r="M28" s="83">
        <f t="shared" ref="M28:M36" si="8">G28/1000</f>
        <v>0</v>
      </c>
      <c r="N28" s="83">
        <f t="shared" ref="N28:N36" si="9">H28/1000</f>
        <v>2800</v>
      </c>
    </row>
    <row r="29" spans="1:14" s="74" customFormat="1" ht="12.75" hidden="1" x14ac:dyDescent="0.25">
      <c r="A29" s="18"/>
      <c r="B29" s="54" t="s">
        <v>52</v>
      </c>
      <c r="C29" s="21">
        <f t="shared" si="2"/>
        <v>53148.4</v>
      </c>
      <c r="D29" s="16"/>
      <c r="E29" s="16"/>
      <c r="F29" s="16"/>
      <c r="G29" s="16"/>
      <c r="H29" s="16">
        <v>53148.4</v>
      </c>
      <c r="I29" s="82">
        <f t="shared" si="4"/>
        <v>53.148400000000002</v>
      </c>
      <c r="J29" s="83">
        <f t="shared" si="5"/>
        <v>0</v>
      </c>
      <c r="K29" s="83">
        <f t="shared" si="6"/>
        <v>0</v>
      </c>
      <c r="L29" s="83">
        <f t="shared" si="7"/>
        <v>0</v>
      </c>
      <c r="M29" s="83">
        <f t="shared" si="8"/>
        <v>0</v>
      </c>
      <c r="N29" s="83">
        <f t="shared" si="9"/>
        <v>53.148400000000002</v>
      </c>
    </row>
    <row r="30" spans="1:14" s="74" customFormat="1" ht="11.25" hidden="1" customHeight="1" x14ac:dyDescent="0.25">
      <c r="A30" s="18"/>
      <c r="B30" s="54" t="s">
        <v>53</v>
      </c>
      <c r="C30" s="21">
        <f t="shared" si="2"/>
        <v>0</v>
      </c>
      <c r="D30" s="16"/>
      <c r="E30" s="16"/>
      <c r="F30" s="16"/>
      <c r="G30" s="16"/>
      <c r="H30" s="16"/>
      <c r="I30" s="82">
        <f t="shared" si="4"/>
        <v>0</v>
      </c>
      <c r="J30" s="83">
        <f t="shared" si="5"/>
        <v>0</v>
      </c>
      <c r="K30" s="83">
        <f t="shared" si="6"/>
        <v>0</v>
      </c>
      <c r="L30" s="83">
        <f t="shared" si="7"/>
        <v>0</v>
      </c>
      <c r="M30" s="83">
        <f t="shared" si="8"/>
        <v>0</v>
      </c>
      <c r="N30" s="83">
        <f t="shared" si="9"/>
        <v>0</v>
      </c>
    </row>
    <row r="31" spans="1:14" s="74" customFormat="1" ht="12.75" hidden="1" customHeight="1" x14ac:dyDescent="0.25">
      <c r="A31" s="18"/>
      <c r="B31" s="54" t="s">
        <v>54</v>
      </c>
      <c r="C31" s="21">
        <f t="shared" si="2"/>
        <v>0</v>
      </c>
      <c r="D31" s="16"/>
      <c r="E31" s="16"/>
      <c r="F31" s="16"/>
      <c r="G31" s="16"/>
      <c r="H31" s="16"/>
      <c r="I31" s="82">
        <f t="shared" si="4"/>
        <v>0</v>
      </c>
      <c r="J31" s="83">
        <f t="shared" si="5"/>
        <v>0</v>
      </c>
      <c r="K31" s="83">
        <f t="shared" si="6"/>
        <v>0</v>
      </c>
      <c r="L31" s="83">
        <f t="shared" si="7"/>
        <v>0</v>
      </c>
      <c r="M31" s="83">
        <f t="shared" si="8"/>
        <v>0</v>
      </c>
      <c r="N31" s="83">
        <f t="shared" si="9"/>
        <v>0</v>
      </c>
    </row>
    <row r="32" spans="1:14" s="74" customFormat="1" ht="51" x14ac:dyDescent="0.25">
      <c r="A32" s="20" t="s">
        <v>55</v>
      </c>
      <c r="B32" s="61" t="s">
        <v>56</v>
      </c>
      <c r="C32" s="21">
        <f t="shared" si="2"/>
        <v>22749724.421742</v>
      </c>
      <c r="D32" s="21">
        <v>1223188</v>
      </c>
      <c r="E32" s="21">
        <v>4571653</v>
      </c>
      <c r="F32" s="21">
        <v>8591699</v>
      </c>
      <c r="G32" s="21">
        <v>3107229</v>
      </c>
      <c r="H32" s="21">
        <v>5255955.4217419997</v>
      </c>
      <c r="I32" s="82">
        <f t="shared" si="4"/>
        <v>22749.724421742001</v>
      </c>
      <c r="J32" s="82">
        <f t="shared" si="5"/>
        <v>1223.1880000000001</v>
      </c>
      <c r="K32" s="82">
        <f t="shared" si="6"/>
        <v>4571.6530000000002</v>
      </c>
      <c r="L32" s="82">
        <f t="shared" si="7"/>
        <v>8591.6990000000005</v>
      </c>
      <c r="M32" s="82">
        <f t="shared" si="8"/>
        <v>3107.2289999999998</v>
      </c>
      <c r="N32" s="82">
        <f t="shared" si="9"/>
        <v>5255.955421742</v>
      </c>
    </row>
    <row r="33" spans="1:16" s="74" customFormat="1" ht="38.25" x14ac:dyDescent="0.25">
      <c r="A33" s="20" t="s">
        <v>57</v>
      </c>
      <c r="B33" s="61" t="s">
        <v>58</v>
      </c>
      <c r="C33" s="21">
        <f t="shared" si="2"/>
        <v>13659479.24</v>
      </c>
      <c r="D33" s="21">
        <v>1938073</v>
      </c>
      <c r="E33" s="21">
        <v>2929087</v>
      </c>
      <c r="F33" s="21">
        <v>3799237</v>
      </c>
      <c r="G33" s="21">
        <v>3630957</v>
      </c>
      <c r="H33" s="21">
        <v>1362125.24</v>
      </c>
      <c r="I33" s="82">
        <f t="shared" si="4"/>
        <v>13659.479240000001</v>
      </c>
      <c r="J33" s="82">
        <f t="shared" si="5"/>
        <v>1938.0730000000001</v>
      </c>
      <c r="K33" s="82">
        <f t="shared" si="6"/>
        <v>2929.087</v>
      </c>
      <c r="L33" s="82">
        <f t="shared" si="7"/>
        <v>3799.2370000000001</v>
      </c>
      <c r="M33" s="82">
        <f t="shared" si="8"/>
        <v>3630.9569999999999</v>
      </c>
      <c r="N33" s="82">
        <f t="shared" si="9"/>
        <v>1362.1252400000001</v>
      </c>
    </row>
    <row r="34" spans="1:16" s="74" customFormat="1" ht="63.75" x14ac:dyDescent="0.25">
      <c r="A34" s="20" t="s">
        <v>59</v>
      </c>
      <c r="B34" s="61" t="s">
        <v>60</v>
      </c>
      <c r="C34" s="21">
        <f t="shared" si="2"/>
        <v>3808468.8797680084</v>
      </c>
      <c r="D34" s="21">
        <v>82034</v>
      </c>
      <c r="E34" s="21">
        <v>496328</v>
      </c>
      <c r="F34" s="21">
        <v>785916</v>
      </c>
      <c r="G34" s="21">
        <v>1177023</v>
      </c>
      <c r="H34" s="21">
        <v>1267167.8797680086</v>
      </c>
      <c r="I34" s="82">
        <f t="shared" si="4"/>
        <v>3808.4688797680083</v>
      </c>
      <c r="J34" s="82">
        <f t="shared" si="5"/>
        <v>82.034000000000006</v>
      </c>
      <c r="K34" s="82">
        <f t="shared" si="6"/>
        <v>496.32799999999997</v>
      </c>
      <c r="L34" s="82">
        <f t="shared" si="7"/>
        <v>785.91600000000005</v>
      </c>
      <c r="M34" s="82">
        <f t="shared" si="8"/>
        <v>1177.0229999999999</v>
      </c>
      <c r="N34" s="82">
        <f t="shared" si="9"/>
        <v>1267.1678797680086</v>
      </c>
    </row>
    <row r="35" spans="1:16" s="74" customFormat="1" ht="12.75" x14ac:dyDescent="0.25">
      <c r="A35" s="20" t="s">
        <v>61</v>
      </c>
      <c r="B35" s="61" t="s">
        <v>62</v>
      </c>
      <c r="C35" s="21">
        <f t="shared" si="2"/>
        <v>211879</v>
      </c>
      <c r="D35" s="21">
        <v>3200</v>
      </c>
      <c r="E35" s="21">
        <v>2579</v>
      </c>
      <c r="F35" s="21">
        <v>102150</v>
      </c>
      <c r="G35" s="21">
        <v>103950</v>
      </c>
      <c r="H35" s="21"/>
      <c r="I35" s="82">
        <f t="shared" si="4"/>
        <v>211.87899999999999</v>
      </c>
      <c r="J35" s="82">
        <f t="shared" si="5"/>
        <v>3.2</v>
      </c>
      <c r="K35" s="82">
        <f t="shared" si="6"/>
        <v>2.5790000000000002</v>
      </c>
      <c r="L35" s="82">
        <f t="shared" si="7"/>
        <v>102.15</v>
      </c>
      <c r="M35" s="82">
        <f t="shared" si="8"/>
        <v>103.95</v>
      </c>
      <c r="N35" s="82">
        <f t="shared" si="9"/>
        <v>0</v>
      </c>
    </row>
    <row r="36" spans="1:16" s="76" customFormat="1" ht="12.75" x14ac:dyDescent="0.25">
      <c r="A36" s="75"/>
      <c r="B36" s="61"/>
      <c r="C36" s="21">
        <f t="shared" si="2"/>
        <v>242201146.60151002</v>
      </c>
      <c r="D36" s="21">
        <f>SUM(D4:D35)</f>
        <v>36418090</v>
      </c>
      <c r="E36" s="21">
        <f>SUM(E4:E35)</f>
        <v>37829340</v>
      </c>
      <c r="F36" s="21">
        <f>SUM(F4:F35)</f>
        <v>47016695</v>
      </c>
      <c r="G36" s="21">
        <f>SUM(G4:G35)</f>
        <v>74249042</v>
      </c>
      <c r="H36" s="21">
        <f>SUM(H4:H35)</f>
        <v>46687979.601510011</v>
      </c>
      <c r="I36" s="82">
        <f t="shared" si="4"/>
        <v>242201.14660151003</v>
      </c>
      <c r="J36" s="82">
        <f t="shared" si="5"/>
        <v>36418.089999999997</v>
      </c>
      <c r="K36" s="82">
        <f t="shared" si="6"/>
        <v>37829.339999999997</v>
      </c>
      <c r="L36" s="82">
        <f t="shared" si="7"/>
        <v>47016.695</v>
      </c>
      <c r="M36" s="82">
        <f t="shared" si="8"/>
        <v>74249.042000000001</v>
      </c>
      <c r="N36" s="82">
        <f t="shared" si="9"/>
        <v>46687.979601510007</v>
      </c>
      <c r="O36" s="74"/>
    </row>
    <row r="37" spans="1:16" x14ac:dyDescent="0.2">
      <c r="A37" s="77"/>
      <c r="B37" s="78"/>
      <c r="C37" s="79"/>
      <c r="D37" s="79"/>
      <c r="E37" s="79"/>
      <c r="F37" s="79"/>
      <c r="G37" s="79"/>
      <c r="H37" s="79"/>
      <c r="I37" s="84"/>
      <c r="J37" s="84"/>
      <c r="K37" s="84"/>
      <c r="L37" s="84"/>
      <c r="M37" s="84"/>
      <c r="N37" s="84"/>
    </row>
    <row r="38" spans="1:16" x14ac:dyDescent="0.2">
      <c r="C38" s="70"/>
      <c r="D38" s="70"/>
      <c r="E38" s="70"/>
      <c r="F38" s="70"/>
      <c r="G38" s="70"/>
      <c r="H38" s="70"/>
      <c r="I38" s="85"/>
      <c r="J38" s="85"/>
      <c r="K38" s="85"/>
      <c r="L38" s="85"/>
      <c r="M38" s="85"/>
      <c r="N38" s="85"/>
    </row>
    <row r="39" spans="1:16" s="81" customFormat="1" x14ac:dyDescent="0.2">
      <c r="A39" s="71"/>
      <c r="B39" s="80"/>
      <c r="C39" s="70"/>
      <c r="D39" s="70"/>
      <c r="E39" s="70"/>
      <c r="F39" s="70"/>
      <c r="G39" s="70"/>
      <c r="H39" s="70"/>
      <c r="I39" s="85"/>
      <c r="J39" s="85"/>
      <c r="K39" s="85"/>
      <c r="L39" s="85"/>
      <c r="M39" s="85"/>
      <c r="N39" s="85"/>
      <c r="O39" s="71"/>
      <c r="P39" s="71"/>
    </row>
  </sheetData>
  <mergeCells count="14">
    <mergeCell ref="A1:A3"/>
    <mergeCell ref="B1:B2"/>
    <mergeCell ref="C1:C2"/>
    <mergeCell ref="D1:D2"/>
    <mergeCell ref="E1:E2"/>
    <mergeCell ref="L1:L2"/>
    <mergeCell ref="M1:M2"/>
    <mergeCell ref="N1:N2"/>
    <mergeCell ref="F1:F2"/>
    <mergeCell ref="G1:G2"/>
    <mergeCell ref="H1:H2"/>
    <mergeCell ref="I1:I2"/>
    <mergeCell ref="J1:J2"/>
    <mergeCell ref="K1:K2"/>
  </mergeCells>
  <pageMargins left="0" right="0" top="0" bottom="0" header="0.31496062992125984" footer="0.31496062992125984"/>
  <pageSetup paperSize="9" orientation="landscape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C7F49-3F40-43FB-9890-21837A5B069C}">
  <sheetPr codeName="Лист3">
    <tabColor rgb="FF00B0F0"/>
  </sheetPr>
  <dimension ref="A1:R39"/>
  <sheetViews>
    <sheetView workbookViewId="0">
      <selection activeCell="C18" sqref="C18"/>
    </sheetView>
  </sheetViews>
  <sheetFormatPr defaultColWidth="14.140625" defaultRowHeight="11.25" x14ac:dyDescent="0.2"/>
  <cols>
    <col min="1" max="1" width="6.140625" style="9" customWidth="1"/>
    <col min="2" max="2" width="40.140625" style="58" customWidth="1"/>
    <col min="3" max="4" width="21.140625" style="9" customWidth="1"/>
    <col min="5" max="5" width="21.140625" style="93" customWidth="1"/>
    <col min="6" max="11" width="21.140625" style="9" customWidth="1"/>
    <col min="12" max="16384" width="14.140625" style="9"/>
  </cols>
  <sheetData>
    <row r="1" spans="1:11" s="3" customFormat="1" ht="30" customHeight="1" x14ac:dyDescent="0.25">
      <c r="A1" s="105"/>
      <c r="B1" s="102" t="s">
        <v>126</v>
      </c>
      <c r="C1" s="111" t="s">
        <v>13</v>
      </c>
      <c r="D1" s="100" t="s">
        <v>125</v>
      </c>
      <c r="E1" s="113" t="s">
        <v>79</v>
      </c>
      <c r="F1" s="100" t="s">
        <v>78</v>
      </c>
      <c r="G1" s="100" t="s">
        <v>121</v>
      </c>
      <c r="H1" s="100" t="s">
        <v>122</v>
      </c>
      <c r="I1" s="100" t="s">
        <v>123</v>
      </c>
      <c r="J1" s="100" t="s">
        <v>124</v>
      </c>
      <c r="K1" s="100" t="s">
        <v>72</v>
      </c>
    </row>
    <row r="2" spans="1:11" x14ac:dyDescent="0.2">
      <c r="A2" s="106"/>
      <c r="B2" s="104"/>
      <c r="C2" s="112"/>
      <c r="D2" s="101"/>
      <c r="E2" s="114"/>
      <c r="F2" s="101"/>
      <c r="G2" s="101"/>
      <c r="H2" s="101"/>
      <c r="I2" s="101"/>
      <c r="J2" s="101"/>
      <c r="K2" s="101"/>
    </row>
    <row r="3" spans="1:11" x14ac:dyDescent="0.2">
      <c r="A3" s="107"/>
      <c r="B3" s="53"/>
      <c r="C3" s="96"/>
      <c r="D3" s="46"/>
      <c r="E3" s="87"/>
      <c r="F3" s="46"/>
      <c r="G3" s="46"/>
      <c r="H3" s="46"/>
      <c r="I3" s="46"/>
      <c r="J3" s="46"/>
      <c r="K3" s="46"/>
    </row>
    <row r="4" spans="1:11" s="3" customFormat="1" ht="12.75" hidden="1" customHeight="1" x14ac:dyDescent="0.25">
      <c r="A4" s="10" t="s">
        <v>15</v>
      </c>
      <c r="B4" s="23" t="s">
        <v>16</v>
      </c>
      <c r="C4" s="97"/>
      <c r="D4" s="12"/>
      <c r="E4" s="88"/>
      <c r="F4" s="12"/>
      <c r="G4" s="12"/>
      <c r="H4" s="12"/>
      <c r="I4" s="12"/>
      <c r="J4" s="12"/>
      <c r="K4" s="12">
        <v>0</v>
      </c>
    </row>
    <row r="5" spans="1:11" s="3" customFormat="1" ht="12.75" hidden="1" customHeight="1" x14ac:dyDescent="0.25">
      <c r="A5" s="10" t="s">
        <v>19</v>
      </c>
      <c r="B5" s="23" t="s">
        <v>20</v>
      </c>
      <c r="C5" s="97"/>
      <c r="D5" s="12"/>
      <c r="E5" s="88"/>
      <c r="F5" s="12"/>
      <c r="G5" s="12"/>
      <c r="H5" s="12"/>
      <c r="I5" s="12"/>
      <c r="J5" s="12"/>
      <c r="K5" s="12">
        <v>0</v>
      </c>
    </row>
    <row r="6" spans="1:11" s="3" customFormat="1" ht="11.25" hidden="1" customHeight="1" x14ac:dyDescent="0.25">
      <c r="A6" s="18"/>
      <c r="B6" s="54" t="s">
        <v>21</v>
      </c>
      <c r="C6" s="98"/>
      <c r="D6" s="16"/>
      <c r="E6" s="89"/>
      <c r="F6" s="16"/>
      <c r="G6" s="16"/>
      <c r="H6" s="16"/>
      <c r="I6" s="16"/>
      <c r="J6" s="16"/>
      <c r="K6" s="16"/>
    </row>
    <row r="7" spans="1:11" s="3" customFormat="1" ht="11.25" hidden="1" customHeight="1" x14ac:dyDescent="0.25">
      <c r="A7" s="18"/>
      <c r="B7" s="54" t="s">
        <v>22</v>
      </c>
      <c r="C7" s="98"/>
      <c r="D7" s="16"/>
      <c r="E7" s="89"/>
      <c r="F7" s="16"/>
      <c r="G7" s="16"/>
      <c r="H7" s="16"/>
      <c r="I7" s="16"/>
      <c r="J7" s="16"/>
      <c r="K7" s="16"/>
    </row>
    <row r="8" spans="1:11" s="19" customFormat="1" ht="12.75" x14ac:dyDescent="0.25">
      <c r="A8" s="10" t="s">
        <v>23</v>
      </c>
      <c r="B8" s="23" t="s">
        <v>24</v>
      </c>
      <c r="C8" s="97">
        <f>63544850.4+12198348</f>
        <v>75743198.400000006</v>
      </c>
      <c r="D8" s="12">
        <f>E8+F8</f>
        <v>51509921.6677076</v>
      </c>
      <c r="E8" s="88">
        <v>17046241</v>
      </c>
      <c r="F8" s="12">
        <f>G8+H8+I8+J8+K8</f>
        <v>34463680.6677076</v>
      </c>
      <c r="G8" s="12">
        <v>9600000</v>
      </c>
      <c r="H8" s="12">
        <v>2543700</v>
      </c>
      <c r="I8" s="12">
        <v>22319980.6677076</v>
      </c>
      <c r="J8" s="12">
        <v>0</v>
      </c>
      <c r="K8" s="12">
        <v>0</v>
      </c>
    </row>
    <row r="9" spans="1:11" s="3" customFormat="1" ht="12.75" hidden="1" customHeight="1" x14ac:dyDescent="0.25">
      <c r="A9" s="18"/>
      <c r="B9" s="54" t="s">
        <v>119</v>
      </c>
      <c r="C9" s="97"/>
      <c r="D9" s="12"/>
      <c r="E9" s="88"/>
      <c r="F9" s="12">
        <f t="shared" ref="F9:F35" si="0">G9+H9+I9+J9+K9</f>
        <v>0</v>
      </c>
      <c r="G9" s="16"/>
      <c r="H9" s="16"/>
      <c r="I9" s="16"/>
      <c r="J9" s="16"/>
      <c r="K9" s="16"/>
    </row>
    <row r="10" spans="1:11" s="3" customFormat="1" ht="12.75" hidden="1" customHeight="1" x14ac:dyDescent="0.25">
      <c r="A10" s="18"/>
      <c r="B10" s="54" t="s">
        <v>26</v>
      </c>
      <c r="C10" s="97"/>
      <c r="D10" s="12"/>
      <c r="E10" s="88"/>
      <c r="F10" s="12">
        <f t="shared" si="0"/>
        <v>0</v>
      </c>
      <c r="G10" s="16"/>
      <c r="H10" s="16"/>
      <c r="I10" s="16"/>
      <c r="J10" s="16"/>
      <c r="K10" s="16"/>
    </row>
    <row r="11" spans="1:11" s="3" customFormat="1" ht="12.75" hidden="1" customHeight="1" x14ac:dyDescent="0.25">
      <c r="A11" s="18"/>
      <c r="B11" s="54" t="s">
        <v>27</v>
      </c>
      <c r="C11" s="97"/>
      <c r="D11" s="12"/>
      <c r="E11" s="88"/>
      <c r="F11" s="12">
        <f t="shared" si="0"/>
        <v>0</v>
      </c>
      <c r="G11" s="16"/>
      <c r="H11" s="16"/>
      <c r="I11" s="16"/>
      <c r="J11" s="16"/>
      <c r="K11" s="16"/>
    </row>
    <row r="12" spans="1:11" s="3" customFormat="1" ht="12.75" hidden="1" customHeight="1" x14ac:dyDescent="0.25">
      <c r="A12" s="18"/>
      <c r="B12" s="54" t="s">
        <v>28</v>
      </c>
      <c r="C12" s="97"/>
      <c r="D12" s="12"/>
      <c r="E12" s="88"/>
      <c r="F12" s="12">
        <f t="shared" si="0"/>
        <v>0</v>
      </c>
      <c r="G12" s="16"/>
      <c r="H12" s="16"/>
      <c r="I12" s="16"/>
      <c r="J12" s="16"/>
      <c r="K12" s="16"/>
    </row>
    <row r="13" spans="1:11" s="3" customFormat="1" ht="12.75" hidden="1" customHeight="1" x14ac:dyDescent="0.25">
      <c r="A13" s="18"/>
      <c r="B13" s="54" t="s">
        <v>29</v>
      </c>
      <c r="C13" s="97"/>
      <c r="D13" s="12"/>
      <c r="E13" s="88"/>
      <c r="F13" s="12">
        <f t="shared" si="0"/>
        <v>0</v>
      </c>
      <c r="G13" s="16"/>
      <c r="H13" s="16"/>
      <c r="I13" s="16"/>
      <c r="J13" s="16"/>
      <c r="K13" s="16"/>
    </row>
    <row r="14" spans="1:11" s="3" customFormat="1" ht="12.75" hidden="1" customHeight="1" x14ac:dyDescent="0.25">
      <c r="A14" s="18"/>
      <c r="B14" s="54" t="s">
        <v>30</v>
      </c>
      <c r="C14" s="97"/>
      <c r="D14" s="12"/>
      <c r="E14" s="88"/>
      <c r="F14" s="12">
        <f t="shared" si="0"/>
        <v>0</v>
      </c>
      <c r="G14" s="16"/>
      <c r="H14" s="16"/>
      <c r="I14" s="16"/>
      <c r="J14" s="16"/>
      <c r="K14" s="16"/>
    </row>
    <row r="15" spans="1:11" s="3" customFormat="1" ht="12.75" hidden="1" customHeight="1" x14ac:dyDescent="0.25">
      <c r="A15" s="18"/>
      <c r="B15" s="54" t="s">
        <v>31</v>
      </c>
      <c r="C15" s="97"/>
      <c r="D15" s="12"/>
      <c r="E15" s="88"/>
      <c r="F15" s="12">
        <f t="shared" si="0"/>
        <v>0</v>
      </c>
      <c r="G15" s="16"/>
      <c r="H15" s="16"/>
      <c r="I15" s="16"/>
      <c r="J15" s="16"/>
      <c r="K15" s="16"/>
    </row>
    <row r="16" spans="1:11" s="3" customFormat="1" ht="25.5" x14ac:dyDescent="0.25">
      <c r="A16" s="10" t="s">
        <v>32</v>
      </c>
      <c r="B16" s="23" t="s">
        <v>33</v>
      </c>
      <c r="C16" s="97">
        <v>56465936.649999999</v>
      </c>
      <c r="D16" s="12">
        <f t="shared" ref="D16:D36" si="1">E16+F16</f>
        <v>18312564</v>
      </c>
      <c r="E16" s="88">
        <v>2812145</v>
      </c>
      <c r="F16" s="12">
        <f t="shared" si="0"/>
        <v>15500419</v>
      </c>
      <c r="G16" s="12">
        <v>5456330</v>
      </c>
      <c r="H16" s="12">
        <v>1415250</v>
      </c>
      <c r="I16" s="12">
        <v>6677076</v>
      </c>
      <c r="J16" s="12">
        <v>647483</v>
      </c>
      <c r="K16" s="12">
        <v>1304280</v>
      </c>
    </row>
    <row r="17" spans="1:11" s="3" customFormat="1" ht="12.75" x14ac:dyDescent="0.25">
      <c r="A17" s="10" t="s">
        <v>34</v>
      </c>
      <c r="B17" s="23" t="s">
        <v>35</v>
      </c>
      <c r="C17" s="97">
        <v>27317457.600000001</v>
      </c>
      <c r="D17" s="12">
        <f t="shared" si="1"/>
        <v>6939546</v>
      </c>
      <c r="E17" s="88"/>
      <c r="F17" s="12">
        <f t="shared" si="0"/>
        <v>6939546</v>
      </c>
      <c r="G17" s="12">
        <v>0</v>
      </c>
      <c r="H17" s="12">
        <v>34230</v>
      </c>
      <c r="I17" s="12">
        <v>0</v>
      </c>
      <c r="J17" s="12">
        <v>6905316</v>
      </c>
      <c r="K17" s="12"/>
    </row>
    <row r="18" spans="1:11" s="3" customFormat="1" ht="12.75" x14ac:dyDescent="0.25">
      <c r="A18" s="10" t="s">
        <v>36</v>
      </c>
      <c r="B18" s="23" t="s">
        <v>37</v>
      </c>
      <c r="C18" s="97">
        <f>9571524+5782664.64</f>
        <v>15354188.640000001</v>
      </c>
      <c r="D18" s="12">
        <f t="shared" si="1"/>
        <v>5067518</v>
      </c>
      <c r="E18" s="88"/>
      <c r="F18" s="12">
        <f t="shared" si="0"/>
        <v>5067518</v>
      </c>
      <c r="G18" s="12">
        <v>1912925</v>
      </c>
      <c r="H18" s="12">
        <v>1512170</v>
      </c>
      <c r="I18" s="12">
        <v>1642423</v>
      </c>
      <c r="J18" s="12"/>
      <c r="K18" s="12"/>
    </row>
    <row r="19" spans="1:11" s="3" customFormat="1" ht="25.5" x14ac:dyDescent="0.25">
      <c r="A19" s="10" t="s">
        <v>38</v>
      </c>
      <c r="B19" s="23" t="s">
        <v>39</v>
      </c>
      <c r="C19" s="97">
        <f>85809906.24+7935918</f>
        <v>93745824.239999995</v>
      </c>
      <c r="D19" s="12">
        <f t="shared" si="1"/>
        <v>19690791.460000001</v>
      </c>
      <c r="E19" s="88"/>
      <c r="F19" s="12">
        <f t="shared" si="0"/>
        <v>19690791.460000001</v>
      </c>
      <c r="G19" s="12">
        <v>236974</v>
      </c>
      <c r="H19" s="12">
        <v>104611</v>
      </c>
      <c r="I19" s="12">
        <v>4292369</v>
      </c>
      <c r="J19" s="12">
        <v>14212619</v>
      </c>
      <c r="K19" s="12">
        <v>844218.46</v>
      </c>
    </row>
    <row r="20" spans="1:11" s="3" customFormat="1" ht="12.75" hidden="1" customHeight="1" x14ac:dyDescent="0.25">
      <c r="A20" s="20"/>
      <c r="B20" s="54" t="s">
        <v>40</v>
      </c>
      <c r="C20" s="97"/>
      <c r="D20" s="12">
        <f t="shared" si="1"/>
        <v>0</v>
      </c>
      <c r="E20" s="88"/>
      <c r="F20" s="12">
        <f t="shared" si="0"/>
        <v>0</v>
      </c>
      <c r="G20" s="16"/>
      <c r="H20" s="16"/>
      <c r="I20" s="16"/>
      <c r="J20" s="16"/>
      <c r="K20" s="16"/>
    </row>
    <row r="21" spans="1:11" s="3" customFormat="1" ht="12.75" hidden="1" customHeight="1" x14ac:dyDescent="0.25">
      <c r="A21" s="20"/>
      <c r="B21" s="54" t="s">
        <v>41</v>
      </c>
      <c r="C21" s="97"/>
      <c r="D21" s="12">
        <f t="shared" si="1"/>
        <v>844218.46</v>
      </c>
      <c r="E21" s="88"/>
      <c r="F21" s="12">
        <f t="shared" si="0"/>
        <v>844218.46</v>
      </c>
      <c r="G21" s="16"/>
      <c r="H21" s="16"/>
      <c r="I21" s="16"/>
      <c r="J21" s="16"/>
      <c r="K21" s="16">
        <v>844218.46</v>
      </c>
    </row>
    <row r="22" spans="1:11" s="3" customFormat="1" ht="12.75" hidden="1" customHeight="1" x14ac:dyDescent="0.25">
      <c r="A22" s="20"/>
      <c r="B22" s="54" t="s">
        <v>42</v>
      </c>
      <c r="C22" s="97"/>
      <c r="D22" s="12">
        <f t="shared" si="1"/>
        <v>0</v>
      </c>
      <c r="E22" s="88"/>
      <c r="F22" s="12">
        <f t="shared" si="0"/>
        <v>0</v>
      </c>
      <c r="G22" s="16"/>
      <c r="H22" s="16"/>
      <c r="I22" s="16"/>
      <c r="J22" s="16"/>
      <c r="K22" s="16"/>
    </row>
    <row r="23" spans="1:11" s="3" customFormat="1" ht="12.75" hidden="1" customHeight="1" x14ac:dyDescent="0.25">
      <c r="A23" s="20"/>
      <c r="B23" s="54" t="s">
        <v>43</v>
      </c>
      <c r="C23" s="97"/>
      <c r="D23" s="12">
        <f t="shared" si="1"/>
        <v>0</v>
      </c>
      <c r="E23" s="88"/>
      <c r="F23" s="12">
        <f t="shared" si="0"/>
        <v>0</v>
      </c>
      <c r="G23" s="16"/>
      <c r="H23" s="16"/>
      <c r="I23" s="16"/>
      <c r="J23" s="16"/>
      <c r="K23" s="16"/>
    </row>
    <row r="24" spans="1:11" s="3" customFormat="1" ht="12.75" hidden="1" customHeight="1" x14ac:dyDescent="0.25">
      <c r="A24" s="20"/>
      <c r="B24" s="54" t="s">
        <v>44</v>
      </c>
      <c r="C24" s="97"/>
      <c r="D24" s="12">
        <f t="shared" si="1"/>
        <v>0</v>
      </c>
      <c r="E24" s="88"/>
      <c r="F24" s="12">
        <f t="shared" si="0"/>
        <v>0</v>
      </c>
      <c r="G24" s="16"/>
      <c r="H24" s="16"/>
      <c r="I24" s="16"/>
      <c r="J24" s="16"/>
      <c r="K24" s="16"/>
    </row>
    <row r="25" spans="1:11" s="3" customFormat="1" ht="12.75" hidden="1" customHeight="1" x14ac:dyDescent="0.25">
      <c r="A25" s="10" t="s">
        <v>45</v>
      </c>
      <c r="B25" s="23" t="s">
        <v>46</v>
      </c>
      <c r="C25" s="97"/>
      <c r="D25" s="12">
        <f t="shared" si="1"/>
        <v>0</v>
      </c>
      <c r="E25" s="88"/>
      <c r="F25" s="12">
        <f t="shared" si="0"/>
        <v>0</v>
      </c>
      <c r="G25" s="12"/>
      <c r="H25" s="12"/>
      <c r="I25" s="12"/>
      <c r="J25" s="12"/>
      <c r="K25" s="12"/>
    </row>
    <row r="26" spans="1:11" s="3" customFormat="1" ht="12.75" x14ac:dyDescent="0.25">
      <c r="A26" s="10" t="s">
        <v>47</v>
      </c>
      <c r="B26" s="23" t="s">
        <v>48</v>
      </c>
      <c r="C26" s="97">
        <v>55830845</v>
      </c>
      <c r="D26" s="12">
        <f t="shared" si="1"/>
        <v>10685400.16</v>
      </c>
      <c r="E26" s="88"/>
      <c r="F26" s="12">
        <f t="shared" si="0"/>
        <v>10685400.16</v>
      </c>
      <c r="G26" s="12">
        <v>4256957</v>
      </c>
      <c r="H26" s="12">
        <v>1387686</v>
      </c>
      <c r="I26" s="12">
        <v>2419769</v>
      </c>
      <c r="J26" s="12">
        <v>902003</v>
      </c>
      <c r="K26" s="12">
        <v>1718985.16</v>
      </c>
    </row>
    <row r="27" spans="1:11" s="3" customFormat="1" ht="12.75" hidden="1" customHeight="1" x14ac:dyDescent="0.25">
      <c r="A27" s="10" t="s">
        <v>49</v>
      </c>
      <c r="B27" s="23" t="s">
        <v>50</v>
      </c>
      <c r="C27" s="97"/>
      <c r="D27" s="12">
        <f t="shared" si="1"/>
        <v>0</v>
      </c>
      <c r="E27" s="88"/>
      <c r="F27" s="12">
        <f t="shared" si="0"/>
        <v>0</v>
      </c>
      <c r="G27" s="12"/>
      <c r="H27" s="12"/>
      <c r="I27" s="12"/>
      <c r="J27" s="12"/>
      <c r="K27" s="12"/>
    </row>
    <row r="28" spans="1:11" s="3" customFormat="1" ht="12.75" hidden="1" customHeight="1" x14ac:dyDescent="0.25">
      <c r="A28" s="18"/>
      <c r="B28" s="54" t="s">
        <v>51</v>
      </c>
      <c r="C28" s="97"/>
      <c r="D28" s="12">
        <f t="shared" si="1"/>
        <v>0</v>
      </c>
      <c r="E28" s="88"/>
      <c r="F28" s="12">
        <f t="shared" si="0"/>
        <v>0</v>
      </c>
      <c r="G28" s="16"/>
      <c r="H28" s="16"/>
      <c r="I28" s="16"/>
      <c r="J28" s="16"/>
      <c r="K28" s="16"/>
    </row>
    <row r="29" spans="1:11" s="3" customFormat="1" ht="12.75" hidden="1" customHeight="1" x14ac:dyDescent="0.25">
      <c r="A29" s="18"/>
      <c r="B29" s="54" t="s">
        <v>52</v>
      </c>
      <c r="C29" s="97"/>
      <c r="D29" s="12">
        <f t="shared" si="1"/>
        <v>0</v>
      </c>
      <c r="E29" s="88"/>
      <c r="F29" s="12">
        <f t="shared" si="0"/>
        <v>0</v>
      </c>
      <c r="G29" s="16"/>
      <c r="H29" s="16"/>
      <c r="I29" s="16"/>
      <c r="J29" s="16"/>
      <c r="K29" s="16"/>
    </row>
    <row r="30" spans="1:11" s="3" customFormat="1" ht="11.25" hidden="1" customHeight="1" x14ac:dyDescent="0.25">
      <c r="A30" s="18"/>
      <c r="B30" s="54" t="s">
        <v>53</v>
      </c>
      <c r="C30" s="97"/>
      <c r="D30" s="12">
        <f t="shared" si="1"/>
        <v>0</v>
      </c>
      <c r="E30" s="88"/>
      <c r="F30" s="12">
        <f t="shared" si="0"/>
        <v>0</v>
      </c>
      <c r="G30" s="16"/>
      <c r="H30" s="16"/>
      <c r="I30" s="16"/>
      <c r="J30" s="16"/>
      <c r="K30" s="16"/>
    </row>
    <row r="31" spans="1:11" s="3" customFormat="1" ht="12.75" hidden="1" customHeight="1" x14ac:dyDescent="0.25">
      <c r="A31" s="18"/>
      <c r="B31" s="54" t="s">
        <v>54</v>
      </c>
      <c r="C31" s="97"/>
      <c r="D31" s="12">
        <f t="shared" si="1"/>
        <v>0</v>
      </c>
      <c r="E31" s="88"/>
      <c r="F31" s="12">
        <f t="shared" si="0"/>
        <v>0</v>
      </c>
      <c r="G31" s="16"/>
      <c r="H31" s="16"/>
      <c r="I31" s="16"/>
      <c r="J31" s="16"/>
      <c r="K31" s="16"/>
    </row>
    <row r="32" spans="1:11" s="3" customFormat="1" ht="51" x14ac:dyDescent="0.25">
      <c r="A32" s="10" t="s">
        <v>55</v>
      </c>
      <c r="B32" s="23" t="s">
        <v>56</v>
      </c>
      <c r="C32" s="97">
        <f>11350853.1*1.2+240000*1.2</f>
        <v>13909023.719999999</v>
      </c>
      <c r="D32" s="12">
        <f t="shared" si="1"/>
        <v>7733593.5758479992</v>
      </c>
      <c r="E32" s="88">
        <f>34476+233754</f>
        <v>268230</v>
      </c>
      <c r="F32" s="12">
        <f t="shared" si="0"/>
        <v>7465363.5758479992</v>
      </c>
      <c r="G32" s="12">
        <v>2421102</v>
      </c>
      <c r="H32" s="12">
        <v>1541427</v>
      </c>
      <c r="I32" s="12">
        <v>2562175.1958479998</v>
      </c>
      <c r="J32" s="12">
        <v>787242</v>
      </c>
      <c r="K32" s="12">
        <v>153417.38</v>
      </c>
    </row>
    <row r="33" spans="1:18" s="3" customFormat="1" ht="38.25" x14ac:dyDescent="0.25">
      <c r="A33" s="10" t="s">
        <v>57</v>
      </c>
      <c r="B33" s="23" t="s">
        <v>58</v>
      </c>
      <c r="C33" s="97">
        <f>5993319.35*1.2</f>
        <v>7191983.2199999997</v>
      </c>
      <c r="D33" s="12">
        <f t="shared" si="1"/>
        <v>3113306.42</v>
      </c>
      <c r="E33" s="88">
        <v>839446</v>
      </c>
      <c r="F33" s="12">
        <f t="shared" si="0"/>
        <v>2273860.42</v>
      </c>
      <c r="G33" s="12">
        <v>1260449</v>
      </c>
      <c r="H33" s="12">
        <v>511368</v>
      </c>
      <c r="I33" s="12">
        <v>195848</v>
      </c>
      <c r="J33" s="12">
        <v>172083</v>
      </c>
      <c r="K33" s="12">
        <v>134112.42000000001</v>
      </c>
    </row>
    <row r="34" spans="1:18" s="3" customFormat="1" ht="63.75" x14ac:dyDescent="0.25">
      <c r="A34" s="10" t="s">
        <v>59</v>
      </c>
      <c r="B34" s="23" t="s">
        <v>60</v>
      </c>
      <c r="C34" s="97">
        <f>5380387.46*1.2+4425779.66*1.2+3600000*1.2+1144560+547200+6150135.46</f>
        <v>23929296.004000001</v>
      </c>
      <c r="D34" s="12">
        <f t="shared" si="1"/>
        <v>846648.14</v>
      </c>
      <c r="E34" s="88">
        <f>504004+120814</f>
        <v>624818</v>
      </c>
      <c r="F34" s="12">
        <f t="shared" si="0"/>
        <v>221830.14</v>
      </c>
      <c r="G34" s="12">
        <v>6720</v>
      </c>
      <c r="H34" s="12">
        <v>3429</v>
      </c>
      <c r="I34" s="12">
        <v>18100</v>
      </c>
      <c r="J34" s="12">
        <v>101888</v>
      </c>
      <c r="K34" s="12">
        <v>91693.14</v>
      </c>
    </row>
    <row r="35" spans="1:18" s="3" customFormat="1" ht="12.75" x14ac:dyDescent="0.25">
      <c r="A35" s="10" t="s">
        <v>61</v>
      </c>
      <c r="B35" s="23" t="s">
        <v>62</v>
      </c>
      <c r="C35" s="97"/>
      <c r="D35" s="12">
        <f t="shared" si="1"/>
        <v>104400</v>
      </c>
      <c r="E35" s="88"/>
      <c r="F35" s="12">
        <f t="shared" si="0"/>
        <v>104400</v>
      </c>
      <c r="G35" s="12"/>
      <c r="H35" s="12"/>
      <c r="I35" s="12">
        <v>28800</v>
      </c>
      <c r="J35" s="12">
        <v>75600</v>
      </c>
      <c r="K35" s="12"/>
    </row>
    <row r="36" spans="1:18" s="28" customFormat="1" ht="18.75" x14ac:dyDescent="0.25">
      <c r="A36" s="24"/>
      <c r="B36" s="55" t="s">
        <v>63</v>
      </c>
      <c r="C36" s="99">
        <f>SUM(C8:C35)</f>
        <v>369487753.47400004</v>
      </c>
      <c r="D36" s="26">
        <f t="shared" si="1"/>
        <v>124003689.4235556</v>
      </c>
      <c r="E36" s="90">
        <f t="shared" ref="E36:H36" si="2">E8+E16+E17+E18+E19+E26+E32+E33+E34+E35</f>
        <v>21590880</v>
      </c>
      <c r="F36" s="26">
        <f t="shared" si="2"/>
        <v>102412809.4235556</v>
      </c>
      <c r="G36" s="26">
        <f t="shared" si="2"/>
        <v>25151457</v>
      </c>
      <c r="H36" s="26">
        <f t="shared" si="2"/>
        <v>9053871</v>
      </c>
      <c r="I36" s="26">
        <f>I8+I16+I17+I18+I19+I26+I32+I33+I34+I35</f>
        <v>40156540.863555603</v>
      </c>
      <c r="J36" s="26">
        <f>J16+J17+J19+J26+J32+J33+J34+J35</f>
        <v>23804234</v>
      </c>
      <c r="K36" s="26">
        <v>4246706.5599999996</v>
      </c>
    </row>
    <row r="37" spans="1:18" ht="23.25" x14ac:dyDescent="0.35">
      <c r="A37" s="32"/>
      <c r="B37" s="57"/>
      <c r="C37" s="36"/>
      <c r="D37" s="36"/>
      <c r="E37" s="91"/>
      <c r="F37" s="36"/>
      <c r="G37" s="36"/>
      <c r="H37" s="36"/>
      <c r="I37" s="36"/>
      <c r="J37" s="36"/>
      <c r="K37" s="36"/>
    </row>
    <row r="38" spans="1:18" x14ac:dyDescent="0.2">
      <c r="C38" s="38"/>
      <c r="D38" s="38"/>
      <c r="E38" s="92"/>
      <c r="F38" s="38"/>
      <c r="G38" s="38"/>
      <c r="H38" s="38"/>
      <c r="I38" s="38"/>
      <c r="J38" s="38"/>
      <c r="K38" s="38"/>
    </row>
    <row r="39" spans="1:18" s="34" customFormat="1" x14ac:dyDescent="0.2">
      <c r="A39" s="9"/>
      <c r="B39" s="58"/>
      <c r="C39" s="38"/>
      <c r="D39" s="38"/>
      <c r="E39" s="92"/>
      <c r="F39" s="38"/>
      <c r="G39" s="38"/>
      <c r="H39" s="38"/>
      <c r="I39" s="38"/>
      <c r="J39" s="38"/>
      <c r="K39" s="38"/>
      <c r="L39" s="9"/>
      <c r="M39" s="9"/>
      <c r="N39" s="9"/>
      <c r="O39" s="9"/>
      <c r="P39" s="9"/>
      <c r="Q39" s="9"/>
      <c r="R39" s="9"/>
    </row>
  </sheetData>
  <mergeCells count="11">
    <mergeCell ref="A1:A3"/>
    <mergeCell ref="B1:B2"/>
    <mergeCell ref="E1:E2"/>
    <mergeCell ref="F1:F2"/>
    <mergeCell ref="G1:G2"/>
    <mergeCell ref="I1:I2"/>
    <mergeCell ref="J1:J2"/>
    <mergeCell ref="K1:K2"/>
    <mergeCell ref="D1:D2"/>
    <mergeCell ref="C1:C2"/>
    <mergeCell ref="H1:H2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276DF-7DA6-40BA-B00B-894ECA98D280}">
  <sheetPr codeName="Лист4">
    <tabColor rgb="FF00B0F0"/>
  </sheetPr>
  <dimension ref="A1:R53"/>
  <sheetViews>
    <sheetView workbookViewId="0">
      <selection activeCell="C1" sqref="C1:C36"/>
    </sheetView>
  </sheetViews>
  <sheetFormatPr defaultColWidth="14.140625" defaultRowHeight="11.25" x14ac:dyDescent="0.2"/>
  <cols>
    <col min="1" max="1" width="6.140625" style="9" customWidth="1"/>
    <col min="2" max="2" width="40.140625" style="58" customWidth="1"/>
    <col min="3" max="4" width="21.140625" style="9" customWidth="1"/>
    <col min="5" max="5" width="21.140625" style="93" customWidth="1"/>
    <col min="6" max="11" width="21.140625" style="9" customWidth="1"/>
    <col min="12" max="16384" width="14.140625" style="9"/>
  </cols>
  <sheetData>
    <row r="1" spans="1:11" s="3" customFormat="1" ht="30" customHeight="1" x14ac:dyDescent="0.25">
      <c r="A1" s="105"/>
      <c r="B1" s="102" t="s">
        <v>127</v>
      </c>
      <c r="C1" s="111" t="s">
        <v>13</v>
      </c>
      <c r="D1" s="100" t="s">
        <v>125</v>
      </c>
      <c r="E1" s="113" t="s">
        <v>79</v>
      </c>
      <c r="F1" s="100" t="s">
        <v>78</v>
      </c>
      <c r="G1" s="100" t="s">
        <v>121</v>
      </c>
      <c r="H1" s="100" t="s">
        <v>122</v>
      </c>
      <c r="I1" s="100" t="s">
        <v>123</v>
      </c>
      <c r="J1" s="100" t="s">
        <v>124</v>
      </c>
      <c r="K1" s="100" t="s">
        <v>72</v>
      </c>
    </row>
    <row r="2" spans="1:11" x14ac:dyDescent="0.2">
      <c r="A2" s="106"/>
      <c r="B2" s="104"/>
      <c r="C2" s="112"/>
      <c r="D2" s="101"/>
      <c r="E2" s="114"/>
      <c r="F2" s="101"/>
      <c r="G2" s="101"/>
      <c r="H2" s="101"/>
      <c r="I2" s="101"/>
      <c r="J2" s="101"/>
      <c r="K2" s="101"/>
    </row>
    <row r="3" spans="1:11" x14ac:dyDescent="0.2">
      <c r="A3" s="107"/>
      <c r="B3" s="53"/>
      <c r="C3" s="96"/>
      <c r="D3" s="46"/>
      <c r="E3" s="87"/>
      <c r="F3" s="46"/>
      <c r="G3" s="46"/>
      <c r="H3" s="46"/>
      <c r="I3" s="46"/>
      <c r="J3" s="46"/>
      <c r="K3" s="46"/>
    </row>
    <row r="4" spans="1:11" s="3" customFormat="1" ht="12.75" hidden="1" customHeight="1" x14ac:dyDescent="0.25">
      <c r="A4" s="10" t="s">
        <v>15</v>
      </c>
      <c r="B4" s="23" t="s">
        <v>16</v>
      </c>
      <c r="C4" s="97"/>
      <c r="D4" s="12"/>
      <c r="E4" s="88"/>
      <c r="F4" s="12"/>
      <c r="G4" s="12"/>
      <c r="H4" s="12"/>
      <c r="I4" s="12"/>
      <c r="J4" s="12"/>
      <c r="K4" s="12">
        <v>0</v>
      </c>
    </row>
    <row r="5" spans="1:11" s="3" customFormat="1" ht="12.75" hidden="1" customHeight="1" x14ac:dyDescent="0.25">
      <c r="A5" s="10" t="s">
        <v>19</v>
      </c>
      <c r="B5" s="23" t="s">
        <v>20</v>
      </c>
      <c r="C5" s="97"/>
      <c r="D5" s="12"/>
      <c r="E5" s="88"/>
      <c r="F5" s="12"/>
      <c r="G5" s="12"/>
      <c r="H5" s="12"/>
      <c r="I5" s="12"/>
      <c r="J5" s="12"/>
      <c r="K5" s="12">
        <v>0</v>
      </c>
    </row>
    <row r="6" spans="1:11" s="3" customFormat="1" ht="11.25" hidden="1" customHeight="1" x14ac:dyDescent="0.25">
      <c r="A6" s="18"/>
      <c r="B6" s="54" t="s">
        <v>21</v>
      </c>
      <c r="C6" s="98"/>
      <c r="D6" s="16"/>
      <c r="E6" s="89"/>
      <c r="F6" s="16"/>
      <c r="G6" s="16"/>
      <c r="H6" s="16"/>
      <c r="I6" s="16"/>
      <c r="J6" s="16"/>
      <c r="K6" s="16"/>
    </row>
    <row r="7" spans="1:11" s="3" customFormat="1" ht="11.25" hidden="1" customHeight="1" x14ac:dyDescent="0.25">
      <c r="A7" s="18"/>
      <c r="B7" s="54" t="s">
        <v>22</v>
      </c>
      <c r="C7" s="98"/>
      <c r="D7" s="16"/>
      <c r="E7" s="89"/>
      <c r="F7" s="16"/>
      <c r="G7" s="16"/>
      <c r="H7" s="16"/>
      <c r="I7" s="16"/>
      <c r="J7" s="16"/>
      <c r="K7" s="16"/>
    </row>
    <row r="8" spans="1:11" s="19" customFormat="1" ht="12.75" x14ac:dyDescent="0.25">
      <c r="A8" s="10" t="s">
        <v>23</v>
      </c>
      <c r="B8" s="23" t="s">
        <v>24</v>
      </c>
      <c r="C8" s="97">
        <f>73881192+20485848</f>
        <v>94367040</v>
      </c>
      <c r="D8" s="12">
        <f>E8+F8</f>
        <v>77802627</v>
      </c>
      <c r="E8" s="88">
        <v>74034627</v>
      </c>
      <c r="F8" s="12">
        <f>G8+H8+I8+J8+K8</f>
        <v>3768000</v>
      </c>
      <c r="G8" s="12"/>
      <c r="H8" s="12">
        <v>3354000</v>
      </c>
      <c r="I8" s="12">
        <v>414000</v>
      </c>
      <c r="J8" s="12"/>
      <c r="K8" s="12"/>
    </row>
    <row r="9" spans="1:11" s="3" customFormat="1" ht="12.75" hidden="1" customHeight="1" x14ac:dyDescent="0.25">
      <c r="A9" s="18"/>
      <c r="B9" s="54" t="s">
        <v>119</v>
      </c>
      <c r="C9" s="97"/>
      <c r="D9" s="12"/>
      <c r="E9" s="88"/>
      <c r="F9" s="12"/>
      <c r="G9" s="16"/>
      <c r="H9" s="16"/>
      <c r="I9" s="16"/>
      <c r="J9" s="16"/>
      <c r="K9" s="16"/>
    </row>
    <row r="10" spans="1:11" s="3" customFormat="1" ht="12.75" hidden="1" customHeight="1" x14ac:dyDescent="0.25">
      <c r="A10" s="18"/>
      <c r="B10" s="54" t="s">
        <v>26</v>
      </c>
      <c r="C10" s="97"/>
      <c r="D10" s="12"/>
      <c r="E10" s="88"/>
      <c r="F10" s="12"/>
      <c r="G10" s="16"/>
      <c r="H10" s="16"/>
      <c r="I10" s="16"/>
      <c r="J10" s="16"/>
      <c r="K10" s="16"/>
    </row>
    <row r="11" spans="1:11" s="3" customFormat="1" ht="12.75" hidden="1" customHeight="1" x14ac:dyDescent="0.25">
      <c r="A11" s="18"/>
      <c r="B11" s="54" t="s">
        <v>27</v>
      </c>
      <c r="C11" s="97"/>
      <c r="D11" s="12"/>
      <c r="E11" s="88"/>
      <c r="F11" s="12"/>
      <c r="G11" s="16"/>
      <c r="H11" s="16"/>
      <c r="I11" s="16"/>
      <c r="J11" s="16"/>
      <c r="K11" s="16"/>
    </row>
    <row r="12" spans="1:11" s="3" customFormat="1" ht="12.75" hidden="1" customHeight="1" x14ac:dyDescent="0.25">
      <c r="A12" s="18"/>
      <c r="B12" s="54" t="s">
        <v>28</v>
      </c>
      <c r="C12" s="97"/>
      <c r="D12" s="12"/>
      <c r="E12" s="88"/>
      <c r="F12" s="12"/>
      <c r="G12" s="16"/>
      <c r="H12" s="16"/>
      <c r="I12" s="16"/>
      <c r="J12" s="16"/>
      <c r="K12" s="16"/>
    </row>
    <row r="13" spans="1:11" s="3" customFormat="1" ht="12.75" hidden="1" customHeight="1" x14ac:dyDescent="0.25">
      <c r="A13" s="18"/>
      <c r="B13" s="54" t="s">
        <v>29</v>
      </c>
      <c r="C13" s="97"/>
      <c r="D13" s="12"/>
      <c r="E13" s="88"/>
      <c r="F13" s="12"/>
      <c r="G13" s="16"/>
      <c r="H13" s="16"/>
      <c r="I13" s="16"/>
      <c r="J13" s="16"/>
      <c r="K13" s="16"/>
    </row>
    <row r="14" spans="1:11" s="3" customFormat="1" ht="12.75" hidden="1" customHeight="1" x14ac:dyDescent="0.25">
      <c r="A14" s="18"/>
      <c r="B14" s="54" t="s">
        <v>30</v>
      </c>
      <c r="C14" s="97"/>
      <c r="D14" s="12"/>
      <c r="E14" s="88"/>
      <c r="F14" s="12"/>
      <c r="G14" s="16"/>
      <c r="H14" s="16"/>
      <c r="I14" s="16"/>
      <c r="J14" s="16"/>
      <c r="K14" s="16"/>
    </row>
    <row r="15" spans="1:11" s="3" customFormat="1" ht="12.75" hidden="1" customHeight="1" x14ac:dyDescent="0.25">
      <c r="A15" s="18"/>
      <c r="B15" s="54" t="s">
        <v>31</v>
      </c>
      <c r="C15" s="97"/>
      <c r="D15" s="12"/>
      <c r="E15" s="88"/>
      <c r="F15" s="12"/>
      <c r="G15" s="16"/>
      <c r="H15" s="16"/>
      <c r="I15" s="16"/>
      <c r="J15" s="16"/>
      <c r="K15" s="16"/>
    </row>
    <row r="16" spans="1:11" s="3" customFormat="1" ht="25.5" x14ac:dyDescent="0.25">
      <c r="A16" s="10" t="s">
        <v>32</v>
      </c>
      <c r="B16" s="23" t="s">
        <v>33</v>
      </c>
      <c r="C16" s="97">
        <v>21237010.116</v>
      </c>
      <c r="D16" s="12">
        <f t="shared" ref="D16:D36" si="0">E16+F16</f>
        <v>22581004</v>
      </c>
      <c r="E16" s="88">
        <v>10044440</v>
      </c>
      <c r="F16" s="12">
        <f t="shared" ref="F16:F35" si="1">G16+H16+I16+J16+K16</f>
        <v>12536564</v>
      </c>
      <c r="G16" s="12">
        <v>524700</v>
      </c>
      <c r="H16" s="12">
        <v>6254926</v>
      </c>
      <c r="I16" s="12">
        <v>1791888</v>
      </c>
      <c r="J16" s="12">
        <v>318237</v>
      </c>
      <c r="K16" s="12">
        <v>3646813</v>
      </c>
    </row>
    <row r="17" spans="1:11" s="3" customFormat="1" ht="12.75" x14ac:dyDescent="0.25">
      <c r="A17" s="10" t="s">
        <v>34</v>
      </c>
      <c r="B17" s="23" t="s">
        <v>35</v>
      </c>
      <c r="C17" s="97">
        <v>7146660</v>
      </c>
      <c r="D17" s="12">
        <f t="shared" si="0"/>
        <v>8142833</v>
      </c>
      <c r="E17" s="88">
        <v>6978761</v>
      </c>
      <c r="F17" s="12">
        <f t="shared" si="1"/>
        <v>1164072</v>
      </c>
      <c r="G17" s="12"/>
      <c r="H17" s="12"/>
      <c r="I17" s="12">
        <v>302788</v>
      </c>
      <c r="J17" s="12"/>
      <c r="K17" s="12">
        <v>861284</v>
      </c>
    </row>
    <row r="18" spans="1:11" s="3" customFormat="1" ht="12.75" x14ac:dyDescent="0.25">
      <c r="A18" s="10" t="s">
        <v>36</v>
      </c>
      <c r="B18" s="23" t="s">
        <v>37</v>
      </c>
      <c r="C18" s="97">
        <f>10750452+9700972.32</f>
        <v>20451424.32</v>
      </c>
      <c r="D18" s="12">
        <f t="shared" si="0"/>
        <v>10780067</v>
      </c>
      <c r="E18" s="88">
        <v>7208867</v>
      </c>
      <c r="F18" s="12">
        <f t="shared" si="1"/>
        <v>3571200</v>
      </c>
      <c r="G18" s="12"/>
      <c r="H18" s="12"/>
      <c r="I18" s="12">
        <v>3571200</v>
      </c>
      <c r="J18" s="12"/>
      <c r="K18" s="12"/>
    </row>
    <row r="19" spans="1:11" s="3" customFormat="1" ht="25.5" x14ac:dyDescent="0.25">
      <c r="A19" s="10" t="s">
        <v>38</v>
      </c>
      <c r="B19" s="23" t="s">
        <v>39</v>
      </c>
      <c r="C19" s="97">
        <f>11582760+19156334.4</f>
        <v>30739094.399999999</v>
      </c>
      <c r="D19" s="12">
        <f t="shared" si="0"/>
        <v>17977083</v>
      </c>
      <c r="E19" s="88">
        <v>10583836</v>
      </c>
      <c r="F19" s="12">
        <f t="shared" si="1"/>
        <v>7393247</v>
      </c>
      <c r="G19" s="12"/>
      <c r="H19" s="12"/>
      <c r="I19" s="12">
        <v>27805</v>
      </c>
      <c r="J19" s="12">
        <v>1599813</v>
      </c>
      <c r="K19" s="12">
        <v>5765629</v>
      </c>
    </row>
    <row r="20" spans="1:11" s="3" customFormat="1" ht="12.75" hidden="1" customHeight="1" x14ac:dyDescent="0.25">
      <c r="A20" s="20"/>
      <c r="B20" s="54" t="s">
        <v>40</v>
      </c>
      <c r="C20" s="97"/>
      <c r="D20" s="12">
        <f t="shared" si="0"/>
        <v>0</v>
      </c>
      <c r="E20" s="88"/>
      <c r="F20" s="12">
        <f t="shared" si="1"/>
        <v>0</v>
      </c>
      <c r="G20" s="16"/>
      <c r="H20" s="16"/>
      <c r="I20" s="16"/>
      <c r="J20" s="16"/>
      <c r="K20" s="16"/>
    </row>
    <row r="21" spans="1:11" s="3" customFormat="1" ht="12.75" hidden="1" customHeight="1" x14ac:dyDescent="0.25">
      <c r="A21" s="20"/>
      <c r="B21" s="54" t="s">
        <v>41</v>
      </c>
      <c r="C21" s="97"/>
      <c r="D21" s="12">
        <f t="shared" si="0"/>
        <v>0</v>
      </c>
      <c r="E21" s="88"/>
      <c r="F21" s="12">
        <f t="shared" si="1"/>
        <v>0</v>
      </c>
      <c r="G21" s="16"/>
      <c r="H21" s="16"/>
      <c r="I21" s="16"/>
      <c r="J21" s="16"/>
      <c r="K21" s="16"/>
    </row>
    <row r="22" spans="1:11" s="3" customFormat="1" ht="12.75" hidden="1" customHeight="1" x14ac:dyDescent="0.25">
      <c r="A22" s="20"/>
      <c r="B22" s="54" t="s">
        <v>42</v>
      </c>
      <c r="C22" s="97"/>
      <c r="D22" s="12">
        <f t="shared" si="0"/>
        <v>0</v>
      </c>
      <c r="E22" s="88"/>
      <c r="F22" s="12">
        <f t="shared" si="1"/>
        <v>0</v>
      </c>
      <c r="G22" s="16"/>
      <c r="H22" s="16"/>
      <c r="I22" s="16"/>
      <c r="J22" s="16"/>
      <c r="K22" s="16"/>
    </row>
    <row r="23" spans="1:11" s="3" customFormat="1" ht="12.75" hidden="1" customHeight="1" x14ac:dyDescent="0.25">
      <c r="A23" s="20"/>
      <c r="B23" s="54" t="s">
        <v>43</v>
      </c>
      <c r="C23" s="97"/>
      <c r="D23" s="12">
        <f t="shared" si="0"/>
        <v>0</v>
      </c>
      <c r="E23" s="88"/>
      <c r="F23" s="12">
        <f t="shared" si="1"/>
        <v>0</v>
      </c>
      <c r="G23" s="16"/>
      <c r="H23" s="16"/>
      <c r="I23" s="16"/>
      <c r="J23" s="16"/>
      <c r="K23" s="16"/>
    </row>
    <row r="24" spans="1:11" s="3" customFormat="1" ht="12.75" hidden="1" customHeight="1" x14ac:dyDescent="0.25">
      <c r="A24" s="20"/>
      <c r="B24" s="54" t="s">
        <v>44</v>
      </c>
      <c r="C24" s="97"/>
      <c r="D24" s="12">
        <f t="shared" si="0"/>
        <v>0</v>
      </c>
      <c r="E24" s="88"/>
      <c r="F24" s="12">
        <f t="shared" si="1"/>
        <v>0</v>
      </c>
      <c r="G24" s="16"/>
      <c r="H24" s="16"/>
      <c r="I24" s="16"/>
      <c r="J24" s="16"/>
      <c r="K24" s="16"/>
    </row>
    <row r="25" spans="1:11" s="3" customFormat="1" ht="12.75" hidden="1" customHeight="1" x14ac:dyDescent="0.25">
      <c r="A25" s="10" t="s">
        <v>45</v>
      </c>
      <c r="B25" s="23" t="s">
        <v>46</v>
      </c>
      <c r="C25" s="97"/>
      <c r="D25" s="12">
        <f t="shared" si="0"/>
        <v>0</v>
      </c>
      <c r="E25" s="88"/>
      <c r="F25" s="12">
        <f t="shared" si="1"/>
        <v>0</v>
      </c>
      <c r="G25" s="12"/>
      <c r="H25" s="12"/>
      <c r="I25" s="12"/>
      <c r="J25" s="12"/>
      <c r="K25" s="12"/>
    </row>
    <row r="26" spans="1:11" s="3" customFormat="1" ht="12.75" x14ac:dyDescent="0.25">
      <c r="A26" s="10" t="s">
        <v>47</v>
      </c>
      <c r="B26" s="23" t="s">
        <v>48</v>
      </c>
      <c r="C26" s="97">
        <v>44208248.831999995</v>
      </c>
      <c r="D26" s="12">
        <f t="shared" si="0"/>
        <v>71883549</v>
      </c>
      <c r="E26" s="88">
        <v>52728754</v>
      </c>
      <c r="F26" s="12">
        <f t="shared" si="1"/>
        <v>19154795</v>
      </c>
      <c r="G26" s="12"/>
      <c r="H26" s="12">
        <v>5258116</v>
      </c>
      <c r="I26" s="12">
        <v>6203400</v>
      </c>
      <c r="J26" s="12">
        <v>6499355</v>
      </c>
      <c r="K26" s="12">
        <v>1193924</v>
      </c>
    </row>
    <row r="27" spans="1:11" s="3" customFormat="1" ht="12.75" hidden="1" customHeight="1" x14ac:dyDescent="0.25">
      <c r="A27" s="10" t="s">
        <v>49</v>
      </c>
      <c r="B27" s="23" t="s">
        <v>50</v>
      </c>
      <c r="C27" s="97"/>
      <c r="D27" s="12">
        <f t="shared" si="0"/>
        <v>0</v>
      </c>
      <c r="E27" s="88"/>
      <c r="F27" s="12">
        <f t="shared" si="1"/>
        <v>0</v>
      </c>
      <c r="G27" s="12"/>
      <c r="H27" s="12"/>
      <c r="I27" s="12"/>
      <c r="J27" s="12"/>
      <c r="K27" s="12"/>
    </row>
    <row r="28" spans="1:11" s="3" customFormat="1" ht="12.75" hidden="1" customHeight="1" x14ac:dyDescent="0.25">
      <c r="A28" s="18"/>
      <c r="B28" s="54" t="s">
        <v>51</v>
      </c>
      <c r="C28" s="97"/>
      <c r="D28" s="12">
        <f t="shared" si="0"/>
        <v>0</v>
      </c>
      <c r="E28" s="88"/>
      <c r="F28" s="12">
        <f t="shared" si="1"/>
        <v>0</v>
      </c>
      <c r="G28" s="16"/>
      <c r="H28" s="16"/>
      <c r="I28" s="16"/>
      <c r="J28" s="16"/>
      <c r="K28" s="16"/>
    </row>
    <row r="29" spans="1:11" s="3" customFormat="1" ht="12.75" hidden="1" customHeight="1" x14ac:dyDescent="0.25">
      <c r="A29" s="18"/>
      <c r="B29" s="54" t="s">
        <v>52</v>
      </c>
      <c r="C29" s="97"/>
      <c r="D29" s="12">
        <f t="shared" si="0"/>
        <v>0</v>
      </c>
      <c r="E29" s="88"/>
      <c r="F29" s="12">
        <f t="shared" si="1"/>
        <v>0</v>
      </c>
      <c r="G29" s="16"/>
      <c r="H29" s="16"/>
      <c r="I29" s="16"/>
      <c r="J29" s="16"/>
      <c r="K29" s="16"/>
    </row>
    <row r="30" spans="1:11" s="3" customFormat="1" ht="11.25" hidden="1" customHeight="1" x14ac:dyDescent="0.25">
      <c r="A30" s="18"/>
      <c r="B30" s="54" t="s">
        <v>53</v>
      </c>
      <c r="C30" s="97"/>
      <c r="D30" s="12">
        <f t="shared" si="0"/>
        <v>0</v>
      </c>
      <c r="E30" s="88"/>
      <c r="F30" s="12">
        <f t="shared" si="1"/>
        <v>0</v>
      </c>
      <c r="G30" s="16"/>
      <c r="H30" s="16"/>
      <c r="I30" s="16"/>
      <c r="J30" s="16"/>
      <c r="K30" s="16"/>
    </row>
    <row r="31" spans="1:11" s="3" customFormat="1" ht="12.75" hidden="1" customHeight="1" x14ac:dyDescent="0.25">
      <c r="A31" s="18"/>
      <c r="B31" s="54" t="s">
        <v>54</v>
      </c>
      <c r="C31" s="97"/>
      <c r="D31" s="12">
        <f t="shared" si="0"/>
        <v>0</v>
      </c>
      <c r="E31" s="88"/>
      <c r="F31" s="12">
        <f t="shared" si="1"/>
        <v>0</v>
      </c>
      <c r="G31" s="16"/>
      <c r="H31" s="16"/>
      <c r="I31" s="16"/>
      <c r="J31" s="16"/>
      <c r="K31" s="16"/>
    </row>
    <row r="32" spans="1:11" s="3" customFormat="1" ht="51" x14ac:dyDescent="0.25">
      <c r="A32" s="10" t="s">
        <v>55</v>
      </c>
      <c r="B32" s="23" t="s">
        <v>56</v>
      </c>
      <c r="C32" s="97">
        <v>30116697.059999999</v>
      </c>
      <c r="D32" s="12">
        <f t="shared" si="0"/>
        <v>39323020</v>
      </c>
      <c r="E32" s="88">
        <v>28283414</v>
      </c>
      <c r="F32" s="12">
        <f t="shared" si="1"/>
        <v>11039606</v>
      </c>
      <c r="G32" s="12">
        <v>197901</v>
      </c>
      <c r="H32" s="12">
        <v>717918</v>
      </c>
      <c r="I32" s="12">
        <v>4575236</v>
      </c>
      <c r="J32" s="12">
        <v>802372</v>
      </c>
      <c r="K32" s="12">
        <v>4746179</v>
      </c>
    </row>
    <row r="33" spans="1:18" s="3" customFormat="1" ht="38.25" x14ac:dyDescent="0.25">
      <c r="A33" s="10" t="s">
        <v>57</v>
      </c>
      <c r="B33" s="23" t="s">
        <v>58</v>
      </c>
      <c r="C33" s="97">
        <v>5673675.648</v>
      </c>
      <c r="D33" s="12">
        <f t="shared" si="0"/>
        <v>2812903</v>
      </c>
      <c r="E33" s="88">
        <v>321503</v>
      </c>
      <c r="F33" s="12">
        <f t="shared" si="1"/>
        <v>2491400</v>
      </c>
      <c r="G33" s="12"/>
      <c r="H33" s="12">
        <v>1142416</v>
      </c>
      <c r="I33" s="12">
        <v>1050717</v>
      </c>
      <c r="J33" s="12">
        <v>120649</v>
      </c>
      <c r="K33" s="12">
        <v>177618</v>
      </c>
    </row>
    <row r="34" spans="1:18" s="3" customFormat="1" ht="63.75" x14ac:dyDescent="0.25">
      <c r="A34" s="10" t="s">
        <v>59</v>
      </c>
      <c r="B34" s="23" t="s">
        <v>60</v>
      </c>
      <c r="C34" s="97">
        <f>2215200+16914431.964+4713640.968+3039249.588+2177280+1152000-462400</f>
        <v>29749402.520000003</v>
      </c>
      <c r="D34" s="12">
        <f t="shared" si="0"/>
        <v>13476951</v>
      </c>
      <c r="E34" s="88">
        <v>12804018</v>
      </c>
      <c r="F34" s="12">
        <f t="shared" si="1"/>
        <v>672933</v>
      </c>
      <c r="G34" s="12"/>
      <c r="H34" s="12">
        <v>33000</v>
      </c>
      <c r="I34" s="12">
        <v>47251</v>
      </c>
      <c r="J34" s="12">
        <v>279056</v>
      </c>
      <c r="K34" s="12">
        <v>313626</v>
      </c>
    </row>
    <row r="35" spans="1:18" s="3" customFormat="1" ht="12.75" x14ac:dyDescent="0.25">
      <c r="A35" s="10" t="s">
        <v>61</v>
      </c>
      <c r="B35" s="23" t="s">
        <v>62</v>
      </c>
      <c r="C35" s="97"/>
      <c r="D35" s="12">
        <f t="shared" si="0"/>
        <v>675092</v>
      </c>
      <c r="E35" s="88">
        <v>325517</v>
      </c>
      <c r="F35" s="12">
        <f t="shared" si="1"/>
        <v>349575</v>
      </c>
      <c r="G35" s="12">
        <v>5800</v>
      </c>
      <c r="H35" s="12">
        <v>5800</v>
      </c>
      <c r="I35" s="12">
        <v>326375</v>
      </c>
      <c r="J35" s="12">
        <v>5800</v>
      </c>
      <c r="K35" s="12">
        <v>5800</v>
      </c>
    </row>
    <row r="36" spans="1:18" s="28" customFormat="1" ht="18.75" x14ac:dyDescent="0.25">
      <c r="A36" s="24"/>
      <c r="B36" s="55" t="s">
        <v>63</v>
      </c>
      <c r="C36" s="99">
        <f>SUM(C8:C35)</f>
        <v>283689252.89599997</v>
      </c>
      <c r="D36" s="26">
        <f t="shared" si="0"/>
        <v>265455129</v>
      </c>
      <c r="E36" s="90">
        <f t="shared" ref="E36:H36" si="2">E8+E16+E17+E18+E19+E26+E32+E33+E34+E35</f>
        <v>203313737</v>
      </c>
      <c r="F36" s="26">
        <f t="shared" si="2"/>
        <v>62141392</v>
      </c>
      <c r="G36" s="26">
        <f t="shared" si="2"/>
        <v>728401</v>
      </c>
      <c r="H36" s="26">
        <f t="shared" si="2"/>
        <v>16766176</v>
      </c>
      <c r="I36" s="26">
        <f>I8+I16+I17+I18+I19+I26+I32+I33+I34+I35</f>
        <v>18310660</v>
      </c>
      <c r="J36" s="26">
        <f>J16+J17+J19+J26+J32+J33+J34+J35</f>
        <v>9625282</v>
      </c>
      <c r="K36" s="26">
        <v>4246706.5599999996</v>
      </c>
    </row>
    <row r="37" spans="1:18" ht="23.25" x14ac:dyDescent="0.35">
      <c r="A37" s="32"/>
      <c r="B37" s="57"/>
      <c r="C37" s="36"/>
      <c r="D37" s="36"/>
      <c r="E37" s="91"/>
      <c r="F37" s="36"/>
      <c r="G37" s="36"/>
      <c r="H37" s="36"/>
      <c r="I37" s="36"/>
      <c r="J37" s="36"/>
      <c r="K37" s="36"/>
    </row>
    <row r="38" spans="1:18" x14ac:dyDescent="0.2">
      <c r="C38" s="38"/>
      <c r="D38" s="38"/>
      <c r="E38" s="92"/>
      <c r="F38" s="38"/>
      <c r="G38" s="38"/>
      <c r="H38" s="38"/>
      <c r="I38" s="38"/>
      <c r="J38" s="38"/>
      <c r="K38" s="38"/>
    </row>
    <row r="39" spans="1:18" s="34" customFormat="1" x14ac:dyDescent="0.2">
      <c r="A39" s="9"/>
      <c r="B39" s="58"/>
      <c r="C39" s="38"/>
      <c r="D39" s="38"/>
      <c r="E39" s="92"/>
      <c r="F39" s="38"/>
      <c r="G39" s="38"/>
      <c r="H39" s="38"/>
      <c r="I39" s="38"/>
      <c r="J39" s="38"/>
      <c r="K39" s="38"/>
      <c r="L39" s="9"/>
      <c r="M39" s="9"/>
      <c r="N39" s="9"/>
      <c r="O39" s="9"/>
      <c r="P39" s="9"/>
      <c r="Q39" s="9"/>
      <c r="R39" s="9"/>
    </row>
    <row r="41" spans="1:18" x14ac:dyDescent="0.2">
      <c r="C41" s="38"/>
      <c r="E41" s="94"/>
    </row>
    <row r="42" spans="1:18" x14ac:dyDescent="0.2">
      <c r="E42" s="94"/>
    </row>
    <row r="43" spans="1:18" x14ac:dyDescent="0.2">
      <c r="C43" s="94"/>
      <c r="E43" s="94"/>
    </row>
    <row r="44" spans="1:18" x14ac:dyDescent="0.2">
      <c r="C44" s="94"/>
      <c r="E44" s="94"/>
    </row>
    <row r="45" spans="1:18" x14ac:dyDescent="0.2">
      <c r="E45" s="94"/>
    </row>
    <row r="50" spans="3:3" x14ac:dyDescent="0.2">
      <c r="C50" s="94"/>
    </row>
    <row r="51" spans="3:3" x14ac:dyDescent="0.2">
      <c r="C51" s="94"/>
    </row>
    <row r="52" spans="3:3" x14ac:dyDescent="0.2">
      <c r="C52" s="94"/>
    </row>
    <row r="53" spans="3:3" x14ac:dyDescent="0.2">
      <c r="C53" s="95"/>
    </row>
  </sheetData>
  <mergeCells count="11">
    <mergeCell ref="F1:F2"/>
    <mergeCell ref="A1:A3"/>
    <mergeCell ref="B1:B2"/>
    <mergeCell ref="C1:C2"/>
    <mergeCell ref="D1:D2"/>
    <mergeCell ref="E1:E2"/>
    <mergeCell ref="G1:G2"/>
    <mergeCell ref="H1:H2"/>
    <mergeCell ref="I1:I2"/>
    <mergeCell ref="J1:J2"/>
    <mergeCell ref="K1:K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91689-1B9E-4C4C-825E-23E8CA55A6E5}">
  <sheetPr codeName="Лист5">
    <tabColor rgb="FF0070C0"/>
  </sheetPr>
  <dimension ref="A1:R45"/>
  <sheetViews>
    <sheetView workbookViewId="0">
      <selection activeCell="E54" sqref="E54"/>
    </sheetView>
  </sheetViews>
  <sheetFormatPr defaultColWidth="14.140625" defaultRowHeight="11.25" x14ac:dyDescent="0.2"/>
  <cols>
    <col min="1" max="1" width="6.140625" style="9" customWidth="1"/>
    <col min="2" max="2" width="40.140625" style="58" customWidth="1"/>
    <col min="3" max="4" width="21.140625" style="9" customWidth="1"/>
    <col min="5" max="5" width="21.140625" style="93" customWidth="1"/>
    <col min="6" max="11" width="21.140625" style="9" customWidth="1"/>
    <col min="12" max="16384" width="14.140625" style="9"/>
  </cols>
  <sheetData>
    <row r="1" spans="1:11" s="3" customFormat="1" ht="30" customHeight="1" x14ac:dyDescent="0.25">
      <c r="A1" s="105"/>
      <c r="B1" s="102" t="s">
        <v>128</v>
      </c>
      <c r="C1" s="111" t="s">
        <v>13</v>
      </c>
      <c r="D1" s="100" t="s">
        <v>125</v>
      </c>
      <c r="E1" s="113" t="s">
        <v>79</v>
      </c>
      <c r="F1" s="100" t="s">
        <v>78</v>
      </c>
      <c r="G1" s="100" t="s">
        <v>121</v>
      </c>
      <c r="H1" s="100" t="s">
        <v>122</v>
      </c>
      <c r="I1" s="100" t="s">
        <v>123</v>
      </c>
      <c r="J1" s="100" t="s">
        <v>124</v>
      </c>
      <c r="K1" s="100" t="s">
        <v>72</v>
      </c>
    </row>
    <row r="2" spans="1:11" x14ac:dyDescent="0.2">
      <c r="A2" s="106"/>
      <c r="B2" s="104"/>
      <c r="C2" s="112"/>
      <c r="D2" s="101"/>
      <c r="E2" s="114"/>
      <c r="F2" s="101"/>
      <c r="G2" s="101"/>
      <c r="H2" s="101"/>
      <c r="I2" s="101"/>
      <c r="J2" s="101"/>
      <c r="K2" s="101"/>
    </row>
    <row r="3" spans="1:11" x14ac:dyDescent="0.2">
      <c r="A3" s="107"/>
      <c r="B3" s="53"/>
      <c r="C3" s="96"/>
      <c r="D3" s="46"/>
      <c r="E3" s="87"/>
      <c r="F3" s="46"/>
      <c r="G3" s="46"/>
      <c r="H3" s="46"/>
      <c r="I3" s="46"/>
      <c r="J3" s="46"/>
      <c r="K3" s="46"/>
    </row>
    <row r="4" spans="1:11" s="3" customFormat="1" ht="12.75" hidden="1" customHeight="1" x14ac:dyDescent="0.25">
      <c r="A4" s="10" t="s">
        <v>15</v>
      </c>
      <c r="B4" s="23" t="s">
        <v>16</v>
      </c>
      <c r="C4" s="97"/>
      <c r="D4" s="12"/>
      <c r="E4" s="88"/>
      <c r="F4" s="12"/>
      <c r="G4" s="12"/>
      <c r="H4" s="12"/>
      <c r="I4" s="12"/>
      <c r="J4" s="12"/>
      <c r="K4" s="12">
        <v>0</v>
      </c>
    </row>
    <row r="5" spans="1:11" s="3" customFormat="1" ht="12.75" hidden="1" customHeight="1" x14ac:dyDescent="0.25">
      <c r="A5" s="10" t="s">
        <v>19</v>
      </c>
      <c r="B5" s="23" t="s">
        <v>20</v>
      </c>
      <c r="C5" s="97"/>
      <c r="D5" s="12"/>
      <c r="E5" s="88"/>
      <c r="F5" s="12"/>
      <c r="G5" s="12"/>
      <c r="H5" s="12"/>
      <c r="I5" s="12"/>
      <c r="J5" s="12"/>
      <c r="K5" s="12">
        <v>0</v>
      </c>
    </row>
    <row r="6" spans="1:11" s="3" customFormat="1" ht="11.25" hidden="1" customHeight="1" x14ac:dyDescent="0.25">
      <c r="A6" s="18"/>
      <c r="B6" s="54" t="s">
        <v>21</v>
      </c>
      <c r="C6" s="98"/>
      <c r="D6" s="16"/>
      <c r="E6" s="89"/>
      <c r="F6" s="16"/>
      <c r="G6" s="16"/>
      <c r="H6" s="16"/>
      <c r="I6" s="16"/>
      <c r="J6" s="16"/>
      <c r="K6" s="16"/>
    </row>
    <row r="7" spans="1:11" s="3" customFormat="1" ht="11.25" hidden="1" customHeight="1" x14ac:dyDescent="0.25">
      <c r="A7" s="18"/>
      <c r="B7" s="54" t="s">
        <v>22</v>
      </c>
      <c r="C7" s="98"/>
      <c r="D7" s="16"/>
      <c r="E7" s="89"/>
      <c r="F7" s="16"/>
      <c r="G7" s="16"/>
      <c r="H7" s="16"/>
      <c r="I7" s="16"/>
      <c r="J7" s="16"/>
      <c r="K7" s="16"/>
    </row>
    <row r="8" spans="1:11" s="19" customFormat="1" ht="12.75" x14ac:dyDescent="0.25">
      <c r="A8" s="10" t="s">
        <v>23</v>
      </c>
      <c r="B8" s="23" t="s">
        <v>24</v>
      </c>
      <c r="C8" s="97">
        <f>39694479.6+5799024</f>
        <v>45493503.600000001</v>
      </c>
      <c r="D8" s="12">
        <f>E8+F8</f>
        <v>0</v>
      </c>
      <c r="E8" s="88"/>
      <c r="F8" s="12"/>
      <c r="G8" s="12"/>
      <c r="H8" s="12"/>
      <c r="I8" s="12"/>
      <c r="J8" s="12"/>
      <c r="K8" s="12"/>
    </row>
    <row r="9" spans="1:11" s="3" customFormat="1" ht="12.75" hidden="1" customHeight="1" x14ac:dyDescent="0.25">
      <c r="A9" s="18"/>
      <c r="B9" s="54" t="s">
        <v>119</v>
      </c>
      <c r="C9" s="97"/>
      <c r="D9" s="12"/>
      <c r="E9" s="88"/>
      <c r="F9" s="12"/>
      <c r="G9" s="16"/>
      <c r="H9" s="16"/>
      <c r="I9" s="16"/>
      <c r="J9" s="16"/>
      <c r="K9" s="16"/>
    </row>
    <row r="10" spans="1:11" s="3" customFormat="1" ht="12.75" hidden="1" customHeight="1" x14ac:dyDescent="0.25">
      <c r="A10" s="18"/>
      <c r="B10" s="54" t="s">
        <v>26</v>
      </c>
      <c r="C10" s="97"/>
      <c r="D10" s="12"/>
      <c r="E10" s="88"/>
      <c r="F10" s="12"/>
      <c r="G10" s="16"/>
      <c r="H10" s="16"/>
      <c r="I10" s="16"/>
      <c r="J10" s="16"/>
      <c r="K10" s="16"/>
    </row>
    <row r="11" spans="1:11" s="3" customFormat="1" ht="12.75" hidden="1" customHeight="1" x14ac:dyDescent="0.25">
      <c r="A11" s="18"/>
      <c r="B11" s="54" t="s">
        <v>27</v>
      </c>
      <c r="C11" s="97"/>
      <c r="D11" s="12"/>
      <c r="E11" s="88"/>
      <c r="F11" s="12"/>
      <c r="G11" s="16"/>
      <c r="H11" s="16"/>
      <c r="I11" s="16"/>
      <c r="J11" s="16"/>
      <c r="K11" s="16"/>
    </row>
    <row r="12" spans="1:11" s="3" customFormat="1" ht="12.75" hidden="1" customHeight="1" x14ac:dyDescent="0.25">
      <c r="A12" s="18"/>
      <c r="B12" s="54" t="s">
        <v>28</v>
      </c>
      <c r="C12" s="97"/>
      <c r="D12" s="12"/>
      <c r="E12" s="88"/>
      <c r="F12" s="12"/>
      <c r="G12" s="16"/>
      <c r="H12" s="16"/>
      <c r="I12" s="16"/>
      <c r="J12" s="16"/>
      <c r="K12" s="16"/>
    </row>
    <row r="13" spans="1:11" s="3" customFormat="1" ht="12.75" hidden="1" customHeight="1" x14ac:dyDescent="0.25">
      <c r="A13" s="18"/>
      <c r="B13" s="54" t="s">
        <v>29</v>
      </c>
      <c r="C13" s="97"/>
      <c r="D13" s="12"/>
      <c r="E13" s="88"/>
      <c r="F13" s="12"/>
      <c r="G13" s="16"/>
      <c r="H13" s="16"/>
      <c r="I13" s="16"/>
      <c r="J13" s="16"/>
      <c r="K13" s="16"/>
    </row>
    <row r="14" spans="1:11" s="3" customFormat="1" ht="12.75" hidden="1" customHeight="1" x14ac:dyDescent="0.25">
      <c r="A14" s="18"/>
      <c r="B14" s="54" t="s">
        <v>30</v>
      </c>
      <c r="C14" s="97"/>
      <c r="D14" s="12"/>
      <c r="E14" s="88"/>
      <c r="F14" s="12"/>
      <c r="G14" s="16"/>
      <c r="H14" s="16"/>
      <c r="I14" s="16"/>
      <c r="J14" s="16"/>
      <c r="K14" s="16"/>
    </row>
    <row r="15" spans="1:11" s="3" customFormat="1" ht="12.75" hidden="1" customHeight="1" x14ac:dyDescent="0.25">
      <c r="A15" s="18"/>
      <c r="B15" s="54" t="s">
        <v>31</v>
      </c>
      <c r="C15" s="97"/>
      <c r="D15" s="12"/>
      <c r="E15" s="88"/>
      <c r="F15" s="12"/>
      <c r="G15" s="16"/>
      <c r="H15" s="16"/>
      <c r="I15" s="16"/>
      <c r="J15" s="16"/>
      <c r="K15" s="16"/>
    </row>
    <row r="16" spans="1:11" s="3" customFormat="1" ht="25.5" x14ac:dyDescent="0.25">
      <c r="A16" s="10" t="s">
        <v>32</v>
      </c>
      <c r="B16" s="23" t="s">
        <v>33</v>
      </c>
      <c r="C16" s="97">
        <v>36762741.215999998</v>
      </c>
      <c r="D16" s="12">
        <f t="shared" ref="D16:D36" si="0">E16+F16</f>
        <v>0</v>
      </c>
      <c r="E16" s="88"/>
      <c r="F16" s="12"/>
      <c r="G16" s="12"/>
      <c r="H16" s="12"/>
      <c r="I16" s="12"/>
      <c r="J16" s="12"/>
      <c r="K16" s="12"/>
    </row>
    <row r="17" spans="1:11" s="3" customFormat="1" ht="12.75" x14ac:dyDescent="0.25">
      <c r="A17" s="10" t="s">
        <v>34</v>
      </c>
      <c r="B17" s="23" t="s">
        <v>35</v>
      </c>
      <c r="C17" s="97">
        <v>22494360</v>
      </c>
      <c r="D17" s="12">
        <f t="shared" si="0"/>
        <v>0</v>
      </c>
      <c r="E17" s="88"/>
      <c r="F17" s="12"/>
      <c r="G17" s="12"/>
      <c r="H17" s="12"/>
      <c r="I17" s="12"/>
      <c r="J17" s="12"/>
      <c r="K17" s="12"/>
    </row>
    <row r="18" spans="1:11" s="3" customFormat="1" ht="12.75" x14ac:dyDescent="0.25">
      <c r="A18" s="10" t="s">
        <v>36</v>
      </c>
      <c r="B18" s="23" t="s">
        <v>37</v>
      </c>
      <c r="C18" s="97">
        <f>4706154+4767616.32</f>
        <v>9473770.3200000003</v>
      </c>
      <c r="D18" s="12">
        <f t="shared" si="0"/>
        <v>0</v>
      </c>
      <c r="E18" s="88"/>
      <c r="F18" s="12"/>
      <c r="G18" s="12"/>
      <c r="H18" s="12"/>
      <c r="I18" s="12"/>
      <c r="J18" s="12"/>
      <c r="K18" s="12"/>
    </row>
    <row r="19" spans="1:11" s="3" customFormat="1" ht="25.5" x14ac:dyDescent="0.25">
      <c r="A19" s="10" t="s">
        <v>38</v>
      </c>
      <c r="B19" s="23" t="s">
        <v>39</v>
      </c>
      <c r="C19" s="97">
        <f>5913300+1067880</f>
        <v>6981180</v>
      </c>
      <c r="D19" s="12">
        <f t="shared" si="0"/>
        <v>0</v>
      </c>
      <c r="E19" s="88"/>
      <c r="F19" s="12"/>
      <c r="G19" s="12"/>
      <c r="H19" s="12"/>
      <c r="I19" s="12"/>
      <c r="J19" s="12"/>
      <c r="K19" s="12"/>
    </row>
    <row r="20" spans="1:11" s="3" customFormat="1" ht="12.75" hidden="1" customHeight="1" x14ac:dyDescent="0.25">
      <c r="A20" s="20"/>
      <c r="B20" s="54" t="s">
        <v>40</v>
      </c>
      <c r="C20" s="97"/>
      <c r="D20" s="12">
        <f t="shared" si="0"/>
        <v>0</v>
      </c>
      <c r="E20" s="88"/>
      <c r="F20" s="12"/>
      <c r="G20" s="16"/>
      <c r="H20" s="16"/>
      <c r="I20" s="16"/>
      <c r="J20" s="16"/>
      <c r="K20" s="16"/>
    </row>
    <row r="21" spans="1:11" s="3" customFormat="1" ht="12.75" hidden="1" customHeight="1" x14ac:dyDescent="0.25">
      <c r="A21" s="20"/>
      <c r="B21" s="54" t="s">
        <v>41</v>
      </c>
      <c r="C21" s="97"/>
      <c r="D21" s="12">
        <f t="shared" si="0"/>
        <v>0</v>
      </c>
      <c r="E21" s="88"/>
      <c r="F21" s="12"/>
      <c r="G21" s="16"/>
      <c r="H21" s="16"/>
      <c r="I21" s="16"/>
      <c r="J21" s="16"/>
      <c r="K21" s="16"/>
    </row>
    <row r="22" spans="1:11" s="3" customFormat="1" ht="12.75" hidden="1" customHeight="1" x14ac:dyDescent="0.25">
      <c r="A22" s="20"/>
      <c r="B22" s="54" t="s">
        <v>42</v>
      </c>
      <c r="C22" s="97"/>
      <c r="D22" s="12">
        <f t="shared" si="0"/>
        <v>0</v>
      </c>
      <c r="E22" s="88"/>
      <c r="F22" s="12"/>
      <c r="G22" s="16"/>
      <c r="H22" s="16"/>
      <c r="I22" s="16"/>
      <c r="J22" s="16"/>
      <c r="K22" s="16"/>
    </row>
    <row r="23" spans="1:11" s="3" customFormat="1" ht="12.75" hidden="1" customHeight="1" x14ac:dyDescent="0.25">
      <c r="A23" s="20"/>
      <c r="B23" s="54" t="s">
        <v>43</v>
      </c>
      <c r="C23" s="97"/>
      <c r="D23" s="12">
        <f t="shared" si="0"/>
        <v>0</v>
      </c>
      <c r="E23" s="88"/>
      <c r="F23" s="12"/>
      <c r="G23" s="16"/>
      <c r="H23" s="16"/>
      <c r="I23" s="16"/>
      <c r="J23" s="16"/>
      <c r="K23" s="16"/>
    </row>
    <row r="24" spans="1:11" s="3" customFormat="1" ht="12.75" hidden="1" customHeight="1" x14ac:dyDescent="0.25">
      <c r="A24" s="20"/>
      <c r="B24" s="54" t="s">
        <v>44</v>
      </c>
      <c r="C24" s="97"/>
      <c r="D24" s="12">
        <f t="shared" si="0"/>
        <v>0</v>
      </c>
      <c r="E24" s="88"/>
      <c r="F24" s="12"/>
      <c r="G24" s="16"/>
      <c r="H24" s="16"/>
      <c r="I24" s="16"/>
      <c r="J24" s="16"/>
      <c r="K24" s="16"/>
    </row>
    <row r="25" spans="1:11" s="3" customFormat="1" ht="12.75" hidden="1" customHeight="1" x14ac:dyDescent="0.25">
      <c r="A25" s="10" t="s">
        <v>45</v>
      </c>
      <c r="B25" s="23" t="s">
        <v>46</v>
      </c>
      <c r="C25" s="97"/>
      <c r="D25" s="12">
        <f t="shared" si="0"/>
        <v>0</v>
      </c>
      <c r="E25" s="88"/>
      <c r="F25" s="12"/>
      <c r="G25" s="12"/>
      <c r="H25" s="12"/>
      <c r="I25" s="12"/>
      <c r="J25" s="12"/>
      <c r="K25" s="12"/>
    </row>
    <row r="26" spans="1:11" s="3" customFormat="1" ht="12.75" x14ac:dyDescent="0.25">
      <c r="A26" s="10" t="s">
        <v>47</v>
      </c>
      <c r="B26" s="23" t="s">
        <v>48</v>
      </c>
      <c r="C26" s="97">
        <v>52602343.836000003</v>
      </c>
      <c r="D26" s="12">
        <f t="shared" si="0"/>
        <v>0</v>
      </c>
      <c r="E26" s="88"/>
      <c r="F26" s="12"/>
      <c r="G26" s="12"/>
      <c r="H26" s="12"/>
      <c r="I26" s="12"/>
      <c r="J26" s="12"/>
      <c r="K26" s="12"/>
    </row>
    <row r="27" spans="1:11" s="3" customFormat="1" ht="12.75" hidden="1" customHeight="1" x14ac:dyDescent="0.25">
      <c r="A27" s="10" t="s">
        <v>49</v>
      </c>
      <c r="B27" s="23" t="s">
        <v>50</v>
      </c>
      <c r="C27" s="97"/>
      <c r="D27" s="12">
        <f t="shared" si="0"/>
        <v>0</v>
      </c>
      <c r="E27" s="88"/>
      <c r="F27" s="12"/>
      <c r="G27" s="12"/>
      <c r="H27" s="12"/>
      <c r="I27" s="12"/>
      <c r="J27" s="12"/>
      <c r="K27" s="12"/>
    </row>
    <row r="28" spans="1:11" s="3" customFormat="1" ht="12.75" hidden="1" customHeight="1" x14ac:dyDescent="0.25">
      <c r="A28" s="18"/>
      <c r="B28" s="54" t="s">
        <v>51</v>
      </c>
      <c r="C28" s="97"/>
      <c r="D28" s="12">
        <f t="shared" si="0"/>
        <v>0</v>
      </c>
      <c r="E28" s="88"/>
      <c r="F28" s="12"/>
      <c r="G28" s="16"/>
      <c r="H28" s="16"/>
      <c r="I28" s="16"/>
      <c r="J28" s="16"/>
      <c r="K28" s="16"/>
    </row>
    <row r="29" spans="1:11" s="3" customFormat="1" ht="12.75" hidden="1" customHeight="1" x14ac:dyDescent="0.25">
      <c r="A29" s="18"/>
      <c r="B29" s="54" t="s">
        <v>52</v>
      </c>
      <c r="C29" s="97"/>
      <c r="D29" s="12">
        <f t="shared" si="0"/>
        <v>0</v>
      </c>
      <c r="E29" s="88"/>
      <c r="F29" s="12"/>
      <c r="G29" s="16"/>
      <c r="H29" s="16"/>
      <c r="I29" s="16"/>
      <c r="J29" s="16"/>
      <c r="K29" s="16"/>
    </row>
    <row r="30" spans="1:11" s="3" customFormat="1" ht="11.25" hidden="1" customHeight="1" x14ac:dyDescent="0.25">
      <c r="A30" s="18"/>
      <c r="B30" s="54" t="s">
        <v>53</v>
      </c>
      <c r="C30" s="97"/>
      <c r="D30" s="12">
        <f t="shared" si="0"/>
        <v>0</v>
      </c>
      <c r="E30" s="88"/>
      <c r="F30" s="12"/>
      <c r="G30" s="16"/>
      <c r="H30" s="16"/>
      <c r="I30" s="16"/>
      <c r="J30" s="16"/>
      <c r="K30" s="16"/>
    </row>
    <row r="31" spans="1:11" s="3" customFormat="1" ht="12.75" hidden="1" customHeight="1" x14ac:dyDescent="0.25">
      <c r="A31" s="18"/>
      <c r="B31" s="54" t="s">
        <v>54</v>
      </c>
      <c r="C31" s="97"/>
      <c r="D31" s="12">
        <f t="shared" si="0"/>
        <v>0</v>
      </c>
      <c r="E31" s="88"/>
      <c r="F31" s="12"/>
      <c r="G31" s="16"/>
      <c r="H31" s="16"/>
      <c r="I31" s="16"/>
      <c r="J31" s="16"/>
      <c r="K31" s="16"/>
    </row>
    <row r="32" spans="1:11" s="3" customFormat="1" ht="51" x14ac:dyDescent="0.25">
      <c r="A32" s="10" t="s">
        <v>55</v>
      </c>
      <c r="B32" s="23" t="s">
        <v>56</v>
      </c>
      <c r="C32" s="97">
        <v>9562138.3919999991</v>
      </c>
      <c r="D32" s="12">
        <f t="shared" si="0"/>
        <v>0</v>
      </c>
      <c r="E32" s="88"/>
      <c r="F32" s="12"/>
      <c r="G32" s="12"/>
      <c r="H32" s="12"/>
      <c r="I32" s="12"/>
      <c r="J32" s="12"/>
      <c r="K32" s="12"/>
    </row>
    <row r="33" spans="1:18" s="3" customFormat="1" ht="38.25" x14ac:dyDescent="0.25">
      <c r="A33" s="10" t="s">
        <v>57</v>
      </c>
      <c r="B33" s="23" t="s">
        <v>58</v>
      </c>
      <c r="C33" s="97">
        <f>3296325.648+10130022.88</f>
        <v>13426348.528000001</v>
      </c>
      <c r="D33" s="12">
        <f t="shared" si="0"/>
        <v>0</v>
      </c>
      <c r="E33" s="88"/>
      <c r="F33" s="12"/>
      <c r="G33" s="12"/>
      <c r="H33" s="12"/>
      <c r="I33" s="12"/>
      <c r="J33" s="12"/>
      <c r="K33" s="12"/>
    </row>
    <row r="34" spans="1:18" s="3" customFormat="1" ht="63.75" x14ac:dyDescent="0.25">
      <c r="A34" s="10" t="s">
        <v>59</v>
      </c>
      <c r="B34" s="23" t="s">
        <v>60</v>
      </c>
      <c r="C34" s="97">
        <f>841680+1980000+11952570.408-10130022.88+4209827.604</f>
        <v>8854055.1319999993</v>
      </c>
      <c r="D34" s="12">
        <f t="shared" si="0"/>
        <v>0</v>
      </c>
      <c r="E34" s="88"/>
      <c r="F34" s="12"/>
      <c r="G34" s="12"/>
      <c r="H34" s="12"/>
      <c r="I34" s="12"/>
      <c r="J34" s="12"/>
      <c r="K34" s="12"/>
    </row>
    <row r="35" spans="1:18" s="3" customFormat="1" ht="12.75" x14ac:dyDescent="0.25">
      <c r="A35" s="10" t="s">
        <v>61</v>
      </c>
      <c r="B35" s="23" t="s">
        <v>62</v>
      </c>
      <c r="C35" s="97"/>
      <c r="D35" s="12">
        <f t="shared" si="0"/>
        <v>0</v>
      </c>
      <c r="E35" s="88"/>
      <c r="F35" s="12"/>
      <c r="G35" s="12"/>
      <c r="H35" s="12"/>
      <c r="I35" s="12"/>
      <c r="J35" s="12"/>
      <c r="K35" s="12"/>
    </row>
    <row r="36" spans="1:18" s="28" customFormat="1" ht="18.75" x14ac:dyDescent="0.25">
      <c r="A36" s="24"/>
      <c r="B36" s="55" t="s">
        <v>63</v>
      </c>
      <c r="C36" s="99">
        <f>SUM(C8:C35)</f>
        <v>205650441.02399999</v>
      </c>
      <c r="D36" s="26">
        <f t="shared" si="0"/>
        <v>0</v>
      </c>
      <c r="E36" s="90">
        <f t="shared" ref="E36:H36" si="1">E8+E16+E17+E18+E19+E26+E32+E33+E34+E35</f>
        <v>0</v>
      </c>
      <c r="F36" s="26">
        <f t="shared" si="1"/>
        <v>0</v>
      </c>
      <c r="G36" s="26">
        <f t="shared" si="1"/>
        <v>0</v>
      </c>
      <c r="H36" s="26">
        <f t="shared" si="1"/>
        <v>0</v>
      </c>
      <c r="I36" s="26">
        <f>I8+I16+I17+I18+I19+I26+I32+I33+I34+I35</f>
        <v>0</v>
      </c>
      <c r="J36" s="26">
        <f>J16+J17+J19+J26+J32+J33+J34+J35</f>
        <v>0</v>
      </c>
      <c r="K36" s="26">
        <v>4246706.5599999996</v>
      </c>
    </row>
    <row r="37" spans="1:18" ht="23.25" x14ac:dyDescent="0.35">
      <c r="A37" s="32"/>
      <c r="B37" s="57"/>
      <c r="C37" s="36"/>
      <c r="D37" s="36"/>
      <c r="E37" s="91"/>
      <c r="F37" s="36"/>
      <c r="G37" s="36"/>
      <c r="H37" s="36"/>
      <c r="I37" s="36"/>
      <c r="J37" s="36"/>
      <c r="K37" s="36"/>
    </row>
    <row r="38" spans="1:18" x14ac:dyDescent="0.2">
      <c r="C38" s="38"/>
      <c r="D38" s="38"/>
      <c r="E38" s="92"/>
      <c r="F38" s="38"/>
      <c r="G38" s="38"/>
      <c r="H38" s="38"/>
      <c r="I38" s="38"/>
      <c r="J38" s="38"/>
      <c r="K38" s="38"/>
    </row>
    <row r="39" spans="1:18" s="34" customFormat="1" x14ac:dyDescent="0.2">
      <c r="A39" s="9"/>
      <c r="B39" s="58"/>
      <c r="C39" s="38"/>
      <c r="D39" s="38"/>
      <c r="E39" s="92"/>
      <c r="F39" s="38"/>
      <c r="G39" s="38"/>
      <c r="H39" s="38"/>
      <c r="I39" s="38"/>
      <c r="J39" s="38"/>
      <c r="K39" s="38"/>
      <c r="L39" s="9"/>
      <c r="M39" s="9"/>
      <c r="N39" s="9"/>
      <c r="O39" s="9"/>
      <c r="P39" s="9"/>
      <c r="Q39" s="9"/>
      <c r="R39" s="9"/>
    </row>
    <row r="40" spans="1:18" x14ac:dyDescent="0.2">
      <c r="C40" s="38"/>
    </row>
    <row r="41" spans="1:18" x14ac:dyDescent="0.2">
      <c r="C41" s="38"/>
    </row>
    <row r="42" spans="1:18" x14ac:dyDescent="0.2">
      <c r="C42" s="38">
        <v>3508189.67</v>
      </c>
      <c r="D42" s="9">
        <v>4209827.6039999994</v>
      </c>
    </row>
    <row r="43" spans="1:18" x14ac:dyDescent="0.2">
      <c r="C43" s="38">
        <f>SUM(C39:C42)</f>
        <v>3508189.67</v>
      </c>
    </row>
    <row r="44" spans="1:18" x14ac:dyDescent="0.2">
      <c r="C44" s="38">
        <v>1.2</v>
      </c>
    </row>
    <row r="45" spans="1:18" x14ac:dyDescent="0.2">
      <c r="C45" s="38">
        <f>C43*C44</f>
        <v>4209827.6039999994</v>
      </c>
    </row>
  </sheetData>
  <mergeCells count="11">
    <mergeCell ref="F1:F2"/>
    <mergeCell ref="A1:A3"/>
    <mergeCell ref="B1:B2"/>
    <mergeCell ref="C1:C2"/>
    <mergeCell ref="D1:D2"/>
    <mergeCell ref="E1:E2"/>
    <mergeCell ref="G1:G2"/>
    <mergeCell ref="H1:H2"/>
    <mergeCell ref="I1:I2"/>
    <mergeCell ref="J1:J2"/>
    <mergeCell ref="K1:K2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5A4B4-7F84-4641-96BD-217674ADEFBC}">
  <sheetPr codeName="Лист6">
    <tabColor rgb="FF00B0F0"/>
  </sheetPr>
  <dimension ref="A1:R47"/>
  <sheetViews>
    <sheetView workbookViewId="0">
      <selection activeCell="C40" sqref="C40"/>
    </sheetView>
  </sheetViews>
  <sheetFormatPr defaultColWidth="14.140625" defaultRowHeight="11.25" x14ac:dyDescent="0.2"/>
  <cols>
    <col min="1" max="1" width="6.140625" style="9" customWidth="1"/>
    <col min="2" max="2" width="40.140625" style="58" customWidth="1"/>
    <col min="3" max="4" width="21.140625" style="9" customWidth="1"/>
    <col min="5" max="5" width="21.140625" style="93" customWidth="1"/>
    <col min="6" max="11" width="21.140625" style="9" customWidth="1"/>
    <col min="12" max="16384" width="14.140625" style="9"/>
  </cols>
  <sheetData>
    <row r="1" spans="1:11" s="3" customFormat="1" ht="30" customHeight="1" x14ac:dyDescent="0.25">
      <c r="A1" s="105"/>
      <c r="B1" s="102" t="s">
        <v>130</v>
      </c>
      <c r="C1" s="111" t="s">
        <v>13</v>
      </c>
      <c r="D1" s="100" t="s">
        <v>125</v>
      </c>
      <c r="E1" s="113" t="s">
        <v>79</v>
      </c>
      <c r="F1" s="100" t="s">
        <v>78</v>
      </c>
      <c r="G1" s="100" t="s">
        <v>121</v>
      </c>
      <c r="H1" s="100" t="s">
        <v>122</v>
      </c>
      <c r="I1" s="100" t="s">
        <v>123</v>
      </c>
      <c r="J1" s="100" t="s">
        <v>124</v>
      </c>
      <c r="K1" s="100" t="s">
        <v>72</v>
      </c>
    </row>
    <row r="2" spans="1:11" x14ac:dyDescent="0.2">
      <c r="A2" s="106"/>
      <c r="B2" s="104"/>
      <c r="C2" s="112"/>
      <c r="D2" s="101"/>
      <c r="E2" s="114"/>
      <c r="F2" s="101"/>
      <c r="G2" s="101"/>
      <c r="H2" s="101"/>
      <c r="I2" s="101"/>
      <c r="J2" s="101"/>
      <c r="K2" s="101"/>
    </row>
    <row r="3" spans="1:11" x14ac:dyDescent="0.2">
      <c r="A3" s="107"/>
      <c r="B3" s="53"/>
      <c r="C3" s="96"/>
      <c r="D3" s="46"/>
      <c r="E3" s="87"/>
      <c r="F3" s="46"/>
      <c r="G3" s="46"/>
      <c r="H3" s="46"/>
      <c r="I3" s="46"/>
      <c r="J3" s="46"/>
      <c r="K3" s="46"/>
    </row>
    <row r="4" spans="1:11" s="3" customFormat="1" ht="12.75" hidden="1" customHeight="1" x14ac:dyDescent="0.25">
      <c r="A4" s="10" t="s">
        <v>15</v>
      </c>
      <c r="B4" s="23" t="s">
        <v>16</v>
      </c>
      <c r="C4" s="97"/>
      <c r="D4" s="12"/>
      <c r="E4" s="88"/>
      <c r="F4" s="12"/>
      <c r="G4" s="12"/>
      <c r="H4" s="12"/>
      <c r="I4" s="12"/>
      <c r="J4" s="12"/>
      <c r="K4" s="12">
        <v>0</v>
      </c>
    </row>
    <row r="5" spans="1:11" s="3" customFormat="1" ht="12.75" hidden="1" customHeight="1" x14ac:dyDescent="0.25">
      <c r="A5" s="10" t="s">
        <v>19</v>
      </c>
      <c r="B5" s="23" t="s">
        <v>20</v>
      </c>
      <c r="C5" s="97"/>
      <c r="D5" s="12"/>
      <c r="E5" s="88"/>
      <c r="F5" s="12"/>
      <c r="G5" s="12"/>
      <c r="H5" s="12"/>
      <c r="I5" s="12"/>
      <c r="J5" s="12"/>
      <c r="K5" s="12">
        <v>0</v>
      </c>
    </row>
    <row r="6" spans="1:11" s="3" customFormat="1" ht="11.25" hidden="1" customHeight="1" x14ac:dyDescent="0.25">
      <c r="A6" s="18"/>
      <c r="B6" s="54" t="s">
        <v>21</v>
      </c>
      <c r="C6" s="98"/>
      <c r="D6" s="16"/>
      <c r="E6" s="89"/>
      <c r="F6" s="16"/>
      <c r="G6" s="16"/>
      <c r="H6" s="16"/>
      <c r="I6" s="16"/>
      <c r="J6" s="16"/>
      <c r="K6" s="16"/>
    </row>
    <row r="7" spans="1:11" s="3" customFormat="1" ht="11.25" hidden="1" customHeight="1" x14ac:dyDescent="0.25">
      <c r="A7" s="18"/>
      <c r="B7" s="54" t="s">
        <v>22</v>
      </c>
      <c r="C7" s="98"/>
      <c r="D7" s="16"/>
      <c r="E7" s="89"/>
      <c r="F7" s="16"/>
      <c r="G7" s="16"/>
      <c r="H7" s="16"/>
      <c r="I7" s="16"/>
      <c r="J7" s="16"/>
      <c r="K7" s="16"/>
    </row>
    <row r="8" spans="1:11" s="19" customFormat="1" ht="12.75" x14ac:dyDescent="0.25">
      <c r="A8" s="10" t="s">
        <v>23</v>
      </c>
      <c r="B8" s="23" t="s">
        <v>24</v>
      </c>
      <c r="C8" s="97">
        <f>8280328.032+655200</f>
        <v>8935528.0319999997</v>
      </c>
      <c r="D8" s="12">
        <f>E8+F8</f>
        <v>0</v>
      </c>
      <c r="E8" s="88"/>
      <c r="F8" s="12"/>
      <c r="G8" s="12"/>
      <c r="H8" s="12"/>
      <c r="I8" s="12"/>
      <c r="J8" s="12"/>
      <c r="K8" s="12"/>
    </row>
    <row r="9" spans="1:11" s="3" customFormat="1" ht="12.75" hidden="1" customHeight="1" x14ac:dyDescent="0.25">
      <c r="A9" s="18"/>
      <c r="B9" s="54" t="s">
        <v>119</v>
      </c>
      <c r="C9" s="97"/>
      <c r="D9" s="12"/>
      <c r="E9" s="88"/>
      <c r="F9" s="12"/>
      <c r="G9" s="16"/>
      <c r="H9" s="16"/>
      <c r="I9" s="16"/>
      <c r="J9" s="16"/>
      <c r="K9" s="16"/>
    </row>
    <row r="10" spans="1:11" s="3" customFormat="1" ht="12.75" hidden="1" customHeight="1" x14ac:dyDescent="0.25">
      <c r="A10" s="18"/>
      <c r="B10" s="54" t="s">
        <v>26</v>
      </c>
      <c r="C10" s="97"/>
      <c r="D10" s="12"/>
      <c r="E10" s="88"/>
      <c r="F10" s="12"/>
      <c r="G10" s="16"/>
      <c r="H10" s="16"/>
      <c r="I10" s="16"/>
      <c r="J10" s="16"/>
      <c r="K10" s="16"/>
    </row>
    <row r="11" spans="1:11" s="3" customFormat="1" ht="12.75" hidden="1" customHeight="1" x14ac:dyDescent="0.25">
      <c r="A11" s="18"/>
      <c r="B11" s="54" t="s">
        <v>27</v>
      </c>
      <c r="C11" s="97"/>
      <c r="D11" s="12"/>
      <c r="E11" s="88"/>
      <c r="F11" s="12"/>
      <c r="G11" s="16"/>
      <c r="H11" s="16"/>
      <c r="I11" s="16"/>
      <c r="J11" s="16"/>
      <c r="K11" s="16"/>
    </row>
    <row r="12" spans="1:11" s="3" customFormat="1" ht="12.75" hidden="1" customHeight="1" x14ac:dyDescent="0.25">
      <c r="A12" s="18"/>
      <c r="B12" s="54" t="s">
        <v>28</v>
      </c>
      <c r="C12" s="97"/>
      <c r="D12" s="12"/>
      <c r="E12" s="88"/>
      <c r="F12" s="12"/>
      <c r="G12" s="16"/>
      <c r="H12" s="16"/>
      <c r="I12" s="16"/>
      <c r="J12" s="16"/>
      <c r="K12" s="16"/>
    </row>
    <row r="13" spans="1:11" s="3" customFormat="1" ht="12.75" hidden="1" customHeight="1" x14ac:dyDescent="0.25">
      <c r="A13" s="18"/>
      <c r="B13" s="54" t="s">
        <v>29</v>
      </c>
      <c r="C13" s="97"/>
      <c r="D13" s="12"/>
      <c r="E13" s="88"/>
      <c r="F13" s="12"/>
      <c r="G13" s="16"/>
      <c r="H13" s="16"/>
      <c r="I13" s="16"/>
      <c r="J13" s="16"/>
      <c r="K13" s="16"/>
    </row>
    <row r="14" spans="1:11" s="3" customFormat="1" ht="12.75" hidden="1" customHeight="1" x14ac:dyDescent="0.25">
      <c r="A14" s="18"/>
      <c r="B14" s="54" t="s">
        <v>30</v>
      </c>
      <c r="C14" s="97"/>
      <c r="D14" s="12"/>
      <c r="E14" s="88"/>
      <c r="F14" s="12"/>
      <c r="G14" s="16"/>
      <c r="H14" s="16"/>
      <c r="I14" s="16"/>
      <c r="J14" s="16"/>
      <c r="K14" s="16"/>
    </row>
    <row r="15" spans="1:11" s="3" customFormat="1" ht="12.75" hidden="1" customHeight="1" x14ac:dyDescent="0.25">
      <c r="A15" s="18"/>
      <c r="B15" s="54" t="s">
        <v>31</v>
      </c>
      <c r="C15" s="97"/>
      <c r="D15" s="12"/>
      <c r="E15" s="88"/>
      <c r="F15" s="12"/>
      <c r="G15" s="16"/>
      <c r="H15" s="16"/>
      <c r="I15" s="16"/>
      <c r="J15" s="16"/>
      <c r="K15" s="16"/>
    </row>
    <row r="16" spans="1:11" s="3" customFormat="1" ht="25.5" x14ac:dyDescent="0.25">
      <c r="A16" s="10" t="s">
        <v>32</v>
      </c>
      <c r="B16" s="23" t="s">
        <v>33</v>
      </c>
      <c r="C16" s="97">
        <v>4679568</v>
      </c>
      <c r="D16" s="12">
        <f t="shared" ref="D16:D36" si="0">E16+F16</f>
        <v>0</v>
      </c>
      <c r="E16" s="88"/>
      <c r="F16" s="12"/>
      <c r="G16" s="12"/>
      <c r="H16" s="12"/>
      <c r="I16" s="12"/>
      <c r="J16" s="12"/>
      <c r="K16" s="12"/>
    </row>
    <row r="17" spans="1:11" s="3" customFormat="1" ht="12.75" x14ac:dyDescent="0.25">
      <c r="A17" s="10" t="s">
        <v>34</v>
      </c>
      <c r="B17" s="23" t="s">
        <v>35</v>
      </c>
      <c r="C17" s="97">
        <v>4693344</v>
      </c>
      <c r="D17" s="12">
        <f t="shared" si="0"/>
        <v>0</v>
      </c>
      <c r="E17" s="88"/>
      <c r="F17" s="12"/>
      <c r="G17" s="12"/>
      <c r="H17" s="12"/>
      <c r="I17" s="12"/>
      <c r="J17" s="12"/>
      <c r="K17" s="12"/>
    </row>
    <row r="18" spans="1:11" s="3" customFormat="1" ht="12.75" x14ac:dyDescent="0.25">
      <c r="A18" s="10" t="s">
        <v>36</v>
      </c>
      <c r="B18" s="23" t="s">
        <v>37</v>
      </c>
      <c r="C18" s="97">
        <f>1172210.88+641484</f>
        <v>1813694.88</v>
      </c>
      <c r="D18" s="12">
        <f t="shared" si="0"/>
        <v>0</v>
      </c>
      <c r="E18" s="88"/>
      <c r="F18" s="12"/>
      <c r="G18" s="12"/>
      <c r="H18" s="12"/>
      <c r="I18" s="12"/>
      <c r="J18" s="12"/>
      <c r="K18" s="12"/>
    </row>
    <row r="19" spans="1:11" s="3" customFormat="1" ht="25.5" x14ac:dyDescent="0.25">
      <c r="A19" s="10" t="s">
        <v>38</v>
      </c>
      <c r="B19" s="23" t="s">
        <v>39</v>
      </c>
      <c r="C19" s="97"/>
      <c r="D19" s="12">
        <f t="shared" si="0"/>
        <v>0</v>
      </c>
      <c r="E19" s="88"/>
      <c r="F19" s="12"/>
      <c r="G19" s="12"/>
      <c r="H19" s="12"/>
      <c r="I19" s="12"/>
      <c r="J19" s="12"/>
      <c r="K19" s="12"/>
    </row>
    <row r="20" spans="1:11" s="3" customFormat="1" ht="12.75" hidden="1" customHeight="1" x14ac:dyDescent="0.25">
      <c r="A20" s="20"/>
      <c r="B20" s="54" t="s">
        <v>40</v>
      </c>
      <c r="C20" s="97"/>
      <c r="D20" s="12">
        <f t="shared" si="0"/>
        <v>0</v>
      </c>
      <c r="E20" s="88"/>
      <c r="F20" s="12"/>
      <c r="G20" s="16"/>
      <c r="H20" s="16"/>
      <c r="I20" s="16"/>
      <c r="J20" s="16"/>
      <c r="K20" s="16"/>
    </row>
    <row r="21" spans="1:11" s="3" customFormat="1" ht="12.75" hidden="1" customHeight="1" x14ac:dyDescent="0.25">
      <c r="A21" s="20"/>
      <c r="B21" s="54" t="s">
        <v>41</v>
      </c>
      <c r="C21" s="97"/>
      <c r="D21" s="12">
        <f t="shared" si="0"/>
        <v>0</v>
      </c>
      <c r="E21" s="88"/>
      <c r="F21" s="12"/>
      <c r="G21" s="16"/>
      <c r="H21" s="16"/>
      <c r="I21" s="16"/>
      <c r="J21" s="16"/>
      <c r="K21" s="16"/>
    </row>
    <row r="22" spans="1:11" s="3" customFormat="1" ht="12.75" hidden="1" customHeight="1" x14ac:dyDescent="0.25">
      <c r="A22" s="20"/>
      <c r="B22" s="54" t="s">
        <v>42</v>
      </c>
      <c r="C22" s="97"/>
      <c r="D22" s="12">
        <f t="shared" si="0"/>
        <v>0</v>
      </c>
      <c r="E22" s="88"/>
      <c r="F22" s="12"/>
      <c r="G22" s="16"/>
      <c r="H22" s="16"/>
      <c r="I22" s="16"/>
      <c r="J22" s="16"/>
      <c r="K22" s="16"/>
    </row>
    <row r="23" spans="1:11" s="3" customFormat="1" ht="12.75" hidden="1" customHeight="1" x14ac:dyDescent="0.25">
      <c r="A23" s="20"/>
      <c r="B23" s="54" t="s">
        <v>43</v>
      </c>
      <c r="C23" s="97"/>
      <c r="D23" s="12">
        <f t="shared" si="0"/>
        <v>0</v>
      </c>
      <c r="E23" s="88"/>
      <c r="F23" s="12"/>
      <c r="G23" s="16"/>
      <c r="H23" s="16"/>
      <c r="I23" s="16"/>
      <c r="J23" s="16"/>
      <c r="K23" s="16"/>
    </row>
    <row r="24" spans="1:11" s="3" customFormat="1" ht="12.75" hidden="1" customHeight="1" x14ac:dyDescent="0.25">
      <c r="A24" s="20"/>
      <c r="B24" s="54" t="s">
        <v>44</v>
      </c>
      <c r="C24" s="97"/>
      <c r="D24" s="12">
        <f t="shared" si="0"/>
        <v>0</v>
      </c>
      <c r="E24" s="88"/>
      <c r="F24" s="12"/>
      <c r="G24" s="16"/>
      <c r="H24" s="16"/>
      <c r="I24" s="16"/>
      <c r="J24" s="16"/>
      <c r="K24" s="16"/>
    </row>
    <row r="25" spans="1:11" s="3" customFormat="1" ht="12.75" hidden="1" customHeight="1" x14ac:dyDescent="0.25">
      <c r="A25" s="10" t="s">
        <v>45</v>
      </c>
      <c r="B25" s="23" t="s">
        <v>46</v>
      </c>
      <c r="C25" s="97"/>
      <c r="D25" s="12">
        <f t="shared" si="0"/>
        <v>0</v>
      </c>
      <c r="E25" s="88"/>
      <c r="F25" s="12"/>
      <c r="G25" s="12"/>
      <c r="H25" s="12"/>
      <c r="I25" s="12"/>
      <c r="J25" s="12"/>
      <c r="K25" s="12"/>
    </row>
    <row r="26" spans="1:11" s="3" customFormat="1" ht="12.75" x14ac:dyDescent="0.25">
      <c r="A26" s="10" t="s">
        <v>47</v>
      </c>
      <c r="B26" s="23" t="s">
        <v>48</v>
      </c>
      <c r="C26" s="97">
        <v>4622630.22</v>
      </c>
      <c r="D26" s="12">
        <f t="shared" si="0"/>
        <v>0</v>
      </c>
      <c r="E26" s="88"/>
      <c r="F26" s="12"/>
      <c r="G26" s="12"/>
      <c r="H26" s="12"/>
      <c r="I26" s="12"/>
      <c r="J26" s="12"/>
      <c r="K26" s="12"/>
    </row>
    <row r="27" spans="1:11" s="3" customFormat="1" ht="12.75" hidden="1" customHeight="1" x14ac:dyDescent="0.25">
      <c r="A27" s="10" t="s">
        <v>49</v>
      </c>
      <c r="B27" s="23" t="s">
        <v>50</v>
      </c>
      <c r="C27" s="97"/>
      <c r="D27" s="12">
        <f t="shared" si="0"/>
        <v>0</v>
      </c>
      <c r="E27" s="88"/>
      <c r="F27" s="12"/>
      <c r="G27" s="12"/>
      <c r="H27" s="12"/>
      <c r="I27" s="12"/>
      <c r="J27" s="12"/>
      <c r="K27" s="12"/>
    </row>
    <row r="28" spans="1:11" s="3" customFormat="1" ht="12.75" hidden="1" customHeight="1" x14ac:dyDescent="0.25">
      <c r="A28" s="18"/>
      <c r="B28" s="54" t="s">
        <v>51</v>
      </c>
      <c r="C28" s="97"/>
      <c r="D28" s="12">
        <f t="shared" si="0"/>
        <v>0</v>
      </c>
      <c r="E28" s="88"/>
      <c r="F28" s="12"/>
      <c r="G28" s="16"/>
      <c r="H28" s="16"/>
      <c r="I28" s="16"/>
      <c r="J28" s="16"/>
      <c r="K28" s="16"/>
    </row>
    <row r="29" spans="1:11" s="3" customFormat="1" ht="12.75" hidden="1" customHeight="1" x14ac:dyDescent="0.25">
      <c r="A29" s="18"/>
      <c r="B29" s="54" t="s">
        <v>52</v>
      </c>
      <c r="C29" s="97"/>
      <c r="D29" s="12">
        <f t="shared" si="0"/>
        <v>0</v>
      </c>
      <c r="E29" s="88"/>
      <c r="F29" s="12"/>
      <c r="G29" s="16"/>
      <c r="H29" s="16"/>
      <c r="I29" s="16"/>
      <c r="J29" s="16"/>
      <c r="K29" s="16"/>
    </row>
    <row r="30" spans="1:11" s="3" customFormat="1" ht="11.25" hidden="1" customHeight="1" x14ac:dyDescent="0.25">
      <c r="A30" s="18"/>
      <c r="B30" s="54" t="s">
        <v>53</v>
      </c>
      <c r="C30" s="97"/>
      <c r="D30" s="12">
        <f t="shared" si="0"/>
        <v>0</v>
      </c>
      <c r="E30" s="88"/>
      <c r="F30" s="12"/>
      <c r="G30" s="16"/>
      <c r="H30" s="16"/>
      <c r="I30" s="16"/>
      <c r="J30" s="16"/>
      <c r="K30" s="16"/>
    </row>
    <row r="31" spans="1:11" s="3" customFormat="1" ht="12.75" hidden="1" customHeight="1" x14ac:dyDescent="0.25">
      <c r="A31" s="18"/>
      <c r="B31" s="54" t="s">
        <v>54</v>
      </c>
      <c r="C31" s="97"/>
      <c r="D31" s="12">
        <f t="shared" si="0"/>
        <v>0</v>
      </c>
      <c r="E31" s="88"/>
      <c r="F31" s="12"/>
      <c r="G31" s="16"/>
      <c r="H31" s="16"/>
      <c r="I31" s="16"/>
      <c r="J31" s="16"/>
      <c r="K31" s="16"/>
    </row>
    <row r="32" spans="1:11" s="3" customFormat="1" ht="51" x14ac:dyDescent="0.25">
      <c r="A32" s="10" t="s">
        <v>55</v>
      </c>
      <c r="B32" s="23" t="s">
        <v>56</v>
      </c>
      <c r="C32" s="97">
        <v>1680673.7039999999</v>
      </c>
      <c r="D32" s="12">
        <f t="shared" si="0"/>
        <v>0</v>
      </c>
      <c r="E32" s="88"/>
      <c r="F32" s="12"/>
      <c r="G32" s="12"/>
      <c r="H32" s="12"/>
      <c r="I32" s="12"/>
      <c r="J32" s="12"/>
      <c r="K32" s="12"/>
    </row>
    <row r="33" spans="1:18" s="3" customFormat="1" ht="38.25" x14ac:dyDescent="0.25">
      <c r="A33" s="10" t="s">
        <v>57</v>
      </c>
      <c r="B33" s="23" t="s">
        <v>58</v>
      </c>
      <c r="C33" s="97">
        <f>869031.312+10130022.88</f>
        <v>10999054.192000002</v>
      </c>
      <c r="D33" s="12">
        <f t="shared" si="0"/>
        <v>0</v>
      </c>
      <c r="E33" s="88"/>
      <c r="F33" s="12"/>
      <c r="G33" s="12"/>
      <c r="H33" s="12"/>
      <c r="I33" s="12"/>
      <c r="J33" s="12"/>
      <c r="K33" s="12"/>
    </row>
    <row r="34" spans="1:18" s="3" customFormat="1" ht="63.75" x14ac:dyDescent="0.25">
      <c r="A34" s="10" t="s">
        <v>59</v>
      </c>
      <c r="B34" s="23" t="s">
        <v>60</v>
      </c>
      <c r="C34" s="97">
        <f>522000+857069.184+12650877.528-10130022.88</f>
        <v>3899923.8320000004</v>
      </c>
      <c r="D34" s="12">
        <f t="shared" si="0"/>
        <v>0</v>
      </c>
      <c r="E34" s="88"/>
      <c r="F34" s="12"/>
      <c r="G34" s="12"/>
      <c r="H34" s="12"/>
      <c r="I34" s="12"/>
      <c r="J34" s="12"/>
      <c r="K34" s="12"/>
    </row>
    <row r="35" spans="1:18" s="3" customFormat="1" ht="12.75" x14ac:dyDescent="0.25">
      <c r="A35" s="10" t="s">
        <v>61</v>
      </c>
      <c r="B35" s="23" t="s">
        <v>62</v>
      </c>
      <c r="C35" s="97"/>
      <c r="D35" s="12">
        <f t="shared" si="0"/>
        <v>0</v>
      </c>
      <c r="E35" s="88"/>
      <c r="F35" s="12"/>
      <c r="G35" s="12"/>
      <c r="H35" s="12"/>
      <c r="I35" s="12"/>
      <c r="J35" s="12"/>
      <c r="K35" s="12"/>
    </row>
    <row r="36" spans="1:18" s="28" customFormat="1" ht="18.75" x14ac:dyDescent="0.25">
      <c r="A36" s="24"/>
      <c r="B36" s="55" t="s">
        <v>63</v>
      </c>
      <c r="C36" s="99">
        <f>SUM(C8:C35)</f>
        <v>41324416.859999999</v>
      </c>
      <c r="D36" s="26">
        <f t="shared" si="0"/>
        <v>0</v>
      </c>
      <c r="E36" s="90">
        <f t="shared" ref="E36:H36" si="1">E8+E16+E17+E18+E19+E26+E32+E33+E34+E35</f>
        <v>0</v>
      </c>
      <c r="F36" s="26">
        <f t="shared" si="1"/>
        <v>0</v>
      </c>
      <c r="G36" s="26">
        <f t="shared" si="1"/>
        <v>0</v>
      </c>
      <c r="H36" s="26">
        <f t="shared" si="1"/>
        <v>0</v>
      </c>
      <c r="I36" s="26">
        <f>I8+I16+I17+I18+I19+I26+I32+I33+I34+I35</f>
        <v>0</v>
      </c>
      <c r="J36" s="26">
        <f>J16+J17+J19+J26+J32+J33+J34+J35</f>
        <v>0</v>
      </c>
      <c r="K36" s="26">
        <v>4246706.5599999996</v>
      </c>
    </row>
    <row r="37" spans="1:18" ht="23.25" x14ac:dyDescent="0.35">
      <c r="A37" s="32"/>
      <c r="B37" s="57"/>
      <c r="C37" s="36"/>
      <c r="D37" s="36"/>
      <c r="E37" s="91"/>
      <c r="F37" s="36"/>
      <c r="G37" s="36"/>
      <c r="H37" s="36"/>
      <c r="I37" s="36"/>
      <c r="J37" s="36"/>
      <c r="K37" s="36"/>
    </row>
    <row r="38" spans="1:18" ht="23.25" x14ac:dyDescent="0.35">
      <c r="A38" s="32"/>
      <c r="B38" s="57"/>
      <c r="C38" s="36"/>
      <c r="D38" s="36"/>
      <c r="E38" s="91"/>
      <c r="F38" s="36"/>
      <c r="G38" s="36"/>
      <c r="H38" s="36"/>
      <c r="I38" s="36"/>
      <c r="J38" s="36"/>
      <c r="K38" s="36"/>
    </row>
    <row r="39" spans="1:18" ht="23.25" x14ac:dyDescent="0.35">
      <c r="A39" s="32"/>
      <c r="B39" s="57"/>
      <c r="C39" s="38"/>
      <c r="D39" s="36"/>
      <c r="E39" s="91"/>
      <c r="F39" s="36"/>
      <c r="G39" s="36"/>
      <c r="H39" s="36"/>
      <c r="I39" s="36"/>
      <c r="J39" s="36"/>
      <c r="K39" s="36"/>
    </row>
    <row r="40" spans="1:18" ht="23.25" x14ac:dyDescent="0.35">
      <c r="A40" s="32"/>
      <c r="B40" s="57"/>
      <c r="C40" s="38"/>
      <c r="D40" s="36"/>
      <c r="E40" s="91"/>
      <c r="F40" s="36"/>
      <c r="G40" s="36"/>
      <c r="H40" s="36"/>
      <c r="I40" s="36"/>
      <c r="J40" s="36"/>
      <c r="K40" s="36"/>
    </row>
    <row r="41" spans="1:18" x14ac:dyDescent="0.2">
      <c r="C41" s="38"/>
      <c r="D41" s="38"/>
      <c r="E41" s="92"/>
      <c r="F41" s="38"/>
      <c r="G41" s="38"/>
      <c r="H41" s="38"/>
      <c r="I41" s="38"/>
      <c r="J41" s="38"/>
      <c r="K41" s="38"/>
    </row>
    <row r="42" spans="1:18" s="34" customFormat="1" x14ac:dyDescent="0.2">
      <c r="A42" s="9"/>
      <c r="B42" s="58"/>
      <c r="C42" s="38"/>
      <c r="D42" s="38"/>
      <c r="E42" s="92"/>
      <c r="F42" s="38"/>
      <c r="G42" s="38"/>
      <c r="H42" s="38"/>
      <c r="I42" s="38"/>
      <c r="J42" s="38"/>
      <c r="K42" s="38"/>
      <c r="L42" s="9"/>
      <c r="M42" s="9"/>
      <c r="N42" s="9"/>
      <c r="O42" s="9"/>
      <c r="P42" s="9"/>
      <c r="Q42" s="9"/>
      <c r="R42" s="9"/>
    </row>
    <row r="43" spans="1:18" s="34" customFormat="1" x14ac:dyDescent="0.2">
      <c r="A43" s="9"/>
      <c r="B43" s="58"/>
      <c r="C43" s="38"/>
      <c r="D43" s="38"/>
      <c r="E43" s="92"/>
      <c r="F43" s="38"/>
      <c r="G43" s="38"/>
      <c r="H43" s="38"/>
      <c r="I43" s="38"/>
      <c r="J43" s="38"/>
      <c r="K43" s="38"/>
      <c r="L43" s="9"/>
      <c r="M43" s="9"/>
      <c r="N43" s="9"/>
      <c r="O43" s="9"/>
      <c r="P43" s="9"/>
      <c r="Q43" s="9"/>
      <c r="R43" s="9"/>
    </row>
    <row r="45" spans="1:18" x14ac:dyDescent="0.2">
      <c r="C45" s="38"/>
    </row>
    <row r="47" spans="1:18" x14ac:dyDescent="0.2">
      <c r="C47" s="38"/>
    </row>
  </sheetData>
  <mergeCells count="11">
    <mergeCell ref="F1:F2"/>
    <mergeCell ref="A1:A3"/>
    <mergeCell ref="B1:B2"/>
    <mergeCell ref="C1:C2"/>
    <mergeCell ref="D1:D2"/>
    <mergeCell ref="E1:E2"/>
    <mergeCell ref="G1:G2"/>
    <mergeCell ref="H1:H2"/>
    <mergeCell ref="I1:I2"/>
    <mergeCell ref="J1:J2"/>
    <mergeCell ref="K1:K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168EC-ED9C-4857-A8A0-881C6A6D493F}">
  <sheetPr codeName="Лист7">
    <tabColor rgb="FF0070C0"/>
  </sheetPr>
  <dimension ref="A1:R49"/>
  <sheetViews>
    <sheetView tabSelected="1" workbookViewId="0">
      <selection activeCell="C34" sqref="C34"/>
    </sheetView>
  </sheetViews>
  <sheetFormatPr defaultColWidth="14.140625" defaultRowHeight="11.25" x14ac:dyDescent="0.2"/>
  <cols>
    <col min="1" max="1" width="6.140625" style="9" customWidth="1"/>
    <col min="2" max="2" width="40.140625" style="58" customWidth="1"/>
    <col min="3" max="4" width="21.140625" style="9" customWidth="1"/>
    <col min="5" max="5" width="21.140625" style="93" customWidth="1"/>
    <col min="6" max="11" width="21.140625" style="9" customWidth="1"/>
    <col min="12" max="16384" width="14.140625" style="9"/>
  </cols>
  <sheetData>
    <row r="1" spans="1:11" s="3" customFormat="1" ht="30" customHeight="1" x14ac:dyDescent="0.25">
      <c r="A1" s="105"/>
      <c r="B1" s="102" t="s">
        <v>129</v>
      </c>
      <c r="C1" s="111" t="s">
        <v>13</v>
      </c>
      <c r="D1" s="100" t="s">
        <v>125</v>
      </c>
      <c r="E1" s="113" t="s">
        <v>79</v>
      </c>
      <c r="F1" s="100" t="s">
        <v>78</v>
      </c>
      <c r="G1" s="100" t="s">
        <v>121</v>
      </c>
      <c r="H1" s="100" t="s">
        <v>122</v>
      </c>
      <c r="I1" s="100" t="s">
        <v>123</v>
      </c>
      <c r="J1" s="100" t="s">
        <v>124</v>
      </c>
      <c r="K1" s="100" t="s">
        <v>72</v>
      </c>
    </row>
    <row r="2" spans="1:11" x14ac:dyDescent="0.2">
      <c r="A2" s="106"/>
      <c r="B2" s="104"/>
      <c r="C2" s="112"/>
      <c r="D2" s="101"/>
      <c r="E2" s="114"/>
      <c r="F2" s="101"/>
      <c r="G2" s="101"/>
      <c r="H2" s="101"/>
      <c r="I2" s="101"/>
      <c r="J2" s="101"/>
      <c r="K2" s="101"/>
    </row>
    <row r="3" spans="1:11" x14ac:dyDescent="0.2">
      <c r="A3" s="107"/>
      <c r="B3" s="53"/>
      <c r="C3" s="96"/>
      <c r="D3" s="46"/>
      <c r="E3" s="87"/>
      <c r="F3" s="46"/>
      <c r="G3" s="46"/>
      <c r="H3" s="46"/>
      <c r="I3" s="46"/>
      <c r="J3" s="46"/>
      <c r="K3" s="46"/>
    </row>
    <row r="4" spans="1:11" s="3" customFormat="1" ht="12.75" hidden="1" customHeight="1" x14ac:dyDescent="0.25">
      <c r="A4" s="10" t="s">
        <v>15</v>
      </c>
      <c r="B4" s="23" t="s">
        <v>16</v>
      </c>
      <c r="C4" s="97"/>
      <c r="D4" s="12"/>
      <c r="E4" s="88"/>
      <c r="F4" s="12"/>
      <c r="G4" s="12"/>
      <c r="H4" s="12"/>
      <c r="I4" s="12"/>
      <c r="J4" s="12"/>
      <c r="K4" s="12">
        <v>0</v>
      </c>
    </row>
    <row r="5" spans="1:11" s="3" customFormat="1" ht="12.75" hidden="1" customHeight="1" x14ac:dyDescent="0.25">
      <c r="A5" s="10" t="s">
        <v>19</v>
      </c>
      <c r="B5" s="23" t="s">
        <v>20</v>
      </c>
      <c r="C5" s="97"/>
      <c r="D5" s="12"/>
      <c r="E5" s="88"/>
      <c r="F5" s="12"/>
      <c r="G5" s="12"/>
      <c r="H5" s="12"/>
      <c r="I5" s="12"/>
      <c r="J5" s="12"/>
      <c r="K5" s="12">
        <v>0</v>
      </c>
    </row>
    <row r="6" spans="1:11" s="3" customFormat="1" ht="11.25" hidden="1" customHeight="1" x14ac:dyDescent="0.25">
      <c r="A6" s="18"/>
      <c r="B6" s="54" t="s">
        <v>21</v>
      </c>
      <c r="C6" s="98"/>
      <c r="D6" s="16"/>
      <c r="E6" s="89"/>
      <c r="F6" s="16"/>
      <c r="G6" s="16"/>
      <c r="H6" s="16"/>
      <c r="I6" s="16"/>
      <c r="J6" s="16"/>
      <c r="K6" s="16"/>
    </row>
    <row r="7" spans="1:11" s="3" customFormat="1" ht="11.25" hidden="1" customHeight="1" x14ac:dyDescent="0.25">
      <c r="A7" s="18"/>
      <c r="B7" s="54" t="s">
        <v>22</v>
      </c>
      <c r="C7" s="98"/>
      <c r="D7" s="16"/>
      <c r="E7" s="89"/>
      <c r="F7" s="16"/>
      <c r="G7" s="16"/>
      <c r="H7" s="16"/>
      <c r="I7" s="16"/>
      <c r="J7" s="16"/>
      <c r="K7" s="16"/>
    </row>
    <row r="8" spans="1:11" s="19" customFormat="1" ht="12.75" x14ac:dyDescent="0.25">
      <c r="A8" s="10" t="s">
        <v>23</v>
      </c>
      <c r="B8" s="23" t="s">
        <v>24</v>
      </c>
      <c r="C8" s="97">
        <f>104206512.18+3272829.46</f>
        <v>107479341.64</v>
      </c>
      <c r="D8" s="12">
        <f>E8+F8</f>
        <v>0</v>
      </c>
      <c r="E8" s="88"/>
      <c r="F8" s="12"/>
      <c r="G8" s="12"/>
      <c r="H8" s="12"/>
      <c r="I8" s="12"/>
      <c r="J8" s="12"/>
      <c r="K8" s="12"/>
    </row>
    <row r="9" spans="1:11" s="3" customFormat="1" ht="12.75" hidden="1" customHeight="1" x14ac:dyDescent="0.25">
      <c r="A9" s="18"/>
      <c r="B9" s="54" t="s">
        <v>119</v>
      </c>
      <c r="C9" s="97"/>
      <c r="D9" s="12"/>
      <c r="E9" s="88"/>
      <c r="F9" s="12"/>
      <c r="G9" s="16"/>
      <c r="H9" s="16"/>
      <c r="I9" s="16"/>
      <c r="J9" s="16"/>
      <c r="K9" s="16"/>
    </row>
    <row r="10" spans="1:11" s="3" customFormat="1" ht="12.75" hidden="1" customHeight="1" x14ac:dyDescent="0.25">
      <c r="A10" s="18"/>
      <c r="B10" s="54" t="s">
        <v>26</v>
      </c>
      <c r="C10" s="97"/>
      <c r="D10" s="12"/>
      <c r="E10" s="88"/>
      <c r="F10" s="12"/>
      <c r="G10" s="16"/>
      <c r="H10" s="16"/>
      <c r="I10" s="16"/>
      <c r="J10" s="16"/>
      <c r="K10" s="16"/>
    </row>
    <row r="11" spans="1:11" s="3" customFormat="1" ht="12.75" hidden="1" customHeight="1" x14ac:dyDescent="0.25">
      <c r="A11" s="18"/>
      <c r="B11" s="54" t="s">
        <v>27</v>
      </c>
      <c r="C11" s="97"/>
      <c r="D11" s="12"/>
      <c r="E11" s="88"/>
      <c r="F11" s="12"/>
      <c r="G11" s="16"/>
      <c r="H11" s="16"/>
      <c r="I11" s="16"/>
      <c r="J11" s="16"/>
      <c r="K11" s="16"/>
    </row>
    <row r="12" spans="1:11" s="3" customFormat="1" ht="12.75" hidden="1" customHeight="1" x14ac:dyDescent="0.25">
      <c r="A12" s="18"/>
      <c r="B12" s="54" t="s">
        <v>28</v>
      </c>
      <c r="C12" s="97"/>
      <c r="D12" s="12"/>
      <c r="E12" s="88"/>
      <c r="F12" s="12"/>
      <c r="G12" s="16"/>
      <c r="H12" s="16"/>
      <c r="I12" s="16"/>
      <c r="J12" s="16"/>
      <c r="K12" s="16"/>
    </row>
    <row r="13" spans="1:11" s="3" customFormat="1" ht="12.75" hidden="1" customHeight="1" x14ac:dyDescent="0.25">
      <c r="A13" s="18"/>
      <c r="B13" s="54" t="s">
        <v>29</v>
      </c>
      <c r="C13" s="97"/>
      <c r="D13" s="12"/>
      <c r="E13" s="88"/>
      <c r="F13" s="12"/>
      <c r="G13" s="16"/>
      <c r="H13" s="16"/>
      <c r="I13" s="16"/>
      <c r="J13" s="16"/>
      <c r="K13" s="16"/>
    </row>
    <row r="14" spans="1:11" s="3" customFormat="1" ht="12.75" hidden="1" customHeight="1" x14ac:dyDescent="0.25">
      <c r="A14" s="18"/>
      <c r="B14" s="54" t="s">
        <v>30</v>
      </c>
      <c r="C14" s="97"/>
      <c r="D14" s="12"/>
      <c r="E14" s="88"/>
      <c r="F14" s="12"/>
      <c r="G14" s="16"/>
      <c r="H14" s="16"/>
      <c r="I14" s="16"/>
      <c r="J14" s="16"/>
      <c r="K14" s="16"/>
    </row>
    <row r="15" spans="1:11" s="3" customFormat="1" ht="12.75" hidden="1" customHeight="1" x14ac:dyDescent="0.25">
      <c r="A15" s="18"/>
      <c r="B15" s="54" t="s">
        <v>31</v>
      </c>
      <c r="C15" s="97"/>
      <c r="D15" s="12"/>
      <c r="E15" s="88"/>
      <c r="F15" s="12"/>
      <c r="G15" s="16"/>
      <c r="H15" s="16"/>
      <c r="I15" s="16"/>
      <c r="J15" s="16"/>
      <c r="K15" s="16"/>
    </row>
    <row r="16" spans="1:11" s="3" customFormat="1" ht="25.5" x14ac:dyDescent="0.25">
      <c r="A16" s="10" t="s">
        <v>32</v>
      </c>
      <c r="B16" s="23" t="s">
        <v>33</v>
      </c>
      <c r="C16" s="97">
        <v>48623392.18</v>
      </c>
      <c r="D16" s="12">
        <f t="shared" ref="D16:D36" si="0">E16+F16</f>
        <v>0</v>
      </c>
      <c r="E16" s="88"/>
      <c r="F16" s="12"/>
      <c r="G16" s="12"/>
      <c r="H16" s="12"/>
      <c r="I16" s="12"/>
      <c r="J16" s="12"/>
      <c r="K16" s="12"/>
    </row>
    <row r="17" spans="1:11" s="3" customFormat="1" ht="12.75" x14ac:dyDescent="0.25">
      <c r="A17" s="10" t="s">
        <v>34</v>
      </c>
      <c r="B17" s="23" t="s">
        <v>35</v>
      </c>
      <c r="C17" s="97">
        <v>11223690</v>
      </c>
      <c r="D17" s="12">
        <f t="shared" si="0"/>
        <v>0</v>
      </c>
      <c r="E17" s="88"/>
      <c r="F17" s="12"/>
      <c r="G17" s="12"/>
      <c r="H17" s="12"/>
      <c r="I17" s="12"/>
      <c r="J17" s="12"/>
      <c r="K17" s="12"/>
    </row>
    <row r="18" spans="1:11" s="3" customFormat="1" ht="12.75" x14ac:dyDescent="0.25">
      <c r="A18" s="10" t="s">
        <v>36</v>
      </c>
      <c r="B18" s="23" t="s">
        <v>37</v>
      </c>
      <c r="C18" s="97">
        <f>13786560+7220112</f>
        <v>21006672</v>
      </c>
      <c r="D18" s="12">
        <f t="shared" si="0"/>
        <v>0</v>
      </c>
      <c r="E18" s="88"/>
      <c r="F18" s="12"/>
      <c r="G18" s="12"/>
      <c r="H18" s="12"/>
      <c r="I18" s="12"/>
      <c r="J18" s="12"/>
      <c r="K18" s="12"/>
    </row>
    <row r="19" spans="1:11" s="3" customFormat="1" ht="25.5" x14ac:dyDescent="0.25">
      <c r="A19" s="10" t="s">
        <v>38</v>
      </c>
      <c r="B19" s="23" t="s">
        <v>39</v>
      </c>
      <c r="C19" s="97">
        <f>57196672.86+14718600</f>
        <v>71915272.859999999</v>
      </c>
      <c r="D19" s="12">
        <f t="shared" si="0"/>
        <v>0</v>
      </c>
      <c r="E19" s="88"/>
      <c r="F19" s="12"/>
      <c r="G19" s="12"/>
      <c r="H19" s="12"/>
      <c r="I19" s="12"/>
      <c r="J19" s="12"/>
      <c r="K19" s="12"/>
    </row>
    <row r="20" spans="1:11" s="3" customFormat="1" ht="12.75" hidden="1" customHeight="1" x14ac:dyDescent="0.25">
      <c r="A20" s="20"/>
      <c r="B20" s="54" t="s">
        <v>40</v>
      </c>
      <c r="C20" s="97"/>
      <c r="D20" s="12">
        <f t="shared" si="0"/>
        <v>0</v>
      </c>
      <c r="E20" s="88"/>
      <c r="F20" s="12"/>
      <c r="G20" s="16"/>
      <c r="H20" s="16"/>
      <c r="I20" s="16"/>
      <c r="J20" s="16"/>
      <c r="K20" s="16"/>
    </row>
    <row r="21" spans="1:11" s="3" customFormat="1" ht="12.75" hidden="1" customHeight="1" x14ac:dyDescent="0.25">
      <c r="A21" s="20"/>
      <c r="B21" s="54" t="s">
        <v>41</v>
      </c>
      <c r="C21" s="97"/>
      <c r="D21" s="12">
        <f t="shared" si="0"/>
        <v>0</v>
      </c>
      <c r="E21" s="88"/>
      <c r="F21" s="12"/>
      <c r="G21" s="16"/>
      <c r="H21" s="16"/>
      <c r="I21" s="16"/>
      <c r="J21" s="16"/>
      <c r="K21" s="16"/>
    </row>
    <row r="22" spans="1:11" s="3" customFormat="1" ht="12.75" hidden="1" customHeight="1" x14ac:dyDescent="0.25">
      <c r="A22" s="20"/>
      <c r="B22" s="54" t="s">
        <v>42</v>
      </c>
      <c r="C22" s="97"/>
      <c r="D22" s="12">
        <f t="shared" si="0"/>
        <v>0</v>
      </c>
      <c r="E22" s="88"/>
      <c r="F22" s="12"/>
      <c r="G22" s="16"/>
      <c r="H22" s="16"/>
      <c r="I22" s="16"/>
      <c r="J22" s="16"/>
      <c r="K22" s="16"/>
    </row>
    <row r="23" spans="1:11" s="3" customFormat="1" ht="12.75" hidden="1" customHeight="1" x14ac:dyDescent="0.25">
      <c r="A23" s="20"/>
      <c r="B23" s="54" t="s">
        <v>43</v>
      </c>
      <c r="C23" s="97"/>
      <c r="D23" s="12">
        <f t="shared" si="0"/>
        <v>0</v>
      </c>
      <c r="E23" s="88"/>
      <c r="F23" s="12"/>
      <c r="G23" s="16"/>
      <c r="H23" s="16"/>
      <c r="I23" s="16"/>
      <c r="J23" s="16"/>
      <c r="K23" s="16"/>
    </row>
    <row r="24" spans="1:11" s="3" customFormat="1" ht="12.75" hidden="1" customHeight="1" x14ac:dyDescent="0.25">
      <c r="A24" s="20"/>
      <c r="B24" s="54" t="s">
        <v>44</v>
      </c>
      <c r="C24" s="97"/>
      <c r="D24" s="12">
        <f t="shared" si="0"/>
        <v>0</v>
      </c>
      <c r="E24" s="88"/>
      <c r="F24" s="12"/>
      <c r="G24" s="16"/>
      <c r="H24" s="16"/>
      <c r="I24" s="16"/>
      <c r="J24" s="16"/>
      <c r="K24" s="16"/>
    </row>
    <row r="25" spans="1:11" s="3" customFormat="1" ht="12.75" hidden="1" customHeight="1" x14ac:dyDescent="0.25">
      <c r="A25" s="10" t="s">
        <v>45</v>
      </c>
      <c r="B25" s="23" t="s">
        <v>46</v>
      </c>
      <c r="C25" s="97"/>
      <c r="D25" s="12">
        <f t="shared" si="0"/>
        <v>0</v>
      </c>
      <c r="E25" s="88"/>
      <c r="F25" s="12"/>
      <c r="G25" s="12"/>
      <c r="H25" s="12"/>
      <c r="I25" s="12"/>
      <c r="J25" s="12"/>
      <c r="K25" s="12"/>
    </row>
    <row r="26" spans="1:11" s="3" customFormat="1" ht="12.75" x14ac:dyDescent="0.25">
      <c r="A26" s="10" t="s">
        <v>47</v>
      </c>
      <c r="B26" s="23" t="s">
        <v>48</v>
      </c>
      <c r="C26" s="97">
        <f>69883018.44</f>
        <v>69883018.439999998</v>
      </c>
      <c r="D26" s="12">
        <f t="shared" si="0"/>
        <v>0</v>
      </c>
      <c r="E26" s="88"/>
      <c r="F26" s="12"/>
      <c r="G26" s="12"/>
      <c r="H26" s="12"/>
      <c r="I26" s="12"/>
      <c r="J26" s="12"/>
      <c r="K26" s="12"/>
    </row>
    <row r="27" spans="1:11" s="3" customFormat="1" ht="12.75" hidden="1" customHeight="1" x14ac:dyDescent="0.25">
      <c r="A27" s="10" t="s">
        <v>49</v>
      </c>
      <c r="B27" s="23" t="s">
        <v>50</v>
      </c>
      <c r="C27" s="97"/>
      <c r="D27" s="12">
        <f t="shared" si="0"/>
        <v>0</v>
      </c>
      <c r="E27" s="88"/>
      <c r="F27" s="12"/>
      <c r="G27" s="12"/>
      <c r="H27" s="12"/>
      <c r="I27" s="12"/>
      <c r="J27" s="12"/>
      <c r="K27" s="12"/>
    </row>
    <row r="28" spans="1:11" s="3" customFormat="1" ht="12.75" hidden="1" customHeight="1" x14ac:dyDescent="0.25">
      <c r="A28" s="18"/>
      <c r="B28" s="54" t="s">
        <v>51</v>
      </c>
      <c r="C28" s="97"/>
      <c r="D28" s="12">
        <f t="shared" si="0"/>
        <v>0</v>
      </c>
      <c r="E28" s="88"/>
      <c r="F28" s="12"/>
      <c r="G28" s="16"/>
      <c r="H28" s="16"/>
      <c r="I28" s="16"/>
      <c r="J28" s="16"/>
      <c r="K28" s="16"/>
    </row>
    <row r="29" spans="1:11" s="3" customFormat="1" ht="12.75" hidden="1" customHeight="1" x14ac:dyDescent="0.25">
      <c r="A29" s="18"/>
      <c r="B29" s="54" t="s">
        <v>52</v>
      </c>
      <c r="C29" s="97"/>
      <c r="D29" s="12">
        <f t="shared" si="0"/>
        <v>0</v>
      </c>
      <c r="E29" s="88"/>
      <c r="F29" s="12"/>
      <c r="G29" s="16"/>
      <c r="H29" s="16"/>
      <c r="I29" s="16"/>
      <c r="J29" s="16"/>
      <c r="K29" s="16"/>
    </row>
    <row r="30" spans="1:11" s="3" customFormat="1" ht="11.25" hidden="1" customHeight="1" x14ac:dyDescent="0.25">
      <c r="A30" s="18"/>
      <c r="B30" s="54" t="s">
        <v>53</v>
      </c>
      <c r="C30" s="97"/>
      <c r="D30" s="12">
        <f t="shared" si="0"/>
        <v>0</v>
      </c>
      <c r="E30" s="88"/>
      <c r="F30" s="12"/>
      <c r="G30" s="16"/>
      <c r="H30" s="16"/>
      <c r="I30" s="16"/>
      <c r="J30" s="16"/>
      <c r="K30" s="16"/>
    </row>
    <row r="31" spans="1:11" s="3" customFormat="1" ht="12.75" hidden="1" customHeight="1" x14ac:dyDescent="0.25">
      <c r="A31" s="18"/>
      <c r="B31" s="54" t="s">
        <v>54</v>
      </c>
      <c r="C31" s="97"/>
      <c r="D31" s="12">
        <f t="shared" si="0"/>
        <v>0</v>
      </c>
      <c r="E31" s="88"/>
      <c r="F31" s="12"/>
      <c r="G31" s="16"/>
      <c r="H31" s="16"/>
      <c r="I31" s="16"/>
      <c r="J31" s="16"/>
      <c r="K31" s="16"/>
    </row>
    <row r="32" spans="1:11" s="3" customFormat="1" ht="51" x14ac:dyDescent="0.25">
      <c r="A32" s="10" t="s">
        <v>55</v>
      </c>
      <c r="B32" s="23" t="s">
        <v>56</v>
      </c>
      <c r="C32" s="97">
        <f>12287938.4*1.2</f>
        <v>14745526.08</v>
      </c>
      <c r="D32" s="12">
        <f t="shared" si="0"/>
        <v>0</v>
      </c>
      <c r="E32" s="88"/>
      <c r="F32" s="12"/>
      <c r="G32" s="12"/>
      <c r="H32" s="12"/>
      <c r="I32" s="12"/>
      <c r="J32" s="12"/>
      <c r="K32" s="12"/>
    </row>
    <row r="33" spans="1:18" s="3" customFormat="1" ht="38.25" x14ac:dyDescent="0.25">
      <c r="A33" s="10" t="s">
        <v>57</v>
      </c>
      <c r="B33" s="23" t="s">
        <v>58</v>
      </c>
      <c r="C33" s="97">
        <f>6592651.28</f>
        <v>6592651.2800000003</v>
      </c>
      <c r="D33" s="12">
        <f t="shared" si="0"/>
        <v>0</v>
      </c>
      <c r="E33" s="88"/>
      <c r="F33" s="12"/>
      <c r="G33" s="12"/>
      <c r="H33" s="12"/>
      <c r="I33" s="12"/>
      <c r="J33" s="12"/>
      <c r="K33" s="12"/>
    </row>
    <row r="34" spans="1:18" s="3" customFormat="1" ht="63.75" x14ac:dyDescent="0.25">
      <c r="A34" s="10" t="s">
        <v>59</v>
      </c>
      <c r="B34" s="23" t="s">
        <v>60</v>
      </c>
      <c r="C34" s="97">
        <f>6895532.66+4224000+1458318</f>
        <v>12577850.66</v>
      </c>
      <c r="D34" s="12">
        <f t="shared" si="0"/>
        <v>0</v>
      </c>
      <c r="E34" s="88"/>
      <c r="F34" s="12"/>
      <c r="G34" s="12"/>
      <c r="H34" s="12"/>
      <c r="I34" s="12"/>
      <c r="J34" s="12"/>
      <c r="K34" s="12"/>
    </row>
    <row r="35" spans="1:18" s="3" customFormat="1" ht="12.75" x14ac:dyDescent="0.25">
      <c r="A35" s="10" t="s">
        <v>61</v>
      </c>
      <c r="B35" s="23" t="s">
        <v>62</v>
      </c>
      <c r="C35" s="97"/>
      <c r="D35" s="12">
        <f t="shared" si="0"/>
        <v>0</v>
      </c>
      <c r="E35" s="88"/>
      <c r="F35" s="12"/>
      <c r="G35" s="12"/>
      <c r="H35" s="12"/>
      <c r="I35" s="12"/>
      <c r="J35" s="12"/>
      <c r="K35" s="12"/>
    </row>
    <row r="36" spans="1:18" s="28" customFormat="1" ht="18.75" x14ac:dyDescent="0.25">
      <c r="A36" s="24"/>
      <c r="B36" s="55" t="s">
        <v>63</v>
      </c>
      <c r="C36" s="99">
        <f>SUM(C8:C35)</f>
        <v>364047415.13999999</v>
      </c>
      <c r="D36" s="26">
        <f t="shared" si="0"/>
        <v>0</v>
      </c>
      <c r="E36" s="90">
        <f t="shared" ref="E36:H36" si="1">E8+E16+E17+E18+E19+E26+E32+E33+E34+E35</f>
        <v>0</v>
      </c>
      <c r="F36" s="26">
        <f t="shared" si="1"/>
        <v>0</v>
      </c>
      <c r="G36" s="26">
        <f t="shared" si="1"/>
        <v>0</v>
      </c>
      <c r="H36" s="26">
        <f t="shared" si="1"/>
        <v>0</v>
      </c>
      <c r="I36" s="26">
        <f>I8+I16+I17+I18+I19+I26+I32+I33+I34+I35</f>
        <v>0</v>
      </c>
      <c r="J36" s="26">
        <f>J16+J17+J19+J26+J32+J33+J34+J35</f>
        <v>0</v>
      </c>
      <c r="K36" s="26">
        <v>4246706.5599999996</v>
      </c>
    </row>
    <row r="37" spans="1:18" ht="23.25" x14ac:dyDescent="0.35">
      <c r="A37" s="32"/>
      <c r="B37" s="57"/>
      <c r="C37" s="36"/>
      <c r="D37" s="36"/>
      <c r="E37" s="91"/>
      <c r="F37" s="36"/>
      <c r="G37" s="36"/>
      <c r="H37" s="36"/>
      <c r="I37" s="36"/>
      <c r="J37" s="36"/>
      <c r="K37" s="36"/>
    </row>
    <row r="38" spans="1:18" x14ac:dyDescent="0.2">
      <c r="C38" s="38"/>
      <c r="D38" s="38"/>
      <c r="E38" s="92"/>
      <c r="F38" s="38"/>
      <c r="G38" s="38"/>
      <c r="H38" s="38"/>
      <c r="I38" s="38"/>
      <c r="J38" s="38"/>
      <c r="K38" s="38"/>
    </row>
    <row r="39" spans="1:18" s="34" customFormat="1" x14ac:dyDescent="0.2">
      <c r="A39" s="9"/>
      <c r="B39" s="58"/>
      <c r="C39" s="38"/>
      <c r="D39" s="38"/>
      <c r="E39" s="92"/>
      <c r="F39" s="38"/>
      <c r="G39" s="38"/>
      <c r="H39" s="38"/>
      <c r="I39" s="38"/>
      <c r="J39" s="38"/>
      <c r="K39" s="38"/>
      <c r="L39" s="9"/>
      <c r="M39" s="9"/>
      <c r="N39" s="9"/>
      <c r="O39" s="9"/>
      <c r="P39" s="9"/>
      <c r="Q39" s="9"/>
      <c r="R39" s="9"/>
    </row>
    <row r="40" spans="1:18" x14ac:dyDescent="0.2">
      <c r="C40" s="38"/>
    </row>
    <row r="41" spans="1:18" x14ac:dyDescent="0.2">
      <c r="C41" s="38"/>
    </row>
    <row r="43" spans="1:18" x14ac:dyDescent="0.2">
      <c r="C43" s="38"/>
    </row>
    <row r="45" spans="1:18" x14ac:dyDescent="0.2">
      <c r="C45" s="38"/>
    </row>
    <row r="46" spans="1:18" x14ac:dyDescent="0.2">
      <c r="C46" s="38"/>
    </row>
    <row r="47" spans="1:18" x14ac:dyDescent="0.2">
      <c r="C47" s="38"/>
    </row>
    <row r="48" spans="1:18" x14ac:dyDescent="0.2">
      <c r="C48" s="38"/>
    </row>
    <row r="49" spans="3:3" x14ac:dyDescent="0.2">
      <c r="C49" s="38"/>
    </row>
  </sheetData>
  <mergeCells count="11">
    <mergeCell ref="F1:F2"/>
    <mergeCell ref="A1:A3"/>
    <mergeCell ref="B1:B2"/>
    <mergeCell ref="C1:C2"/>
    <mergeCell ref="D1:D2"/>
    <mergeCell ref="E1:E2"/>
    <mergeCell ref="G1:G2"/>
    <mergeCell ref="H1:H2"/>
    <mergeCell ref="I1:I2"/>
    <mergeCell ref="J1:J2"/>
    <mergeCell ref="K1:K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10A71-8B68-48CC-83E4-5E7D3AFE4164}">
  <sheetPr codeName="Лист8">
    <tabColor rgb="FF00B050"/>
  </sheetPr>
  <dimension ref="A1:Q39"/>
  <sheetViews>
    <sheetView workbookViewId="0">
      <selection activeCell="E52" sqref="E52"/>
    </sheetView>
  </sheetViews>
  <sheetFormatPr defaultColWidth="14.140625" defaultRowHeight="11.25" x14ac:dyDescent="0.2"/>
  <cols>
    <col min="1" max="1" width="6.140625" style="9" customWidth="1"/>
    <col min="2" max="2" width="40.140625" style="58" customWidth="1"/>
    <col min="3" max="3" width="21.140625" style="9" customWidth="1"/>
    <col min="4" max="4" width="21.140625" style="93" customWidth="1"/>
    <col min="5" max="10" width="21.140625" style="9" customWidth="1"/>
    <col min="11" max="16384" width="14.140625" style="9"/>
  </cols>
  <sheetData>
    <row r="1" spans="1:10" s="3" customFormat="1" ht="30" customHeight="1" x14ac:dyDescent="0.25">
      <c r="A1" s="105"/>
      <c r="B1" s="102" t="s">
        <v>131</v>
      </c>
      <c r="C1" s="100" t="s">
        <v>132</v>
      </c>
      <c r="D1" s="113" t="s">
        <v>79</v>
      </c>
      <c r="E1" s="100" t="s">
        <v>78</v>
      </c>
      <c r="F1" s="100" t="s">
        <v>121</v>
      </c>
      <c r="G1" s="100" t="s">
        <v>122</v>
      </c>
      <c r="H1" s="100" t="s">
        <v>123</v>
      </c>
      <c r="I1" s="100" t="s">
        <v>124</v>
      </c>
      <c r="J1" s="100" t="s">
        <v>72</v>
      </c>
    </row>
    <row r="2" spans="1:10" x14ac:dyDescent="0.2">
      <c r="A2" s="106"/>
      <c r="B2" s="104"/>
      <c r="C2" s="101"/>
      <c r="D2" s="114"/>
      <c r="E2" s="101"/>
      <c r="F2" s="101"/>
      <c r="G2" s="101"/>
      <c r="H2" s="101"/>
      <c r="I2" s="101"/>
      <c r="J2" s="101"/>
    </row>
    <row r="3" spans="1:10" x14ac:dyDescent="0.2">
      <c r="A3" s="107"/>
      <c r="B3" s="53"/>
      <c r="C3" s="46"/>
      <c r="D3" s="87"/>
      <c r="E3" s="46"/>
      <c r="F3" s="46"/>
      <c r="G3" s="46"/>
      <c r="H3" s="46"/>
      <c r="I3" s="46"/>
      <c r="J3" s="46"/>
    </row>
    <row r="4" spans="1:10" s="3" customFormat="1" ht="12.75" hidden="1" customHeight="1" x14ac:dyDescent="0.25">
      <c r="A4" s="10" t="s">
        <v>15</v>
      </c>
      <c r="B4" s="23" t="s">
        <v>16</v>
      </c>
      <c r="C4" s="12"/>
      <c r="D4" s="88"/>
      <c r="E4" s="12"/>
      <c r="F4" s="12"/>
      <c r="G4" s="12"/>
      <c r="H4" s="12"/>
      <c r="I4" s="12"/>
      <c r="J4" s="12">
        <v>0</v>
      </c>
    </row>
    <row r="5" spans="1:10" s="3" customFormat="1" ht="12.75" hidden="1" customHeight="1" x14ac:dyDescent="0.25">
      <c r="A5" s="10" t="s">
        <v>19</v>
      </c>
      <c r="B5" s="23" t="s">
        <v>20</v>
      </c>
      <c r="C5" s="12"/>
      <c r="D5" s="88"/>
      <c r="E5" s="12"/>
      <c r="F5" s="12"/>
      <c r="G5" s="12"/>
      <c r="H5" s="12"/>
      <c r="I5" s="12"/>
      <c r="J5" s="12">
        <v>0</v>
      </c>
    </row>
    <row r="6" spans="1:10" s="3" customFormat="1" ht="11.25" hidden="1" customHeight="1" x14ac:dyDescent="0.25">
      <c r="A6" s="18"/>
      <c r="B6" s="54" t="s">
        <v>21</v>
      </c>
      <c r="C6" s="16"/>
      <c r="D6" s="89"/>
      <c r="E6" s="16"/>
      <c r="F6" s="16"/>
      <c r="G6" s="16"/>
      <c r="H6" s="16"/>
      <c r="I6" s="16"/>
      <c r="J6" s="16"/>
    </row>
    <row r="7" spans="1:10" s="3" customFormat="1" ht="11.25" hidden="1" customHeight="1" x14ac:dyDescent="0.25">
      <c r="A7" s="18"/>
      <c r="B7" s="54" t="s">
        <v>22</v>
      </c>
      <c r="C7" s="16"/>
      <c r="D7" s="89"/>
      <c r="E7" s="16"/>
      <c r="F7" s="16"/>
      <c r="G7" s="16"/>
      <c r="H7" s="16"/>
      <c r="I7" s="16"/>
      <c r="J7" s="16"/>
    </row>
    <row r="8" spans="1:10" s="19" customFormat="1" ht="12.75" x14ac:dyDescent="0.25">
      <c r="A8" s="10" t="s">
        <v>23</v>
      </c>
      <c r="B8" s="23" t="s">
        <v>24</v>
      </c>
      <c r="C8" s="12">
        <f>D8+E8</f>
        <v>0</v>
      </c>
      <c r="D8" s="88"/>
      <c r="E8" s="12"/>
      <c r="F8" s="12"/>
      <c r="G8" s="12"/>
      <c r="H8" s="12"/>
      <c r="I8" s="12"/>
      <c r="J8" s="12"/>
    </row>
    <row r="9" spans="1:10" s="3" customFormat="1" ht="12.75" hidden="1" customHeight="1" x14ac:dyDescent="0.25">
      <c r="A9" s="18"/>
      <c r="B9" s="54" t="s">
        <v>119</v>
      </c>
      <c r="C9" s="12"/>
      <c r="D9" s="88"/>
      <c r="E9" s="12"/>
      <c r="F9" s="16"/>
      <c r="G9" s="16"/>
      <c r="H9" s="16"/>
      <c r="I9" s="16"/>
      <c r="J9" s="16"/>
    </row>
    <row r="10" spans="1:10" s="3" customFormat="1" ht="12.75" hidden="1" customHeight="1" x14ac:dyDescent="0.25">
      <c r="A10" s="18"/>
      <c r="B10" s="54" t="s">
        <v>26</v>
      </c>
      <c r="C10" s="12"/>
      <c r="D10" s="88"/>
      <c r="E10" s="12"/>
      <c r="F10" s="16"/>
      <c r="G10" s="16"/>
      <c r="H10" s="16"/>
      <c r="I10" s="16"/>
      <c r="J10" s="16"/>
    </row>
    <row r="11" spans="1:10" s="3" customFormat="1" ht="12.75" hidden="1" customHeight="1" x14ac:dyDescent="0.25">
      <c r="A11" s="18"/>
      <c r="B11" s="54" t="s">
        <v>27</v>
      </c>
      <c r="C11" s="12"/>
      <c r="D11" s="88"/>
      <c r="E11" s="12"/>
      <c r="F11" s="16"/>
      <c r="G11" s="16"/>
      <c r="H11" s="16"/>
      <c r="I11" s="16"/>
      <c r="J11" s="16"/>
    </row>
    <row r="12" spans="1:10" s="3" customFormat="1" ht="12.75" hidden="1" customHeight="1" x14ac:dyDescent="0.25">
      <c r="A12" s="18"/>
      <c r="B12" s="54" t="s">
        <v>28</v>
      </c>
      <c r="C12" s="12"/>
      <c r="D12" s="88"/>
      <c r="E12" s="12"/>
      <c r="F12" s="16"/>
      <c r="G12" s="16"/>
      <c r="H12" s="16"/>
      <c r="I12" s="16"/>
      <c r="J12" s="16"/>
    </row>
    <row r="13" spans="1:10" s="3" customFormat="1" ht="12.75" hidden="1" customHeight="1" x14ac:dyDescent="0.25">
      <c r="A13" s="18"/>
      <c r="B13" s="54" t="s">
        <v>29</v>
      </c>
      <c r="C13" s="12"/>
      <c r="D13" s="88"/>
      <c r="E13" s="12"/>
      <c r="F13" s="16"/>
      <c r="G13" s="16"/>
      <c r="H13" s="16"/>
      <c r="I13" s="16"/>
      <c r="J13" s="16"/>
    </row>
    <row r="14" spans="1:10" s="3" customFormat="1" ht="12.75" hidden="1" customHeight="1" x14ac:dyDescent="0.25">
      <c r="A14" s="18"/>
      <c r="B14" s="54" t="s">
        <v>30</v>
      </c>
      <c r="C14" s="12"/>
      <c r="D14" s="88"/>
      <c r="E14" s="12"/>
      <c r="F14" s="16"/>
      <c r="G14" s="16"/>
      <c r="H14" s="16"/>
      <c r="I14" s="16"/>
      <c r="J14" s="16"/>
    </row>
    <row r="15" spans="1:10" s="3" customFormat="1" ht="12.75" hidden="1" customHeight="1" x14ac:dyDescent="0.25">
      <c r="A15" s="18"/>
      <c r="B15" s="54" t="s">
        <v>31</v>
      </c>
      <c r="C15" s="12"/>
      <c r="D15" s="88"/>
      <c r="E15" s="12"/>
      <c r="F15" s="16"/>
      <c r="G15" s="16"/>
      <c r="H15" s="16"/>
      <c r="I15" s="16"/>
      <c r="J15" s="16"/>
    </row>
    <row r="16" spans="1:10" s="3" customFormat="1" ht="25.5" x14ac:dyDescent="0.25">
      <c r="A16" s="10" t="s">
        <v>32</v>
      </c>
      <c r="B16" s="23" t="s">
        <v>33</v>
      </c>
      <c r="C16" s="12">
        <f t="shared" ref="C16:C36" si="0">D16+E16</f>
        <v>0</v>
      </c>
      <c r="D16" s="88"/>
      <c r="E16" s="12"/>
      <c r="F16" s="12"/>
      <c r="G16" s="12"/>
      <c r="H16" s="12"/>
      <c r="I16" s="12"/>
      <c r="J16" s="12"/>
    </row>
    <row r="17" spans="1:10" s="3" customFormat="1" ht="12.75" x14ac:dyDescent="0.25">
      <c r="A17" s="10" t="s">
        <v>34</v>
      </c>
      <c r="B17" s="23" t="s">
        <v>35</v>
      </c>
      <c r="C17" s="12">
        <f t="shared" si="0"/>
        <v>0</v>
      </c>
      <c r="D17" s="88"/>
      <c r="E17" s="12"/>
      <c r="F17" s="12"/>
      <c r="G17" s="12"/>
      <c r="H17" s="12"/>
      <c r="I17" s="12"/>
      <c r="J17" s="12"/>
    </row>
    <row r="18" spans="1:10" s="3" customFormat="1" ht="12.75" x14ac:dyDescent="0.25">
      <c r="A18" s="10" t="s">
        <v>36</v>
      </c>
      <c r="B18" s="23" t="s">
        <v>37</v>
      </c>
      <c r="C18" s="12">
        <f t="shared" si="0"/>
        <v>0</v>
      </c>
      <c r="D18" s="88"/>
      <c r="E18" s="12"/>
      <c r="F18" s="12"/>
      <c r="G18" s="12"/>
      <c r="H18" s="12"/>
      <c r="I18" s="12"/>
      <c r="J18" s="12"/>
    </row>
    <row r="19" spans="1:10" s="3" customFormat="1" ht="25.5" x14ac:dyDescent="0.25">
      <c r="A19" s="10" t="s">
        <v>38</v>
      </c>
      <c r="B19" s="23" t="s">
        <v>39</v>
      </c>
      <c r="C19" s="12">
        <f t="shared" si="0"/>
        <v>0</v>
      </c>
      <c r="D19" s="88"/>
      <c r="E19" s="12"/>
      <c r="F19" s="12"/>
      <c r="G19" s="12"/>
      <c r="H19" s="12"/>
      <c r="I19" s="12"/>
      <c r="J19" s="12"/>
    </row>
    <row r="20" spans="1:10" s="3" customFormat="1" ht="12.75" hidden="1" customHeight="1" x14ac:dyDescent="0.25">
      <c r="A20" s="20"/>
      <c r="B20" s="54" t="s">
        <v>40</v>
      </c>
      <c r="C20" s="12">
        <f t="shared" si="0"/>
        <v>0</v>
      </c>
      <c r="D20" s="88"/>
      <c r="E20" s="12"/>
      <c r="F20" s="16"/>
      <c r="G20" s="16"/>
      <c r="H20" s="16"/>
      <c r="I20" s="16"/>
      <c r="J20" s="16"/>
    </row>
    <row r="21" spans="1:10" s="3" customFormat="1" ht="12.75" hidden="1" customHeight="1" x14ac:dyDescent="0.25">
      <c r="A21" s="20"/>
      <c r="B21" s="54" t="s">
        <v>41</v>
      </c>
      <c r="C21" s="12">
        <f t="shared" si="0"/>
        <v>0</v>
      </c>
      <c r="D21" s="88"/>
      <c r="E21" s="12"/>
      <c r="F21" s="16"/>
      <c r="G21" s="16"/>
      <c r="H21" s="16"/>
      <c r="I21" s="16"/>
      <c r="J21" s="16"/>
    </row>
    <row r="22" spans="1:10" s="3" customFormat="1" ht="12.75" hidden="1" customHeight="1" x14ac:dyDescent="0.25">
      <c r="A22" s="20"/>
      <c r="B22" s="54" t="s">
        <v>42</v>
      </c>
      <c r="C22" s="12">
        <f t="shared" si="0"/>
        <v>0</v>
      </c>
      <c r="D22" s="88"/>
      <c r="E22" s="12"/>
      <c r="F22" s="16"/>
      <c r="G22" s="16"/>
      <c r="H22" s="16"/>
      <c r="I22" s="16"/>
      <c r="J22" s="16"/>
    </row>
    <row r="23" spans="1:10" s="3" customFormat="1" ht="12.75" hidden="1" customHeight="1" x14ac:dyDescent="0.25">
      <c r="A23" s="20"/>
      <c r="B23" s="54" t="s">
        <v>43</v>
      </c>
      <c r="C23" s="12">
        <f t="shared" si="0"/>
        <v>0</v>
      </c>
      <c r="D23" s="88"/>
      <c r="E23" s="12"/>
      <c r="F23" s="16"/>
      <c r="G23" s="16"/>
      <c r="H23" s="16"/>
      <c r="I23" s="16"/>
      <c r="J23" s="16"/>
    </row>
    <row r="24" spans="1:10" s="3" customFormat="1" ht="12.75" hidden="1" customHeight="1" x14ac:dyDescent="0.25">
      <c r="A24" s="20"/>
      <c r="B24" s="54" t="s">
        <v>44</v>
      </c>
      <c r="C24" s="12">
        <f t="shared" si="0"/>
        <v>0</v>
      </c>
      <c r="D24" s="88"/>
      <c r="E24" s="12"/>
      <c r="F24" s="16"/>
      <c r="G24" s="16"/>
      <c r="H24" s="16"/>
      <c r="I24" s="16"/>
      <c r="J24" s="16"/>
    </row>
    <row r="25" spans="1:10" s="3" customFormat="1" ht="12.75" hidden="1" customHeight="1" x14ac:dyDescent="0.25">
      <c r="A25" s="10" t="s">
        <v>45</v>
      </c>
      <c r="B25" s="23" t="s">
        <v>46</v>
      </c>
      <c r="C25" s="12">
        <f t="shared" si="0"/>
        <v>0</v>
      </c>
      <c r="D25" s="88"/>
      <c r="E25" s="12"/>
      <c r="F25" s="12"/>
      <c r="G25" s="12"/>
      <c r="H25" s="12"/>
      <c r="I25" s="12"/>
      <c r="J25" s="12"/>
    </row>
    <row r="26" spans="1:10" s="3" customFormat="1" ht="12.75" x14ac:dyDescent="0.25">
      <c r="A26" s="10" t="s">
        <v>47</v>
      </c>
      <c r="B26" s="23" t="s">
        <v>48</v>
      </c>
      <c r="C26" s="12">
        <f t="shared" si="0"/>
        <v>0</v>
      </c>
      <c r="D26" s="88"/>
      <c r="E26" s="12"/>
      <c r="F26" s="12"/>
      <c r="G26" s="12"/>
      <c r="H26" s="12"/>
      <c r="I26" s="12"/>
      <c r="J26" s="12"/>
    </row>
    <row r="27" spans="1:10" s="3" customFormat="1" ht="12.75" hidden="1" customHeight="1" x14ac:dyDescent="0.25">
      <c r="A27" s="10" t="s">
        <v>49</v>
      </c>
      <c r="B27" s="23" t="s">
        <v>50</v>
      </c>
      <c r="C27" s="12">
        <f t="shared" si="0"/>
        <v>0</v>
      </c>
      <c r="D27" s="88"/>
      <c r="E27" s="12"/>
      <c r="F27" s="12"/>
      <c r="G27" s="12"/>
      <c r="H27" s="12"/>
      <c r="I27" s="12"/>
      <c r="J27" s="12"/>
    </row>
    <row r="28" spans="1:10" s="3" customFormat="1" ht="12.75" hidden="1" customHeight="1" x14ac:dyDescent="0.25">
      <c r="A28" s="18"/>
      <c r="B28" s="54" t="s">
        <v>51</v>
      </c>
      <c r="C28" s="12">
        <f t="shared" si="0"/>
        <v>0</v>
      </c>
      <c r="D28" s="88"/>
      <c r="E28" s="12"/>
      <c r="F28" s="16"/>
      <c r="G28" s="16"/>
      <c r="H28" s="16"/>
      <c r="I28" s="16"/>
      <c r="J28" s="16"/>
    </row>
    <row r="29" spans="1:10" s="3" customFormat="1" ht="12.75" hidden="1" customHeight="1" x14ac:dyDescent="0.25">
      <c r="A29" s="18"/>
      <c r="B29" s="54" t="s">
        <v>52</v>
      </c>
      <c r="C29" s="12">
        <f t="shared" si="0"/>
        <v>0</v>
      </c>
      <c r="D29" s="88"/>
      <c r="E29" s="12"/>
      <c r="F29" s="16"/>
      <c r="G29" s="16"/>
      <c r="H29" s="16"/>
      <c r="I29" s="16"/>
      <c r="J29" s="16"/>
    </row>
    <row r="30" spans="1:10" s="3" customFormat="1" ht="11.25" hidden="1" customHeight="1" x14ac:dyDescent="0.25">
      <c r="A30" s="18"/>
      <c r="B30" s="54" t="s">
        <v>53</v>
      </c>
      <c r="C30" s="12">
        <f t="shared" si="0"/>
        <v>0</v>
      </c>
      <c r="D30" s="88"/>
      <c r="E30" s="12"/>
      <c r="F30" s="16"/>
      <c r="G30" s="16"/>
      <c r="H30" s="16"/>
      <c r="I30" s="16"/>
      <c r="J30" s="16"/>
    </row>
    <row r="31" spans="1:10" s="3" customFormat="1" ht="12.75" hidden="1" customHeight="1" x14ac:dyDescent="0.25">
      <c r="A31" s="18"/>
      <c r="B31" s="54" t="s">
        <v>54</v>
      </c>
      <c r="C31" s="12">
        <f t="shared" si="0"/>
        <v>0</v>
      </c>
      <c r="D31" s="88"/>
      <c r="E31" s="12"/>
      <c r="F31" s="16"/>
      <c r="G31" s="16"/>
      <c r="H31" s="16"/>
      <c r="I31" s="16"/>
      <c r="J31" s="16"/>
    </row>
    <row r="32" spans="1:10" s="3" customFormat="1" ht="51" x14ac:dyDescent="0.25">
      <c r="A32" s="10" t="s">
        <v>55</v>
      </c>
      <c r="B32" s="23" t="s">
        <v>56</v>
      </c>
      <c r="C32" s="12">
        <f t="shared" si="0"/>
        <v>0</v>
      </c>
      <c r="D32" s="88"/>
      <c r="E32" s="12"/>
      <c r="F32" s="12"/>
      <c r="G32" s="12"/>
      <c r="H32" s="12"/>
      <c r="I32" s="12"/>
      <c r="J32" s="12"/>
    </row>
    <row r="33" spans="1:17" s="3" customFormat="1" ht="38.25" x14ac:dyDescent="0.25">
      <c r="A33" s="10" t="s">
        <v>57</v>
      </c>
      <c r="B33" s="23" t="s">
        <v>58</v>
      </c>
      <c r="C33" s="12">
        <f t="shared" si="0"/>
        <v>0</v>
      </c>
      <c r="D33" s="88"/>
      <c r="E33" s="12"/>
      <c r="F33" s="12"/>
      <c r="G33" s="12"/>
      <c r="H33" s="12"/>
      <c r="I33" s="12"/>
      <c r="J33" s="12"/>
    </row>
    <row r="34" spans="1:17" s="3" customFormat="1" ht="63.75" x14ac:dyDescent="0.25">
      <c r="A34" s="10" t="s">
        <v>59</v>
      </c>
      <c r="B34" s="23" t="s">
        <v>60</v>
      </c>
      <c r="C34" s="12">
        <f t="shared" si="0"/>
        <v>0</v>
      </c>
      <c r="D34" s="88"/>
      <c r="E34" s="12"/>
      <c r="F34" s="12"/>
      <c r="G34" s="12"/>
      <c r="H34" s="12"/>
      <c r="I34" s="12"/>
      <c r="J34" s="12"/>
    </row>
    <row r="35" spans="1:17" s="3" customFormat="1" ht="12.75" x14ac:dyDescent="0.25">
      <c r="A35" s="10" t="s">
        <v>61</v>
      </c>
      <c r="B35" s="23" t="s">
        <v>62</v>
      </c>
      <c r="C35" s="12">
        <f t="shared" si="0"/>
        <v>0</v>
      </c>
      <c r="D35" s="88"/>
      <c r="E35" s="12"/>
      <c r="F35" s="12"/>
      <c r="G35" s="12"/>
      <c r="H35" s="12"/>
      <c r="I35" s="12"/>
      <c r="J35" s="12"/>
    </row>
    <row r="36" spans="1:17" s="28" customFormat="1" ht="18.75" x14ac:dyDescent="0.25">
      <c r="A36" s="24"/>
      <c r="B36" s="55" t="s">
        <v>63</v>
      </c>
      <c r="C36" s="26">
        <f t="shared" si="0"/>
        <v>0</v>
      </c>
      <c r="D36" s="90">
        <f t="shared" ref="D36:G36" si="1">D8+D16+D17+D18+D19+D26+D32+D33+D34+D35</f>
        <v>0</v>
      </c>
      <c r="E36" s="26">
        <f t="shared" si="1"/>
        <v>0</v>
      </c>
      <c r="F36" s="26">
        <f t="shared" si="1"/>
        <v>0</v>
      </c>
      <c r="G36" s="26">
        <f t="shared" si="1"/>
        <v>0</v>
      </c>
      <c r="H36" s="26">
        <f>H8+H16+H17+H18+H19+H26+H32+H33+H34+H35</f>
        <v>0</v>
      </c>
      <c r="I36" s="26">
        <f>I16+I17+I19+I26+I32+I33+I34+I35</f>
        <v>0</v>
      </c>
      <c r="J36" s="26">
        <v>4246706.5599999996</v>
      </c>
    </row>
    <row r="37" spans="1:17" ht="23.25" x14ac:dyDescent="0.35">
      <c r="A37" s="32"/>
      <c r="B37" s="57"/>
      <c r="C37" s="36"/>
      <c r="D37" s="91"/>
      <c r="E37" s="36"/>
      <c r="F37" s="36"/>
      <c r="G37" s="36"/>
      <c r="H37" s="36"/>
      <c r="I37" s="36"/>
      <c r="J37" s="36"/>
    </row>
    <row r="38" spans="1:17" x14ac:dyDescent="0.2">
      <c r="C38" s="38"/>
      <c r="D38" s="92"/>
      <c r="E38" s="38"/>
      <c r="F38" s="38"/>
      <c r="G38" s="38"/>
      <c r="H38" s="38"/>
      <c r="I38" s="38"/>
      <c r="J38" s="38"/>
    </row>
    <row r="39" spans="1:17" s="34" customFormat="1" x14ac:dyDescent="0.2">
      <c r="A39" s="9"/>
      <c r="B39" s="58"/>
      <c r="C39" s="38"/>
      <c r="D39" s="92"/>
      <c r="E39" s="38"/>
      <c r="F39" s="38"/>
      <c r="G39" s="38"/>
      <c r="H39" s="38"/>
      <c r="I39" s="38"/>
      <c r="J39" s="38"/>
      <c r="K39" s="9"/>
      <c r="L39" s="9"/>
      <c r="M39" s="9"/>
      <c r="N39" s="9"/>
      <c r="O39" s="9"/>
      <c r="P39" s="9"/>
      <c r="Q39" s="9"/>
    </row>
  </sheetData>
  <mergeCells count="10">
    <mergeCell ref="A1:A3"/>
    <mergeCell ref="B1:B2"/>
    <mergeCell ref="C1:C2"/>
    <mergeCell ref="D1:D2"/>
    <mergeCell ref="E1:E2"/>
    <mergeCell ref="F1:F2"/>
    <mergeCell ref="G1:G2"/>
    <mergeCell ref="H1:H2"/>
    <mergeCell ref="I1:I2"/>
    <mergeCell ref="J1:J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DC455-9B62-4D2F-89B1-8E9D4A6A8760}">
  <sheetPr codeName="Лист9">
    <pageSetUpPr fitToPage="1"/>
  </sheetPr>
  <dimension ref="A1:W48"/>
  <sheetViews>
    <sheetView view="pageBreakPreview" zoomScale="60" zoomScaleNormal="100" workbookViewId="0">
      <selection activeCell="B29" sqref="B29"/>
    </sheetView>
  </sheetViews>
  <sheetFormatPr defaultColWidth="14.140625" defaultRowHeight="11.25" outlineLevelCol="1" x14ac:dyDescent="0.2"/>
  <cols>
    <col min="1" max="1" width="6.140625" style="9" customWidth="1"/>
    <col min="2" max="2" width="62.140625" style="37" customWidth="1"/>
    <col min="3" max="3" width="20.7109375" style="9" customWidth="1"/>
    <col min="4" max="4" width="14" style="34" customWidth="1"/>
    <col min="5" max="5" width="14.42578125" style="34" customWidth="1"/>
    <col min="6" max="6" width="13.7109375" style="34" customWidth="1"/>
    <col min="7" max="7" width="11.5703125" style="34" customWidth="1"/>
    <col min="8" max="8" width="16" style="34" customWidth="1"/>
    <col min="9" max="9" width="14.5703125" style="34" customWidth="1"/>
    <col min="10" max="10" width="15.140625" style="34" customWidth="1"/>
    <col min="11" max="11" width="17.85546875" style="34" hidden="1" customWidth="1" outlineLevel="1"/>
    <col min="12" max="22" width="16.42578125" style="34" hidden="1" customWidth="1" outlineLevel="1"/>
    <col min="23" max="23" width="0" style="9" hidden="1" customWidth="1" collapsed="1"/>
    <col min="24" max="27" width="0" style="9" hidden="1" customWidth="1"/>
    <col min="28" max="16384" width="14.140625" style="9"/>
  </cols>
  <sheetData>
    <row r="1" spans="1:22" s="3" customFormat="1" ht="30" customHeight="1" x14ac:dyDescent="0.25">
      <c r="A1" s="1"/>
      <c r="B1" s="50" t="s">
        <v>80</v>
      </c>
      <c r="C1" s="39"/>
      <c r="D1" s="41" t="s">
        <v>0</v>
      </c>
      <c r="E1" s="41" t="s">
        <v>1</v>
      </c>
      <c r="F1" s="41" t="s">
        <v>2</v>
      </c>
      <c r="G1" s="41" t="s">
        <v>6</v>
      </c>
      <c r="H1" s="41" t="s">
        <v>3</v>
      </c>
      <c r="I1" s="41" t="s">
        <v>4</v>
      </c>
      <c r="J1" s="43" t="s">
        <v>5</v>
      </c>
      <c r="K1" s="2" t="s">
        <v>81</v>
      </c>
      <c r="L1" s="2" t="s">
        <v>82</v>
      </c>
      <c r="M1" s="2" t="s">
        <v>83</v>
      </c>
      <c r="N1" s="2" t="s">
        <v>84</v>
      </c>
      <c r="O1" s="2" t="s">
        <v>85</v>
      </c>
      <c r="P1" s="2" t="s">
        <v>86</v>
      </c>
      <c r="Q1" s="2"/>
      <c r="R1" s="2"/>
      <c r="S1" s="2"/>
      <c r="T1" s="2"/>
      <c r="U1" s="2"/>
      <c r="V1" s="2"/>
    </row>
    <row r="2" spans="1:22" x14ac:dyDescent="0.2">
      <c r="A2" s="4"/>
      <c r="B2" s="5" t="s">
        <v>12</v>
      </c>
      <c r="C2" s="6"/>
      <c r="D2" s="7"/>
      <c r="E2" s="7"/>
      <c r="F2" s="7"/>
      <c r="G2" s="7"/>
      <c r="H2" s="7"/>
      <c r="I2" s="7"/>
      <c r="J2" s="6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2" x14ac:dyDescent="0.2">
      <c r="A3" s="4"/>
      <c r="B3" s="5"/>
      <c r="C3" s="6" t="s">
        <v>87</v>
      </c>
      <c r="D3" s="6" t="s">
        <v>87</v>
      </c>
      <c r="E3" s="6" t="s">
        <v>87</v>
      </c>
      <c r="F3" s="6" t="s">
        <v>87</v>
      </c>
      <c r="G3" s="6" t="s">
        <v>87</v>
      </c>
      <c r="H3" s="6" t="s">
        <v>87</v>
      </c>
      <c r="I3" s="6" t="s">
        <v>87</v>
      </c>
      <c r="J3" s="6" t="s">
        <v>87</v>
      </c>
      <c r="K3" s="8" t="s">
        <v>87</v>
      </c>
      <c r="L3" s="8" t="s">
        <v>87</v>
      </c>
      <c r="M3" s="8" t="s">
        <v>87</v>
      </c>
      <c r="N3" s="8" t="s">
        <v>87</v>
      </c>
      <c r="O3" s="8" t="s">
        <v>87</v>
      </c>
      <c r="P3" s="8" t="s">
        <v>87</v>
      </c>
      <c r="Q3" s="8" t="s">
        <v>87</v>
      </c>
      <c r="R3" s="8" t="s">
        <v>87</v>
      </c>
      <c r="S3" s="8" t="s">
        <v>87</v>
      </c>
      <c r="T3" s="8" t="s">
        <v>87</v>
      </c>
      <c r="U3" s="8" t="s">
        <v>87</v>
      </c>
      <c r="V3" s="8" t="s">
        <v>87</v>
      </c>
    </row>
    <row r="4" spans="1:22" s="3" customFormat="1" ht="12.75" x14ac:dyDescent="0.25">
      <c r="A4" s="10" t="s">
        <v>15</v>
      </c>
      <c r="B4" s="11" t="s">
        <v>16</v>
      </c>
      <c r="C4" s="12">
        <f t="shared" ref="C4:C37" si="0">D4+E4+J4+F4+G4+H4+I4</f>
        <v>25412073.890000001</v>
      </c>
      <c r="D4" s="12">
        <f t="shared" ref="D4:I4" si="1">D5+D6</f>
        <v>25412073.890000001</v>
      </c>
      <c r="E4" s="12">
        <f t="shared" si="1"/>
        <v>0</v>
      </c>
      <c r="F4" s="12">
        <f t="shared" si="1"/>
        <v>0</v>
      </c>
      <c r="G4" s="12">
        <f t="shared" si="1"/>
        <v>0</v>
      </c>
      <c r="H4" s="12"/>
      <c r="I4" s="12">
        <f t="shared" si="1"/>
        <v>0</v>
      </c>
      <c r="J4" s="12"/>
      <c r="K4" s="13">
        <f>K5+K6</f>
        <v>0</v>
      </c>
      <c r="L4" s="13">
        <f>L5+L6</f>
        <v>0</v>
      </c>
      <c r="M4" s="13">
        <f>M5+M6</f>
        <v>0</v>
      </c>
      <c r="N4" s="13">
        <f>N5+N6</f>
        <v>0</v>
      </c>
      <c r="O4" s="13">
        <f>O5+O6</f>
        <v>0</v>
      </c>
      <c r="P4" s="13"/>
      <c r="Q4" s="13">
        <f>Q5+Q6</f>
        <v>0</v>
      </c>
      <c r="R4" s="13">
        <f t="shared" ref="R4:V4" si="2">R5+R6</f>
        <v>0</v>
      </c>
      <c r="S4" s="13">
        <f t="shared" si="2"/>
        <v>0</v>
      </c>
      <c r="T4" s="13">
        <f>T5+T6</f>
        <v>0</v>
      </c>
      <c r="U4" s="13">
        <f>U5+U6</f>
        <v>0</v>
      </c>
      <c r="V4" s="13">
        <f t="shared" si="2"/>
        <v>0</v>
      </c>
    </row>
    <row r="5" spans="1:22" s="3" customFormat="1" x14ac:dyDescent="0.25">
      <c r="A5" s="14"/>
      <c r="B5" s="15" t="s">
        <v>17</v>
      </c>
      <c r="C5" s="16">
        <f t="shared" si="0"/>
        <v>14000000</v>
      </c>
      <c r="D5" s="16">
        <v>14000000</v>
      </c>
      <c r="E5" s="16"/>
      <c r="F5" s="16"/>
      <c r="G5" s="16"/>
      <c r="H5" s="16"/>
      <c r="I5" s="16"/>
      <c r="J5" s="16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</row>
    <row r="6" spans="1:22" s="3" customFormat="1" x14ac:dyDescent="0.25">
      <c r="A6" s="14"/>
      <c r="B6" s="15" t="s">
        <v>18</v>
      </c>
      <c r="C6" s="16">
        <f t="shared" si="0"/>
        <v>11412073.890000001</v>
      </c>
      <c r="D6" s="16">
        <f>25412073.89-D5</f>
        <v>11412073.890000001</v>
      </c>
      <c r="E6" s="16"/>
      <c r="F6" s="16"/>
      <c r="G6" s="16"/>
      <c r="H6" s="16"/>
      <c r="I6" s="16"/>
      <c r="J6" s="16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</row>
    <row r="7" spans="1:22" s="3" customFormat="1" ht="12.75" x14ac:dyDescent="0.25">
      <c r="A7" s="10" t="s">
        <v>19</v>
      </c>
      <c r="B7" s="11" t="s">
        <v>20</v>
      </c>
      <c r="C7" s="12">
        <f t="shared" si="0"/>
        <v>4109841.62</v>
      </c>
      <c r="D7" s="12">
        <f t="shared" ref="D7" si="3">D8+D9</f>
        <v>4109841.62</v>
      </c>
      <c r="E7" s="12">
        <f>E8+E9</f>
        <v>0</v>
      </c>
      <c r="F7" s="12">
        <f t="shared" ref="F7:P7" si="4">F8+F9</f>
        <v>0</v>
      </c>
      <c r="G7" s="12">
        <f t="shared" si="4"/>
        <v>0</v>
      </c>
      <c r="H7" s="12"/>
      <c r="I7" s="12">
        <f t="shared" si="4"/>
        <v>0</v>
      </c>
      <c r="J7" s="12"/>
      <c r="K7" s="13">
        <f t="shared" si="4"/>
        <v>0</v>
      </c>
      <c r="L7" s="13">
        <f t="shared" si="4"/>
        <v>0</v>
      </c>
      <c r="M7" s="13">
        <f t="shared" si="4"/>
        <v>0</v>
      </c>
      <c r="N7" s="13">
        <f t="shared" si="4"/>
        <v>0</v>
      </c>
      <c r="O7" s="13">
        <f t="shared" si="4"/>
        <v>0</v>
      </c>
      <c r="P7" s="13">
        <f t="shared" si="4"/>
        <v>0</v>
      </c>
      <c r="Q7" s="13">
        <f>Q8+Q9</f>
        <v>0</v>
      </c>
      <c r="R7" s="13">
        <f t="shared" ref="R7:V7" si="5">R8+R9</f>
        <v>0</v>
      </c>
      <c r="S7" s="13">
        <f t="shared" si="5"/>
        <v>0</v>
      </c>
      <c r="T7" s="13">
        <f>T8+T9</f>
        <v>0</v>
      </c>
      <c r="U7" s="13">
        <f>U8+U9</f>
        <v>0</v>
      </c>
      <c r="V7" s="13">
        <f t="shared" si="5"/>
        <v>0</v>
      </c>
    </row>
    <row r="8" spans="1:22" s="3" customFormat="1" x14ac:dyDescent="0.25">
      <c r="A8" s="18"/>
      <c r="B8" s="15" t="s">
        <v>21</v>
      </c>
      <c r="C8" s="16">
        <f t="shared" si="0"/>
        <v>2826506.62</v>
      </c>
      <c r="D8" s="16">
        <f>3710163.44-D9+399678.18</f>
        <v>2826506.62</v>
      </c>
      <c r="E8" s="16"/>
      <c r="F8" s="16"/>
      <c r="G8" s="16"/>
      <c r="H8" s="16"/>
      <c r="I8" s="16"/>
      <c r="J8" s="16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</row>
    <row r="9" spans="1:22" s="3" customFormat="1" x14ac:dyDescent="0.25">
      <c r="A9" s="18"/>
      <c r="B9" s="15" t="s">
        <v>22</v>
      </c>
      <c r="C9" s="16">
        <f t="shared" si="0"/>
        <v>1283335</v>
      </c>
      <c r="D9" s="16">
        <v>1283335</v>
      </c>
      <c r="E9" s="16"/>
      <c r="F9" s="16"/>
      <c r="G9" s="16"/>
      <c r="H9" s="16"/>
      <c r="I9" s="16"/>
      <c r="J9" s="16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</row>
    <row r="10" spans="1:22" s="19" customFormat="1" ht="12.75" x14ac:dyDescent="0.25">
      <c r="A10" s="10" t="s">
        <v>23</v>
      </c>
      <c r="B10" s="11" t="s">
        <v>24</v>
      </c>
      <c r="C10" s="12">
        <f t="shared" si="0"/>
        <v>1269000</v>
      </c>
      <c r="D10" s="12">
        <f t="shared" ref="D10:H10" si="6">SUM(D11:D17)</f>
        <v>0</v>
      </c>
      <c r="E10" s="12">
        <f t="shared" si="6"/>
        <v>0</v>
      </c>
      <c r="F10" s="12">
        <f t="shared" si="6"/>
        <v>0</v>
      </c>
      <c r="G10" s="12">
        <f t="shared" si="6"/>
        <v>0</v>
      </c>
      <c r="H10" s="12">
        <f t="shared" si="6"/>
        <v>0</v>
      </c>
      <c r="I10" s="12">
        <f>I14+I15+I17</f>
        <v>1269000</v>
      </c>
      <c r="J10" s="12"/>
      <c r="K10" s="13">
        <f>SUM(K11:K17)</f>
        <v>0</v>
      </c>
      <c r="L10" s="13">
        <f>SUM(L11:L17)</f>
        <v>0</v>
      </c>
      <c r="M10" s="13">
        <f>SUM(M11:M17)</f>
        <v>0</v>
      </c>
      <c r="N10" s="13">
        <f>SUM(N11:N17)</f>
        <v>0</v>
      </c>
      <c r="O10" s="13">
        <f>SUM(O11:O17)</f>
        <v>0</v>
      </c>
      <c r="P10" s="13"/>
      <c r="Q10" s="13">
        <f>SUM(Q11:Q17)</f>
        <v>0</v>
      </c>
      <c r="R10" s="13">
        <f t="shared" ref="R10:V10" si="7">SUM(R11:R17)</f>
        <v>0</v>
      </c>
      <c r="S10" s="13">
        <f t="shared" si="7"/>
        <v>0</v>
      </c>
      <c r="T10" s="13"/>
      <c r="U10" s="13">
        <f>SUM(U11:U17)</f>
        <v>0</v>
      </c>
      <c r="V10" s="13">
        <f t="shared" si="7"/>
        <v>0</v>
      </c>
    </row>
    <row r="11" spans="1:22" s="3" customFormat="1" hidden="1" x14ac:dyDescent="0.25">
      <c r="A11" s="18"/>
      <c r="B11" s="15" t="s">
        <v>25</v>
      </c>
      <c r="C11" s="16">
        <f t="shared" si="0"/>
        <v>0</v>
      </c>
      <c r="D11" s="16"/>
      <c r="E11" s="16"/>
      <c r="F11" s="16"/>
      <c r="G11" s="16"/>
      <c r="H11" s="16"/>
      <c r="I11" s="16"/>
      <c r="J11" s="16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</row>
    <row r="12" spans="1:22" s="3" customFormat="1" hidden="1" x14ac:dyDescent="0.25">
      <c r="A12" s="18"/>
      <c r="B12" s="15" t="s">
        <v>26</v>
      </c>
      <c r="C12" s="16">
        <f t="shared" si="0"/>
        <v>0</v>
      </c>
      <c r="D12" s="16"/>
      <c r="E12" s="16"/>
      <c r="F12" s="16"/>
      <c r="G12" s="16"/>
      <c r="H12" s="16"/>
      <c r="I12" s="16"/>
      <c r="J12" s="16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</row>
    <row r="13" spans="1:22" s="3" customFormat="1" hidden="1" x14ac:dyDescent="0.25">
      <c r="A13" s="18"/>
      <c r="B13" s="15" t="s">
        <v>27</v>
      </c>
      <c r="C13" s="16">
        <f t="shared" si="0"/>
        <v>0</v>
      </c>
      <c r="D13" s="16"/>
      <c r="E13" s="16"/>
      <c r="F13" s="16"/>
      <c r="G13" s="16"/>
      <c r="H13" s="16"/>
      <c r="I13" s="16"/>
      <c r="J13" s="16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</row>
    <row r="14" spans="1:22" s="3" customFormat="1" hidden="1" x14ac:dyDescent="0.25">
      <c r="A14" s="18"/>
      <c r="B14" s="15" t="s">
        <v>28</v>
      </c>
      <c r="C14" s="16">
        <f t="shared" si="0"/>
        <v>0</v>
      </c>
      <c r="D14" s="16"/>
      <c r="E14" s="16"/>
      <c r="F14" s="16"/>
      <c r="G14" s="16"/>
      <c r="H14" s="16"/>
      <c r="I14" s="16"/>
      <c r="J14" s="16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</row>
    <row r="15" spans="1:22" s="3" customFormat="1" hidden="1" x14ac:dyDescent="0.25">
      <c r="A15" s="18"/>
      <c r="B15" s="15" t="s">
        <v>29</v>
      </c>
      <c r="C15" s="16">
        <f t="shared" si="0"/>
        <v>0</v>
      </c>
      <c r="D15" s="16"/>
      <c r="E15" s="16"/>
      <c r="F15" s="16"/>
      <c r="G15" s="16"/>
      <c r="H15" s="16"/>
      <c r="I15" s="16"/>
      <c r="J15" s="16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</row>
    <row r="16" spans="1:22" s="3" customFormat="1" hidden="1" x14ac:dyDescent="0.25">
      <c r="A16" s="18"/>
      <c r="B16" s="15" t="s">
        <v>30</v>
      </c>
      <c r="C16" s="16">
        <f t="shared" si="0"/>
        <v>0</v>
      </c>
      <c r="D16" s="16"/>
      <c r="E16" s="16"/>
      <c r="F16" s="16"/>
      <c r="G16" s="16"/>
      <c r="H16" s="16"/>
      <c r="I16" s="16"/>
      <c r="J16" s="16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</row>
    <row r="17" spans="1:22" s="3" customFormat="1" x14ac:dyDescent="0.25">
      <c r="A17" s="18"/>
      <c r="B17" s="15" t="s">
        <v>31</v>
      </c>
      <c r="C17" s="16">
        <f t="shared" si="0"/>
        <v>1269000</v>
      </c>
      <c r="D17" s="16"/>
      <c r="E17" s="16"/>
      <c r="F17" s="16"/>
      <c r="G17" s="16"/>
      <c r="H17" s="16"/>
      <c r="I17" s="16">
        <v>1269000</v>
      </c>
      <c r="J17" s="16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</row>
    <row r="18" spans="1:22" s="3" customFormat="1" ht="12.75" x14ac:dyDescent="0.25">
      <c r="A18" s="10" t="s">
        <v>32</v>
      </c>
      <c r="B18" s="11" t="s">
        <v>33</v>
      </c>
      <c r="C18" s="12">
        <f t="shared" si="0"/>
        <v>965720.2</v>
      </c>
      <c r="D18" s="12"/>
      <c r="E18" s="12">
        <v>647483.19999999995</v>
      </c>
      <c r="F18" s="12"/>
      <c r="G18" s="12"/>
      <c r="H18" s="12">
        <v>318237</v>
      </c>
      <c r="I18" s="12"/>
      <c r="J18" s="12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 s="3" customFormat="1" ht="12.75" x14ac:dyDescent="0.25">
      <c r="A19" s="10" t="s">
        <v>34</v>
      </c>
      <c r="B19" s="11" t="s">
        <v>35</v>
      </c>
      <c r="C19" s="12">
        <f t="shared" si="0"/>
        <v>7359059.6700000009</v>
      </c>
      <c r="D19" s="12"/>
      <c r="E19" s="12">
        <v>6905316.4800000004</v>
      </c>
      <c r="F19" s="12">
        <v>453743.19</v>
      </c>
      <c r="G19" s="12"/>
      <c r="H19" s="12"/>
      <c r="I19" s="12"/>
      <c r="J19" s="12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 s="3" customFormat="1" ht="12.75" x14ac:dyDescent="0.25">
      <c r="A20" s="10" t="s">
        <v>36</v>
      </c>
      <c r="B20" s="11" t="s">
        <v>37</v>
      </c>
      <c r="C20" s="12">
        <f t="shared" si="0"/>
        <v>4330552.32</v>
      </c>
      <c r="D20" s="12"/>
      <c r="E20" s="12"/>
      <c r="F20" s="12"/>
      <c r="G20" s="12"/>
      <c r="H20" s="12"/>
      <c r="I20" s="12">
        <v>4330552.32</v>
      </c>
      <c r="J20" s="12">
        <f>SUM(K20:P20)</f>
        <v>0</v>
      </c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 s="3" customFormat="1" ht="12.75" x14ac:dyDescent="0.25">
      <c r="A21" s="10" t="s">
        <v>38</v>
      </c>
      <c r="B21" s="11" t="s">
        <v>39</v>
      </c>
      <c r="C21" s="12">
        <f t="shared" si="0"/>
        <v>15812432.57</v>
      </c>
      <c r="D21" s="12">
        <f t="shared" ref="D21:I21" si="8">D26+D23+D22+D24</f>
        <v>0</v>
      </c>
      <c r="E21" s="12">
        <f>E26+E23+E22+E24+E25</f>
        <v>14212619.4</v>
      </c>
      <c r="F21" s="12">
        <f t="shared" si="8"/>
        <v>0</v>
      </c>
      <c r="G21" s="12">
        <f t="shared" si="8"/>
        <v>0</v>
      </c>
      <c r="H21" s="12">
        <f>H23</f>
        <v>1599813.17</v>
      </c>
      <c r="I21" s="12">
        <f t="shared" si="8"/>
        <v>0</v>
      </c>
      <c r="J21" s="12">
        <f>SUM(J22:J26)</f>
        <v>0</v>
      </c>
      <c r="K21" s="13">
        <f>K26+K23+K22+K24</f>
        <v>0</v>
      </c>
      <c r="L21" s="13">
        <f>L26+L23+L22+L24</f>
        <v>0</v>
      </c>
      <c r="M21" s="13">
        <f>M26+M23+M22+M24</f>
        <v>0</v>
      </c>
      <c r="N21" s="13">
        <f>N26+N23+N22+N24</f>
        <v>0</v>
      </c>
      <c r="O21" s="13">
        <f>O26+O23+O22+O24</f>
        <v>0</v>
      </c>
      <c r="P21" s="13">
        <f t="shared" ref="P21:V21" si="9">P26+P23+P22+P24</f>
        <v>0</v>
      </c>
      <c r="Q21" s="13">
        <f>Q26+Q23+Q22+Q24</f>
        <v>0</v>
      </c>
      <c r="R21" s="13">
        <f t="shared" si="9"/>
        <v>0</v>
      </c>
      <c r="S21" s="13">
        <f t="shared" si="9"/>
        <v>0</v>
      </c>
      <c r="T21" s="13">
        <f t="shared" si="9"/>
        <v>0</v>
      </c>
      <c r="U21" s="13">
        <f t="shared" si="9"/>
        <v>0</v>
      </c>
      <c r="V21" s="13">
        <f t="shared" si="9"/>
        <v>0</v>
      </c>
    </row>
    <row r="22" spans="1:22" s="3" customFormat="1" ht="12.75" x14ac:dyDescent="0.25">
      <c r="A22" s="20"/>
      <c r="B22" s="15" t="s">
        <v>40</v>
      </c>
      <c r="C22" s="16">
        <f t="shared" si="0"/>
        <v>13657433.460000001</v>
      </c>
      <c r="D22" s="16"/>
      <c r="E22" s="16">
        <v>13657433.460000001</v>
      </c>
      <c r="F22" s="16"/>
      <c r="G22" s="16"/>
      <c r="H22" s="16"/>
      <c r="I22" s="16"/>
      <c r="J22" s="16">
        <f t="shared" ref="J22:J26" si="10">SUM(K22:V22)</f>
        <v>0</v>
      </c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</row>
    <row r="23" spans="1:22" s="3" customFormat="1" ht="12.75" x14ac:dyDescent="0.25">
      <c r="A23" s="20"/>
      <c r="B23" s="15" t="s">
        <v>41</v>
      </c>
      <c r="C23" s="16">
        <f t="shared" si="0"/>
        <v>1599813.17</v>
      </c>
      <c r="D23" s="16"/>
      <c r="E23" s="16"/>
      <c r="F23" s="16"/>
      <c r="G23" s="16"/>
      <c r="H23" s="16">
        <v>1599813.17</v>
      </c>
      <c r="I23" s="16"/>
      <c r="J23" s="16">
        <f t="shared" si="10"/>
        <v>0</v>
      </c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</row>
    <row r="24" spans="1:22" s="3" customFormat="1" ht="12.75" x14ac:dyDescent="0.25">
      <c r="A24" s="20"/>
      <c r="B24" s="15" t="s">
        <v>42</v>
      </c>
      <c r="C24" s="16">
        <f t="shared" si="0"/>
        <v>0</v>
      </c>
      <c r="D24" s="16"/>
      <c r="E24" s="16"/>
      <c r="F24" s="16"/>
      <c r="G24" s="16"/>
      <c r="H24" s="16"/>
      <c r="I24" s="16"/>
      <c r="J24" s="16">
        <f t="shared" si="10"/>
        <v>0</v>
      </c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</row>
    <row r="25" spans="1:22" s="3" customFormat="1" ht="12.75" x14ac:dyDescent="0.25">
      <c r="A25" s="20"/>
      <c r="B25" s="15" t="s">
        <v>43</v>
      </c>
      <c r="C25" s="16">
        <f t="shared" si="0"/>
        <v>555185.93999999994</v>
      </c>
      <c r="D25" s="16"/>
      <c r="E25" s="16">
        <v>555185.93999999994</v>
      </c>
      <c r="F25" s="16"/>
      <c r="G25" s="16"/>
      <c r="H25" s="16"/>
      <c r="I25" s="16"/>
      <c r="J25" s="16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</row>
    <row r="26" spans="1:22" s="3" customFormat="1" ht="12.75" x14ac:dyDescent="0.25">
      <c r="A26" s="20"/>
      <c r="B26" s="15" t="s">
        <v>44</v>
      </c>
      <c r="C26" s="16">
        <f t="shared" si="0"/>
        <v>0</v>
      </c>
      <c r="D26" s="16"/>
      <c r="E26" s="16"/>
      <c r="F26" s="16"/>
      <c r="G26" s="16"/>
      <c r="H26" s="16"/>
      <c r="I26" s="16"/>
      <c r="J26" s="16">
        <f t="shared" si="10"/>
        <v>0</v>
      </c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</row>
    <row r="27" spans="1:22" s="3" customFormat="1" ht="12.75" hidden="1" x14ac:dyDescent="0.25">
      <c r="A27" s="10" t="s">
        <v>45</v>
      </c>
      <c r="B27" s="11" t="s">
        <v>46</v>
      </c>
      <c r="C27" s="12">
        <f t="shared" si="0"/>
        <v>0</v>
      </c>
      <c r="D27" s="12"/>
      <c r="E27" s="12"/>
      <c r="F27" s="12"/>
      <c r="G27" s="12"/>
      <c r="H27" s="12"/>
      <c r="I27" s="12"/>
      <c r="J27" s="12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</row>
    <row r="28" spans="1:22" s="3" customFormat="1" ht="12.75" x14ac:dyDescent="0.25">
      <c r="A28" s="10" t="s">
        <v>47</v>
      </c>
      <c r="B28" s="11" t="s">
        <v>48</v>
      </c>
      <c r="C28" s="12">
        <f t="shared" si="0"/>
        <v>11916941.030000001</v>
      </c>
      <c r="D28" s="12"/>
      <c r="E28" s="12">
        <v>902002.5</v>
      </c>
      <c r="F28" s="12"/>
      <c r="G28" s="12">
        <v>385000</v>
      </c>
      <c r="H28" s="12">
        <v>6499355.0700000003</v>
      </c>
      <c r="I28" s="12">
        <v>3692133.45</v>
      </c>
      <c r="J28" s="12">
        <f>SUM(K28:V28)</f>
        <v>438450.01</v>
      </c>
      <c r="K28" s="13"/>
      <c r="L28" s="13"/>
      <c r="M28" s="13"/>
      <c r="N28" s="13">
        <v>438450.01</v>
      </c>
      <c r="O28" s="13"/>
      <c r="P28" s="13"/>
      <c r="Q28" s="13"/>
      <c r="R28" s="13"/>
      <c r="S28" s="13"/>
      <c r="T28" s="13"/>
      <c r="U28" s="13"/>
      <c r="V28" s="13"/>
    </row>
    <row r="29" spans="1:22" s="3" customFormat="1" ht="12.75" x14ac:dyDescent="0.25">
      <c r="A29" s="10" t="s">
        <v>49</v>
      </c>
      <c r="B29" s="11" t="s">
        <v>50</v>
      </c>
      <c r="C29" s="12">
        <f t="shared" si="0"/>
        <v>36707967.18</v>
      </c>
      <c r="D29" s="12">
        <f>D30+D31+D32</f>
        <v>36707967.18</v>
      </c>
      <c r="E29" s="12"/>
      <c r="F29" s="12"/>
      <c r="G29" s="12"/>
      <c r="H29" s="12"/>
      <c r="I29" s="12"/>
      <c r="J29" s="12">
        <f>SUM(K29:V29)</f>
        <v>0</v>
      </c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</row>
    <row r="30" spans="1:22" s="3" customFormat="1" x14ac:dyDescent="0.25">
      <c r="A30" s="18"/>
      <c r="B30" s="15" t="s">
        <v>51</v>
      </c>
      <c r="C30" s="16">
        <f t="shared" si="0"/>
        <v>36650000</v>
      </c>
      <c r="D30" s="16">
        <v>36650000</v>
      </c>
      <c r="E30" s="16"/>
      <c r="F30" s="16"/>
      <c r="G30" s="16"/>
      <c r="H30" s="16"/>
      <c r="I30" s="16"/>
      <c r="J30" s="16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</row>
    <row r="31" spans="1:22" s="3" customFormat="1" x14ac:dyDescent="0.25">
      <c r="A31" s="18"/>
      <c r="B31" s="15" t="s">
        <v>52</v>
      </c>
      <c r="C31" s="16">
        <f t="shared" si="0"/>
        <v>57967.18</v>
      </c>
      <c r="D31" s="16">
        <v>57967.18</v>
      </c>
      <c r="E31" s="16"/>
      <c r="F31" s="16"/>
      <c r="G31" s="16"/>
      <c r="H31" s="16"/>
      <c r="I31" s="16"/>
      <c r="J31" s="16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</row>
    <row r="32" spans="1:22" s="3" customFormat="1" hidden="1" x14ac:dyDescent="0.25">
      <c r="A32" s="18"/>
      <c r="B32" s="15" t="s">
        <v>53</v>
      </c>
      <c r="C32" s="16">
        <f t="shared" si="0"/>
        <v>0</v>
      </c>
      <c r="D32" s="16"/>
      <c r="E32" s="16"/>
      <c r="F32" s="16"/>
      <c r="G32" s="16"/>
      <c r="H32" s="16"/>
      <c r="I32" s="16"/>
      <c r="J32" s="16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</row>
    <row r="33" spans="1:23" s="3" customFormat="1" ht="12.75" hidden="1" x14ac:dyDescent="0.25">
      <c r="A33" s="18"/>
      <c r="B33" s="15" t="s">
        <v>54</v>
      </c>
      <c r="C33" s="16">
        <f t="shared" si="0"/>
        <v>0</v>
      </c>
      <c r="D33" s="16"/>
      <c r="E33" s="16"/>
      <c r="F33" s="16"/>
      <c r="G33" s="16"/>
      <c r="H33" s="16"/>
      <c r="I33" s="16"/>
      <c r="J33" s="21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</row>
    <row r="34" spans="1:23" s="3" customFormat="1" ht="38.25" x14ac:dyDescent="0.25">
      <c r="A34" s="10" t="s">
        <v>55</v>
      </c>
      <c r="B34" s="23" t="s">
        <v>56</v>
      </c>
      <c r="C34" s="12">
        <f t="shared" si="0"/>
        <v>7883496.005375999</v>
      </c>
      <c r="D34" s="12">
        <f>1521188.44+1566040.82+20000</f>
        <v>3107229.26</v>
      </c>
      <c r="E34" s="12">
        <v>787242.27</v>
      </c>
      <c r="F34" s="12">
        <v>111560</v>
      </c>
      <c r="G34" s="12">
        <v>81412.679999999993</v>
      </c>
      <c r="H34" s="12">
        <v>802371.68</v>
      </c>
      <c r="I34" s="12">
        <v>674737.04</v>
      </c>
      <c r="J34" s="12">
        <f>SUM(K34:V34)+[1]поступление!F44</f>
        <v>2318943.0753759998</v>
      </c>
      <c r="K34" s="13"/>
      <c r="L34" s="13"/>
      <c r="M34" s="13"/>
      <c r="N34" s="13">
        <v>106566.39</v>
      </c>
      <c r="O34" s="13">
        <v>22847.4</v>
      </c>
      <c r="P34" s="13"/>
      <c r="Q34" s="13"/>
      <c r="R34" s="13"/>
      <c r="S34" s="13"/>
      <c r="T34" s="13"/>
      <c r="U34" s="13"/>
      <c r="V34" s="13"/>
    </row>
    <row r="35" spans="1:23" s="3" customFormat="1" ht="25.5" x14ac:dyDescent="0.25">
      <c r="A35" s="10" t="s">
        <v>57</v>
      </c>
      <c r="B35" s="23" t="s">
        <v>58</v>
      </c>
      <c r="C35" s="12">
        <f t="shared" si="0"/>
        <v>4469636.0699999994</v>
      </c>
      <c r="D35" s="12">
        <f>3973977.37-500000+156979.26</f>
        <v>3630956.63</v>
      </c>
      <c r="E35" s="12">
        <v>172083</v>
      </c>
      <c r="F35" s="12"/>
      <c r="G35" s="12">
        <v>10750.32</v>
      </c>
      <c r="H35" s="12">
        <v>120649.08</v>
      </c>
      <c r="I35" s="12">
        <v>459501.08</v>
      </c>
      <c r="J35" s="12">
        <f t="shared" ref="J35:J37" si="11">SUM(K35:V35)</f>
        <v>75695.960000000006</v>
      </c>
      <c r="K35" s="13"/>
      <c r="L35" s="13"/>
      <c r="M35" s="13"/>
      <c r="N35" s="13">
        <v>75695.960000000006</v>
      </c>
      <c r="O35" s="13"/>
      <c r="P35" s="13"/>
      <c r="Q35" s="13"/>
      <c r="R35" s="13"/>
      <c r="S35" s="13"/>
      <c r="T35" s="13"/>
      <c r="U35" s="13"/>
      <c r="V35" s="13"/>
    </row>
    <row r="36" spans="1:23" s="3" customFormat="1" ht="38.25" x14ac:dyDescent="0.25">
      <c r="A36" s="10" t="s">
        <v>59</v>
      </c>
      <c r="B36" s="23" t="s">
        <v>60</v>
      </c>
      <c r="C36" s="12">
        <f t="shared" si="0"/>
        <v>1730758.99</v>
      </c>
      <c r="D36" s="12">
        <v>1177023.3899999999</v>
      </c>
      <c r="E36" s="12">
        <v>101888.09</v>
      </c>
      <c r="F36" s="12"/>
      <c r="G36" s="12">
        <v>29175.06</v>
      </c>
      <c r="H36" s="12">
        <v>279056</v>
      </c>
      <c r="I36" s="12">
        <v>21200.01</v>
      </c>
      <c r="J36" s="12">
        <f t="shared" si="11"/>
        <v>122416.44</v>
      </c>
      <c r="K36" s="13">
        <v>52519.88</v>
      </c>
      <c r="L36" s="13"/>
      <c r="M36" s="13"/>
      <c r="N36" s="13">
        <v>54946.559999999998</v>
      </c>
      <c r="O36" s="13">
        <v>14950</v>
      </c>
      <c r="P36" s="13"/>
      <c r="Q36" s="13"/>
      <c r="R36" s="13"/>
      <c r="S36" s="13"/>
      <c r="T36" s="13"/>
      <c r="U36" s="13"/>
      <c r="V36" s="13"/>
    </row>
    <row r="37" spans="1:23" s="3" customFormat="1" ht="12.75" x14ac:dyDescent="0.25">
      <c r="A37" s="10" t="s">
        <v>61</v>
      </c>
      <c r="B37" s="23" t="s">
        <v>62</v>
      </c>
      <c r="C37" s="12">
        <f t="shared" si="0"/>
        <v>1079325.32</v>
      </c>
      <c r="D37" s="12">
        <v>103950</v>
      </c>
      <c r="E37" s="12">
        <v>75600</v>
      </c>
      <c r="F37" s="12"/>
      <c r="G37" s="12"/>
      <c r="H37" s="12">
        <v>326375.32</v>
      </c>
      <c r="I37" s="12"/>
      <c r="J37" s="12">
        <f t="shared" si="11"/>
        <v>573400</v>
      </c>
      <c r="K37" s="13"/>
      <c r="L37" s="13">
        <v>126000</v>
      </c>
      <c r="M37" s="13">
        <v>8800</v>
      </c>
      <c r="N37" s="13"/>
      <c r="O37" s="13">
        <v>438600</v>
      </c>
      <c r="P37" s="13"/>
      <c r="Q37" s="13"/>
      <c r="R37" s="13"/>
      <c r="S37" s="13"/>
      <c r="T37" s="13"/>
      <c r="U37" s="13"/>
      <c r="V37" s="13"/>
    </row>
    <row r="38" spans="1:23" s="28" customFormat="1" ht="18.75" x14ac:dyDescent="0.25">
      <c r="A38" s="24"/>
      <c r="B38" s="25" t="s">
        <v>63</v>
      </c>
      <c r="C38" s="26">
        <f>D38+E38+J38+F38+G38+I38+H38</f>
        <v>123046804.865376</v>
      </c>
      <c r="D38" s="26">
        <f t="shared" ref="D38:V38" si="12">D4+D7+D10+D18+D19+D20+D21+D27+D28+D29+D34+D35+D36+D37</f>
        <v>74249041.969999999</v>
      </c>
      <c r="E38" s="26">
        <f t="shared" si="12"/>
        <v>23804234.940000001</v>
      </c>
      <c r="F38" s="26">
        <f t="shared" si="12"/>
        <v>565303.18999999994</v>
      </c>
      <c r="G38" s="26">
        <f t="shared" si="12"/>
        <v>506338.06</v>
      </c>
      <c r="H38" s="26">
        <f t="shared" si="12"/>
        <v>9945857.3200000003</v>
      </c>
      <c r="I38" s="26">
        <f t="shared" si="12"/>
        <v>10447123.899999999</v>
      </c>
      <c r="J38" s="26">
        <f t="shared" si="12"/>
        <v>3528905.4853759999</v>
      </c>
      <c r="K38" s="27">
        <f t="shared" si="12"/>
        <v>52519.88</v>
      </c>
      <c r="L38" s="27">
        <f t="shared" si="12"/>
        <v>126000</v>
      </c>
      <c r="M38" s="27">
        <f t="shared" si="12"/>
        <v>8800</v>
      </c>
      <c r="N38" s="27">
        <f t="shared" si="12"/>
        <v>675658.91999999993</v>
      </c>
      <c r="O38" s="27">
        <f t="shared" si="12"/>
        <v>476397.4</v>
      </c>
      <c r="P38" s="27">
        <f t="shared" si="12"/>
        <v>0</v>
      </c>
      <c r="Q38" s="27">
        <f>Q4+Q7+Q10+Q18+Q19+Q20+Q21+Q27+Q28+Q29+Q34+Q35+Q36+Q37</f>
        <v>0</v>
      </c>
      <c r="R38" s="27">
        <f t="shared" si="12"/>
        <v>0</v>
      </c>
      <c r="S38" s="27">
        <f t="shared" si="12"/>
        <v>0</v>
      </c>
      <c r="T38" s="27">
        <f t="shared" si="12"/>
        <v>0</v>
      </c>
      <c r="U38" s="27">
        <f t="shared" si="12"/>
        <v>0</v>
      </c>
      <c r="V38" s="27">
        <f t="shared" si="12"/>
        <v>0</v>
      </c>
    </row>
    <row r="39" spans="1:23" s="28" customFormat="1" ht="18.75" x14ac:dyDescent="0.25">
      <c r="A39" s="29"/>
      <c r="B39" s="30" t="s">
        <v>64</v>
      </c>
      <c r="C39" s="26">
        <f>500000+1654517.97</f>
        <v>2154517.9699999997</v>
      </c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</row>
    <row r="40" spans="1:23" s="28" customFormat="1" ht="18.75" x14ac:dyDescent="0.25">
      <c r="A40" s="29"/>
      <c r="B40" s="30" t="s">
        <v>65</v>
      </c>
      <c r="C40" s="26">
        <v>89970</v>
      </c>
      <c r="D40" s="31"/>
      <c r="E40" s="31"/>
      <c r="F40" s="31"/>
    </row>
    <row r="41" spans="1:23" s="28" customFormat="1" ht="18.75" x14ac:dyDescent="0.25">
      <c r="A41" s="29"/>
      <c r="B41" s="30" t="s">
        <v>67</v>
      </c>
      <c r="C41" s="26">
        <v>4083307.26</v>
      </c>
      <c r="D41" s="31"/>
      <c r="E41" s="31"/>
      <c r="F41" s="31"/>
    </row>
    <row r="42" spans="1:23" s="28" customFormat="1" ht="18.75" x14ac:dyDescent="0.25">
      <c r="A42" s="29"/>
      <c r="B42" s="30" t="s">
        <v>88</v>
      </c>
      <c r="C42" s="26"/>
      <c r="D42" s="31"/>
      <c r="E42" s="31"/>
      <c r="F42" s="31"/>
    </row>
    <row r="43" spans="1:23" s="28" customFormat="1" ht="18.75" x14ac:dyDescent="0.2">
      <c r="A43" s="29"/>
      <c r="B43" s="30" t="s">
        <v>68</v>
      </c>
      <c r="C43" s="26"/>
      <c r="D43" s="31"/>
      <c r="E43" s="31"/>
      <c r="F43" s="31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</row>
    <row r="44" spans="1:23" ht="18.75" x14ac:dyDescent="0.2">
      <c r="A44" s="32"/>
      <c r="B44" s="30" t="s">
        <v>69</v>
      </c>
      <c r="C44" s="26">
        <v>545869.89</v>
      </c>
      <c r="J44" s="9"/>
    </row>
    <row r="45" spans="1:23" ht="18.75" x14ac:dyDescent="0.2">
      <c r="A45" s="32"/>
      <c r="B45" s="30" t="s">
        <v>70</v>
      </c>
      <c r="C45" s="26">
        <f>3251900.18+1316028.02</f>
        <v>4567928.2</v>
      </c>
      <c r="D45" s="33"/>
      <c r="J45" s="9"/>
    </row>
    <row r="46" spans="1:23" ht="23.25" x14ac:dyDescent="0.35">
      <c r="A46" s="32"/>
      <c r="B46" s="35"/>
      <c r="C46" s="36">
        <f>SUM(C38:C45)</f>
        <v>134488398.18537599</v>
      </c>
      <c r="D46" s="33"/>
    </row>
    <row r="47" spans="1:23" x14ac:dyDescent="0.2">
      <c r="C47" s="38"/>
    </row>
    <row r="48" spans="1:23" s="34" customFormat="1" x14ac:dyDescent="0.2">
      <c r="A48" s="9"/>
      <c r="B48" s="37"/>
      <c r="C48" s="38"/>
      <c r="W48" s="9"/>
    </row>
  </sheetData>
  <pageMargins left="0.70866141732283472" right="0.70866141732283472" top="0.74803149606299213" bottom="0.74803149606299213" header="0.31496062992125984" footer="0.31496062992125984"/>
  <pageSetup paperSize="9" scale="71" orientation="landscape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6</vt:i4>
      </vt:variant>
    </vt:vector>
  </HeadingPairs>
  <TitlesOfParts>
    <vt:vector size="19" baseType="lpstr">
      <vt:lpstr>ітого</vt:lpstr>
      <vt:lpstr>общие затрати</vt:lpstr>
      <vt:lpstr>карайкози 51</vt:lpstr>
      <vt:lpstr>клубани 3</vt:lpstr>
      <vt:lpstr>водяновка 10</vt:lpstr>
      <vt:lpstr>дубренки 3</vt:lpstr>
      <vt:lpstr>карайкози 52</vt:lpstr>
      <vt:lpstr>КРСи</vt:lpstr>
      <vt:lpstr>04</vt:lpstr>
      <vt:lpstr>03</vt:lpstr>
      <vt:lpstr>02</vt:lpstr>
      <vt:lpstr>01</vt:lpstr>
      <vt:lpstr>всего</vt:lpstr>
      <vt:lpstr>'01'!Область_печати</vt:lpstr>
      <vt:lpstr>'02'!Область_печати</vt:lpstr>
      <vt:lpstr>'03'!Область_печати</vt:lpstr>
      <vt:lpstr>'04'!Область_печати</vt:lpstr>
      <vt:lpstr>всего!Область_печати</vt:lpstr>
      <vt:lpstr>'общие затрати'!Область_печати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Клецька Наталія Євгеніївна</dc:creator>
  <cp:lastModifiedBy>Андрей Овчаренко</cp:lastModifiedBy>
  <cp:lastPrinted>2023-06-13T09:01:12Z</cp:lastPrinted>
  <dcterms:created xsi:type="dcterms:W3CDTF">2023-06-13T06:42:14Z</dcterms:created>
  <dcterms:modified xsi:type="dcterms:W3CDTF">2023-06-23T14:22:17Z</dcterms:modified>
</cp:coreProperties>
</file>