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CMDB\reporting\100M\"/>
    </mc:Choice>
  </mc:AlternateContent>
  <xr:revisionPtr revIDLastSave="0" documentId="13_ncr:1_{490E6455-FD09-4B0D-9030-B37D3A081D5A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15проц" sheetId="20" r:id="rId1"/>
    <sheet name="20проц" sheetId="21" r:id="rId2"/>
    <sheet name="Лист1" sheetId="22" r:id="rId3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20" l="1"/>
  <c r="H11" i="20"/>
  <c r="L4" i="20" l="1"/>
  <c r="L5" i="20"/>
  <c r="L6" i="20"/>
  <c r="L7" i="20"/>
  <c r="L8" i="20"/>
  <c r="L10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H26" i="20"/>
  <c r="G26" i="20"/>
  <c r="G26" i="21"/>
  <c r="H26" i="21"/>
  <c r="I4" i="21"/>
  <c r="J4" i="21" s="1"/>
  <c r="L4" i="21" s="1"/>
  <c r="I5" i="21"/>
  <c r="I6" i="21"/>
  <c r="I7" i="21"/>
  <c r="I8" i="21"/>
  <c r="J8" i="21" s="1"/>
  <c r="L8" i="21" s="1"/>
  <c r="I9" i="21"/>
  <c r="J9" i="21" s="1"/>
  <c r="L9" i="21" s="1"/>
  <c r="I10" i="21"/>
  <c r="J10" i="21" s="1"/>
  <c r="L10" i="21" s="1"/>
  <c r="I11" i="21"/>
  <c r="I12" i="21"/>
  <c r="I13" i="21"/>
  <c r="I14" i="21"/>
  <c r="I15" i="21"/>
  <c r="J15" i="21" s="1"/>
  <c r="L15" i="21" s="1"/>
  <c r="I16" i="21"/>
  <c r="J16" i="21" s="1"/>
  <c r="L16" i="21" s="1"/>
  <c r="I17" i="21"/>
  <c r="I18" i="21"/>
  <c r="I19" i="21"/>
  <c r="I20" i="21"/>
  <c r="I21" i="21"/>
  <c r="I22" i="21"/>
  <c r="J22" i="21" s="1"/>
  <c r="L22" i="21" s="1"/>
  <c r="I23" i="21"/>
  <c r="I24" i="21"/>
  <c r="I25" i="21"/>
  <c r="H9" i="21"/>
  <c r="C18" i="22"/>
  <c r="C17" i="22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J5" i="21"/>
  <c r="L5" i="21" s="1"/>
  <c r="J12" i="21"/>
  <c r="L12" i="21" s="1"/>
  <c r="J18" i="21"/>
  <c r="L18" i="21" s="1"/>
  <c r="J21" i="21"/>
  <c r="L21" i="21" s="1"/>
  <c r="J24" i="21"/>
  <c r="L24" i="21" s="1"/>
  <c r="J25" i="21"/>
  <c r="L25" i="21" s="1"/>
  <c r="J23" i="21"/>
  <c r="L23" i="21" s="1"/>
  <c r="J20" i="21"/>
  <c r="L20" i="21" s="1"/>
  <c r="J19" i="21"/>
  <c r="L19" i="21" s="1"/>
  <c r="J17" i="21"/>
  <c r="L17" i="21" s="1"/>
  <c r="J14" i="21"/>
  <c r="L14" i="21" s="1"/>
  <c r="J13" i="21"/>
  <c r="L13" i="21" s="1"/>
  <c r="J11" i="21"/>
  <c r="L11" i="21" s="1"/>
  <c r="J7" i="21"/>
  <c r="L7" i="21" s="1"/>
  <c r="J6" i="21"/>
  <c r="L6" i="21" s="1"/>
  <c r="I26" i="21" l="1"/>
  <c r="L26" i="21"/>
  <c r="I23" i="20" l="1"/>
  <c r="J23" i="20" s="1"/>
  <c r="I20" i="20"/>
  <c r="J20" i="20" s="1"/>
  <c r="I21" i="20"/>
  <c r="J21" i="20" s="1"/>
  <c r="I24" i="20"/>
  <c r="J24" i="20" s="1"/>
  <c r="I22" i="20"/>
  <c r="J22" i="20" s="1"/>
  <c r="I25" i="20"/>
  <c r="J25" i="20" s="1"/>
  <c r="I19" i="20"/>
  <c r="J19" i="20" s="1"/>
  <c r="I16" i="20"/>
  <c r="J16" i="20" s="1"/>
  <c r="I13" i="20"/>
  <c r="J13" i="20" s="1"/>
  <c r="I14" i="20"/>
  <c r="J14" i="20" s="1"/>
  <c r="I17" i="20"/>
  <c r="J17" i="20" s="1"/>
  <c r="I15" i="20"/>
  <c r="J15" i="20" s="1"/>
  <c r="I18" i="20"/>
  <c r="J18" i="20" s="1"/>
  <c r="I12" i="20"/>
  <c r="J12" i="20" s="1"/>
  <c r="I8" i="20"/>
  <c r="J8" i="20" s="1"/>
  <c r="I5" i="20"/>
  <c r="J5" i="20" s="1"/>
  <c r="I6" i="20"/>
  <c r="J6" i="20" s="1"/>
  <c r="I9" i="20"/>
  <c r="I10" i="20"/>
  <c r="J10" i="20" s="1"/>
  <c r="I7" i="20"/>
  <c r="J7" i="20" s="1"/>
  <c r="I11" i="20"/>
  <c r="J11" i="20" s="1"/>
  <c r="L11" i="20" s="1"/>
  <c r="I4" i="20"/>
  <c r="J4" i="20" s="1"/>
  <c r="J9" i="20" l="1"/>
  <c r="L9" i="20" s="1"/>
  <c r="I26" i="20"/>
  <c r="L26" i="20"/>
</calcChain>
</file>

<file path=xl/sharedStrings.xml><?xml version="1.0" encoding="utf-8"?>
<sst xmlns="http://schemas.openxmlformats.org/spreadsheetml/2006/main" count="158" uniqueCount="41">
  <si>
    <t>Скважина</t>
  </si>
  <si>
    <t>Клубанівсько-Зубренківське №1</t>
  </si>
  <si>
    <t>Карайкозiвська №48</t>
  </si>
  <si>
    <t>Клубанівсько-Зубренківське №3</t>
  </si>
  <si>
    <t>Итог</t>
  </si>
  <si>
    <t>COLUMN</t>
  </si>
  <si>
    <t>Логическое</t>
  </si>
  <si>
    <t>Факт</t>
  </si>
  <si>
    <t>План</t>
  </si>
  <si>
    <t>Вартість, грн</t>
  </si>
  <si>
    <t>Штраф, грн</t>
  </si>
  <si>
    <t>Факт - План</t>
  </si>
  <si>
    <t>Підготовчі роботи, мобілізація та монтаж</t>
  </si>
  <si>
    <t>Столбец1</t>
  </si>
  <si>
    <t>Етап 1</t>
  </si>
  <si>
    <t>Демонтаж, демобілізація</t>
  </si>
  <si>
    <t>Етап 2</t>
  </si>
  <si>
    <t>Етап 8</t>
  </si>
  <si>
    <t>Кондуктор Ø473,08</t>
  </si>
  <si>
    <t>Перша технічна колона Ø339,7</t>
  </si>
  <si>
    <t>Друга технічна колона Ø244,5</t>
  </si>
  <si>
    <t>Етап 3</t>
  </si>
  <si>
    <t>Етап 4</t>
  </si>
  <si>
    <t>Технічна колона "хвостовик" Ø177,8</t>
  </si>
  <si>
    <t>Етап 5</t>
  </si>
  <si>
    <t>Етап 6</t>
  </si>
  <si>
    <t>Етап 7</t>
  </si>
  <si>
    <t>Експлуатаційна колона "хвостовик" Ø127</t>
  </si>
  <si>
    <t>Експлуатаційна колона Ø177,8</t>
  </si>
  <si>
    <t>Експлуатаційна колона Ø168,3x139,7x127 (0 - 6000)</t>
  </si>
  <si>
    <t>Технічна колона "хвостовик" Ø193,7 (4400 - 5100)</t>
  </si>
  <si>
    <t>Друга технічна колона Ø244,5 (0 - 4500)</t>
  </si>
  <si>
    <t>Перша технічна колона Ø339,7 (0 - 2180)</t>
  </si>
  <si>
    <t>Кондуктор Ø473,1 (0 - 300)</t>
  </si>
  <si>
    <t>Кондуктор Ø473,1 (0 - 320)</t>
  </si>
  <si>
    <t>Перша технічна колона Ø339,7 (0 - 2600)</t>
  </si>
  <si>
    <t>Друга технічна колона Ø244,5 (0 - 4900)</t>
  </si>
  <si>
    <t>Технічна колона "хвостовик" Ø193,7 (4750 - 5560)</t>
  </si>
  <si>
    <t>Столбец2</t>
  </si>
  <si>
    <t>Столбец3</t>
  </si>
  <si>
    <t>Столбец4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</si>
</sst>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sz val="11"/>
      <color theme="4" tint="-0.249977111117893"/>
      <name val="Calibri"/>
      <family val="2"/>
      <charset val="204"/>
      <scheme val="minor"/>
    </font>
    <font>
      <sz val="11"/>
      <color theme="9" tint="-0.249977111117893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theme="9" tint="-0.249977111117893"/>
      <name val="Calibri"/>
      <family val="2"/>
      <charset val="204"/>
      <scheme val="minor"/>
    </font>
    <font>
      <b/>
      <sz val="11"/>
      <color theme="4" tint="-0.249977111117893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0" fillId="0" borderId="0" xfId="0" applyAlignment="1">
      <alignment horizontal="center" vertical="center" wrapText="1"/>
    </xf>
    <xf numFmtId="9" fontId="5" fillId="0" borderId="0" xfId="0" applyNumberFormat="1" applyFont="1"/>
    <xf numFmtId="0" fontId="3" fillId="0" borderId="0" xfId="0" applyFont="1" applyAlignment="1">
      <alignment vertical="center" wrapText="1"/>
    </xf>
    <xf numFmtId="2" fontId="3" fillId="0" borderId="0" xfId="0" applyNumberFormat="1" applyFont="1" applyAlignment="1">
      <alignment vertical="center" wrapText="1"/>
    </xf>
    <xf numFmtId="4" fontId="3" fillId="0" borderId="0" xfId="0" applyNumberFormat="1" applyFont="1" applyAlignment="1">
      <alignment vertical="center" wrapText="1"/>
    </xf>
    <xf numFmtId="0" fontId="3" fillId="0" borderId="0" xfId="0" applyNumberFormat="1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quotePrefix="1" applyFont="1" applyAlignment="1">
      <alignment vertical="center" wrapText="1"/>
    </xf>
    <xf numFmtId="2" fontId="4" fillId="0" borderId="0" xfId="0" applyNumberFormat="1" applyFont="1" applyAlignment="1">
      <alignment vertical="center" wrapText="1"/>
    </xf>
    <xf numFmtId="4" fontId="4" fillId="0" borderId="0" xfId="0" applyNumberFormat="1" applyFont="1" applyAlignment="1">
      <alignment vertical="center" wrapText="1"/>
    </xf>
    <xf numFmtId="0" fontId="4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2" fontId="2" fillId="0" borderId="0" xfId="0" applyNumberFormat="1" applyFont="1" applyAlignment="1">
      <alignment vertical="center" wrapText="1"/>
    </xf>
    <xf numFmtId="4" fontId="2" fillId="0" borderId="0" xfId="0" applyNumberFormat="1" applyFont="1" applyAlignment="1">
      <alignment vertical="center" wrapText="1"/>
    </xf>
    <xf numFmtId="0" fontId="2" fillId="0" borderId="0" xfId="0" applyNumberFormat="1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4" fontId="3" fillId="0" borderId="0" xfId="0" applyNumberFormat="1" applyFont="1" applyAlignment="1">
      <alignment vertical="center" wrapText="1"/>
    </xf>
    <xf numFmtId="14" fontId="4" fillId="0" borderId="0" xfId="0" quotePrefix="1" applyNumberFormat="1" applyFont="1" applyAlignment="1">
      <alignment vertical="center" wrapText="1"/>
    </xf>
    <xf numFmtId="14" fontId="4" fillId="0" borderId="0" xfId="0" applyNumberFormat="1" applyFont="1" applyAlignment="1">
      <alignment vertical="center" wrapText="1"/>
    </xf>
    <xf numFmtId="14" fontId="2" fillId="0" borderId="0" xfId="0" applyNumberFormat="1" applyFont="1" applyAlignment="1">
      <alignment vertical="center" wrapText="1"/>
    </xf>
    <xf numFmtId="4" fontId="4" fillId="0" borderId="0" xfId="0" quotePrefix="1" applyNumberFormat="1" applyFont="1" applyAlignment="1">
      <alignment vertical="center" wrapText="1"/>
    </xf>
    <xf numFmtId="0" fontId="0" fillId="0" borderId="0" xfId="0" applyAlignment="1">
      <alignment vertical="center" wrapText="1"/>
    </xf>
    <xf numFmtId="4" fontId="0" fillId="0" borderId="0" xfId="0" applyNumberFormat="1" applyAlignment="1">
      <alignment vertical="center" wrapText="1"/>
    </xf>
    <xf numFmtId="4" fontId="7" fillId="0" borderId="0" xfId="0" applyNumberFormat="1" applyFont="1" applyAlignment="1">
      <alignment vertical="center" wrapText="1"/>
    </xf>
    <xf numFmtId="4" fontId="8" fillId="0" borderId="0" xfId="0" applyNumberFormat="1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14" fontId="7" fillId="0" borderId="0" xfId="0" applyNumberFormat="1" applyFont="1" applyAlignment="1">
      <alignment vertical="center" wrapText="1"/>
    </xf>
    <xf numFmtId="2" fontId="7" fillId="0" borderId="0" xfId="0" applyNumberFormat="1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14" fontId="8" fillId="0" borderId="0" xfId="0" applyNumberFormat="1" applyFont="1" applyAlignment="1">
      <alignment vertical="center" wrapText="1"/>
    </xf>
    <xf numFmtId="2" fontId="8" fillId="0" borderId="0" xfId="0" applyNumberFormat="1" applyFont="1" applyAlignment="1">
      <alignment vertical="center" wrapText="1"/>
    </xf>
    <xf numFmtId="14" fontId="0" fillId="0" borderId="0" xfId="0" applyNumberFormat="1"/>
    <xf numFmtId="2" fontId="0" fillId="0" borderId="0" xfId="0" applyNumberFormat="1" applyAlignment="1">
      <alignment vertical="center" wrapText="1"/>
    </xf>
  </cellXfs>
  <cellStyles count="2">
    <cellStyle name="Обычный" xfId="0" builtinId="0"/>
    <cellStyle name="Обычный 2" xfId="1" xr:uid="{287F091F-B9B9-4901-89BD-5600F9D07466}"/>
  </cellStyles>
  <dxfs count="54">
    <dxf>
      <numFmt numFmtId="4" formatCode="#,##0.00"/>
      <alignment horizontal="general" vertical="center" textRotation="0" wrapText="1" indent="0" justifyLastLine="0" shrinkToFit="0" readingOrder="0"/>
    </dxf>
    <dxf>
      <numFmt numFmtId="4" formatCode="#,##0.0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4" formatCode="#,##0.0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4" formatCode="#,##0.0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4" formatCode="#,##0.0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2" formatCode="0.0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charset val="204"/>
        <scheme val="minor"/>
      </font>
      <numFmt numFmtId="4" formatCode="#,##0.0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charset val="204"/>
        <scheme val="minor"/>
      </font>
      <numFmt numFmtId="19" formatCode="dd/mm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charset val="204"/>
        <scheme val="minor"/>
      </font>
      <numFmt numFmtId="19" formatCode="dd/mm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4" formatCode="#,##0.00"/>
      <alignment horizontal="general" vertical="center" textRotation="0" wrapText="1" indent="0" justifyLastLine="0" shrinkToFit="0" readingOrder="0"/>
    </dxf>
    <dxf>
      <numFmt numFmtId="4" formatCode="#,##0.0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4" formatCode="#,##0.0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4" formatCode="#,##0.00"/>
      <alignment horizontal="general" vertical="center" textRotation="0" wrapText="1" indent="0" justifyLastLine="0" shrinkToFit="0" readingOrder="0"/>
    </dxf>
    <dxf>
      <numFmt numFmtId="4" formatCode="#,##0.00"/>
      <alignment horizontal="general" vertical="center" textRotation="0" wrapText="1" indent="0" justifyLastLine="0" shrinkToFit="0" readingOrder="0"/>
    </dxf>
    <dxf>
      <numFmt numFmtId="4" formatCode="#,##0.00"/>
      <alignment horizontal="general" vertical="center" textRotation="0" wrapText="1" indent="0" justifyLastLine="0" shrinkToFit="0" readingOrder="0"/>
    </dxf>
    <dxf>
      <numFmt numFmtId="4" formatCode="#,##0.00"/>
      <alignment horizontal="general" vertical="center" textRotation="0" wrapText="1" indent="0" justifyLastLine="0" shrinkToFit="0" readingOrder="0"/>
    </dxf>
    <dxf>
      <numFmt numFmtId="2" formatCode="0.00"/>
      <alignment horizontal="general" vertical="center" textRotation="0" wrapText="1" indent="0" justifyLastLine="0" shrinkToFit="0" readingOrder="0"/>
    </dxf>
    <dxf>
      <numFmt numFmtId="2" formatCode="0.0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charset val="204"/>
        <scheme val="minor"/>
      </font>
      <numFmt numFmtId="4" formatCode="#,##0.0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charset val="204"/>
        <scheme val="minor"/>
      </font>
      <numFmt numFmtId="19" formatCode="dd/mm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charset val="204"/>
        <scheme val="minor"/>
      </font>
      <numFmt numFmtId="19" formatCode="dd/mm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25890E7-18AF-47F7-A0EE-5EBF819545BF}" name="Таблица467" displayName="Таблица467" ref="A3:L26" totalsRowCount="1" headerRowDxfId="53" dataDxfId="52" totalsRowDxfId="51">
  <autoFilter ref="A3:L25" xr:uid="{A56199DB-EAD2-42BD-A1E2-09CBD0338F78}"/>
  <sortState xmlns:xlrd2="http://schemas.microsoft.com/office/spreadsheetml/2017/richdata2" ref="A19:L25">
    <sortCondition ref="B3:B25"/>
  </sortState>
  <tableColumns count="12">
    <tableColumn id="1" xr3:uid="{F9E6A28A-5E88-4EFC-BB61-4929C8CF0B2C}" name="Скважина" totalsRowLabel="Итог" dataDxfId="50" totalsRowDxfId="49"/>
    <tableColumn id="9" xr3:uid="{3C1162CB-90D7-446E-817B-6B2BE20946C6}" name="Столбец1" dataDxfId="48" totalsRowDxfId="47"/>
    <tableColumn id="2" xr3:uid="{8B371181-E179-400C-880F-6504F587CEC0}" name="COLUMN" dataDxfId="46" totalsRowDxfId="45"/>
    <tableColumn id="10" xr3:uid="{106E8760-4983-457B-B02C-8F19977E2608}" name="Столбец2" dataDxfId="44" totalsRowDxfId="43"/>
    <tableColumn id="11" xr3:uid="{E46EBFF9-9803-4364-B41E-A46D542ABF70}" name="Столбец3" dataDxfId="42" totalsRowDxfId="41"/>
    <tableColumn id="12" xr3:uid="{9431222B-3CC1-47DA-9573-784579157276}" name="Столбец4" dataDxfId="40" totalsRowDxfId="39">
      <calculatedColumnFormula>Таблица467[[#This Row],[Столбец3]]-Таблица467[[#This Row],[Столбец2]]</calculatedColumnFormula>
    </tableColumn>
    <tableColumn id="3" xr3:uid="{ECD40031-E969-4339-ACE5-6C72985247E3}" name="План" totalsRowFunction="sum" dataDxfId="38" totalsRowDxfId="37"/>
    <tableColumn id="4" xr3:uid="{B78BF919-71CA-471B-92CA-968678F50972}" name="Факт" totalsRowFunction="sum" dataDxfId="36" totalsRowDxfId="35"/>
    <tableColumn id="5" xr3:uid="{F8EF4B72-B0BE-4AC0-AE21-57659F92929D}" name="Факт - План" totalsRowFunction="sum" dataDxfId="34" totalsRowDxfId="33">
      <calculatedColumnFormula>Таблица467[[#This Row],[Факт]]-Таблица467[[#This Row],[План]]</calculatedColumnFormula>
    </tableColumn>
    <tableColumn id="6" xr3:uid="{CF7A29D3-1DC8-4749-A0FD-999C2C1FE7CE}" name="Логическое" dataDxfId="32" totalsRowDxfId="31">
      <calculatedColumnFormula>IF(Таблица467[[#This Row],[Факт - План]]&gt;10,1,0)</calculatedColumnFormula>
    </tableColumn>
    <tableColumn id="7" xr3:uid="{CBF27ED7-A5C7-4069-9ECF-9E502B09FB08}" name="Вартість, грн" dataDxfId="30" totalsRowDxfId="29"/>
    <tableColumn id="8" xr3:uid="{221F7241-48C2-4CBB-B579-189C0F1AE8F5}" name="Штраф, грн" totalsRowFunction="sum" dataDxfId="28" totalsRowDxfId="27">
      <calculatedColumnFormula>IF(Таблица467[[#This Row],[Логическое]]=1,Таблица467[[#This Row],[Вартість, грн]]*$L$1,0)</calculatedColumnFormula>
    </tableColumn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F6F112-A7A1-46C0-82BC-004453F34D4A}" name="Таблица4672" displayName="Таблица4672" ref="A3:L26" totalsRowCount="1" headerRowDxfId="26" dataDxfId="25" totalsRowDxfId="24">
  <autoFilter ref="A3:L25" xr:uid="{A56199DB-EAD2-42BD-A1E2-09CBD0338F78}"/>
  <sortState xmlns:xlrd2="http://schemas.microsoft.com/office/spreadsheetml/2017/richdata2" ref="A4:L10">
    <sortCondition ref="B3:B25"/>
  </sortState>
  <tableColumns count="12">
    <tableColumn id="1" xr3:uid="{B4F896C2-8EE8-4462-8A8D-6983F86D511B}" name="Скважина" totalsRowLabel="Итог" dataDxfId="23" totalsRowDxfId="22"/>
    <tableColumn id="9" xr3:uid="{39793366-488A-42E4-ACC6-40A00B74B5F2}" name="Столбец1" dataDxfId="21" totalsRowDxfId="20"/>
    <tableColumn id="2" xr3:uid="{888BE3D1-31FD-4F7C-8592-A27BC6E0BE27}" name="COLUMN" dataDxfId="19" totalsRowDxfId="18"/>
    <tableColumn id="10" xr3:uid="{3F761E61-EDBC-4ED1-9F4D-F8EF3C687ADF}" name="Столбец2" dataDxfId="17" totalsRowDxfId="16"/>
    <tableColumn id="11" xr3:uid="{8D9EA054-2188-47C6-B296-194F5FF6009E}" name="Столбец3" dataDxfId="15" totalsRowDxfId="14"/>
    <tableColumn id="12" xr3:uid="{2C11EE33-767C-48C6-B2BC-F3A97CFB3F43}" name="Столбец4" dataDxfId="13" totalsRowDxfId="12">
      <calculatedColumnFormula>Таблица467[[#This Row],[Столбец3]]-Таблица467[[#This Row],[Столбец2]]</calculatedColumnFormula>
    </tableColumn>
    <tableColumn id="3" xr3:uid="{524B1ADE-8FEF-4B5E-9835-CA023CD4C815}" name="План" totalsRowFunction="sum" dataDxfId="11" totalsRowDxfId="10"/>
    <tableColumn id="4" xr3:uid="{DE98A131-AAAD-4245-81BF-7BE47F7E2EF3}" name="Факт" totalsRowFunction="sum" dataDxfId="9" totalsRowDxfId="8"/>
    <tableColumn id="5" xr3:uid="{69D9B44E-50C5-4ED1-AA1E-D1D7E5A48481}" name="Факт - План" totalsRowFunction="sum" dataDxfId="7" totalsRowDxfId="6">
      <calculatedColumnFormula>Таблица467[[#This Row],[Факт]]-Таблица467[[#This Row],[План]]</calculatedColumnFormula>
    </tableColumn>
    <tableColumn id="6" xr3:uid="{6D70FDED-2358-4585-A571-CEC227217367}" name="Логическое" dataDxfId="5" totalsRowDxfId="4">
      <calculatedColumnFormula>IF(Таблица4672[[#This Row],[Факт - План]]&gt;10,1,0)</calculatedColumnFormula>
    </tableColumn>
    <tableColumn id="7" xr3:uid="{13E8A4B9-15DE-443F-AC97-3A9755CF69B3}" name="Вартість, грн" dataDxfId="3" totalsRowDxfId="2"/>
    <tableColumn id="8" xr3:uid="{7F84EDE8-E012-4135-8B15-3973B2C470F9}" name="Штраф, грн" totalsRowFunction="sum" dataDxfId="1" totalsRowDxfId="0">
      <calculatedColumnFormula>IF(Таблица4672[[#This Row],[Логическое]]=1,Таблица4672[[#This Row],[Вартість, грн]]*20%,0)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A613E-2E03-4EB7-8D8E-9A08C10F70A1}">
  <dimension ref="A1:L26"/>
  <sheetViews>
    <sheetView tabSelected="1" workbookViewId="0">
      <selection activeCell="A4" sqref="A4"/>
    </sheetView>
  </sheetViews>
  <sheetFormatPr defaultRowHeight="14.5" x14ac:dyDescent="0.35"/>
  <cols>
    <col min="1" max="1" width="24.08984375" customWidth="1"/>
    <col min="2" max="2" width="9.81640625" customWidth="1"/>
    <col min="3" max="3" width="41.90625" customWidth="1"/>
    <col min="4" max="5" width="14.54296875" customWidth="1"/>
    <col min="6" max="6" width="14.54296875" hidden="1" customWidth="1"/>
    <col min="7" max="9" width="14.7265625" customWidth="1"/>
    <col min="10" max="10" width="14.7265625" hidden="1" customWidth="1"/>
    <col min="11" max="12" width="14.7265625" customWidth="1"/>
    <col min="13" max="13" width="4" bestFit="1" customWidth="1"/>
    <col min="14" max="20" width="2" bestFit="1" customWidth="1"/>
    <col min="21" max="21" width="4" bestFit="1" customWidth="1"/>
    <col min="22" max="22" width="3" bestFit="1" customWidth="1"/>
    <col min="23" max="23" width="5" bestFit="1" customWidth="1"/>
    <col min="24" max="27" width="3" bestFit="1" customWidth="1"/>
    <col min="28" max="28" width="5" bestFit="1" customWidth="1"/>
    <col min="29" max="31" width="3" bestFit="1" customWidth="1"/>
    <col min="32" max="32" width="5" bestFit="1" customWidth="1"/>
    <col min="33" max="33" width="10" bestFit="1" customWidth="1"/>
    <col min="34" max="47" width="3" bestFit="1" customWidth="1"/>
    <col min="48" max="48" width="10" bestFit="1" customWidth="1"/>
    <col min="49" max="51" width="3" bestFit="1" customWidth="1"/>
    <col min="52" max="52" width="5" bestFit="1" customWidth="1"/>
    <col min="53" max="60" width="3" bestFit="1" customWidth="1"/>
    <col min="61" max="61" width="10" bestFit="1" customWidth="1"/>
    <col min="62" max="71" width="3" bestFit="1" customWidth="1"/>
    <col min="72" max="72" width="4" bestFit="1" customWidth="1"/>
    <col min="73" max="73" width="7.453125" bestFit="1" customWidth="1"/>
    <col min="74" max="74" width="11.81640625" bestFit="1" customWidth="1"/>
    <col min="75" max="126" width="4.54296875" bestFit="1" customWidth="1"/>
    <col min="127" max="317" width="5.54296875" bestFit="1" customWidth="1"/>
    <col min="318" max="333" width="6.54296875" bestFit="1" customWidth="1"/>
    <col min="334" max="334" width="11.81640625" bestFit="1" customWidth="1"/>
    <col min="335" max="346" width="5.54296875" bestFit="1" customWidth="1"/>
    <col min="347" max="348" width="6.54296875" bestFit="1" customWidth="1"/>
    <col min="349" max="349" width="7.54296875" bestFit="1" customWidth="1"/>
    <col min="350" max="350" width="4.81640625" bestFit="1" customWidth="1"/>
    <col min="351" max="351" width="7.54296875" bestFit="1" customWidth="1"/>
    <col min="352" max="352" width="4.81640625" bestFit="1" customWidth="1"/>
    <col min="353" max="353" width="5.54296875" bestFit="1" customWidth="1"/>
    <col min="354" max="354" width="7.54296875" bestFit="1" customWidth="1"/>
    <col min="355" max="355" width="4.81640625" bestFit="1" customWidth="1"/>
    <col min="356" max="356" width="7.54296875" bestFit="1" customWidth="1"/>
    <col min="357" max="363" width="5.54296875" bestFit="1" customWidth="1"/>
    <col min="364" max="364" width="7.54296875" bestFit="1" customWidth="1"/>
    <col min="365" max="365" width="4.81640625" bestFit="1" customWidth="1"/>
    <col min="366" max="366" width="4.54296875" bestFit="1" customWidth="1"/>
    <col min="367" max="369" width="5.54296875" bestFit="1" customWidth="1"/>
    <col min="370" max="370" width="7.54296875" bestFit="1" customWidth="1"/>
    <col min="371" max="371" width="4.81640625" bestFit="1" customWidth="1"/>
    <col min="372" max="372" width="7.54296875" bestFit="1" customWidth="1"/>
    <col min="373" max="373" width="11.81640625" bestFit="1" customWidth="1"/>
    <col min="374" max="374" width="14.26953125" bestFit="1" customWidth="1"/>
    <col min="375" max="376" width="5.54296875" bestFit="1" customWidth="1"/>
    <col min="377" max="377" width="7.54296875" bestFit="1" customWidth="1"/>
    <col min="378" max="378" width="5.54296875" bestFit="1" customWidth="1"/>
    <col min="379" max="379" width="7.54296875" bestFit="1" customWidth="1"/>
    <col min="380" max="382" width="5.54296875" bestFit="1" customWidth="1"/>
    <col min="383" max="383" width="7.54296875" bestFit="1" customWidth="1"/>
    <col min="384" max="384" width="6.81640625" bestFit="1" customWidth="1"/>
    <col min="386" max="386" width="5.54296875" bestFit="1" customWidth="1"/>
    <col min="387" max="387" width="7.54296875" bestFit="1" customWidth="1"/>
    <col min="388" max="388" width="4.81640625" bestFit="1" customWidth="1"/>
    <col min="389" max="389" width="7.54296875" bestFit="1" customWidth="1"/>
    <col min="390" max="391" width="5.54296875" bestFit="1" customWidth="1"/>
    <col min="392" max="392" width="6.54296875" bestFit="1" customWidth="1"/>
    <col min="393" max="393" width="7.54296875" bestFit="1" customWidth="1"/>
    <col min="394" max="394" width="5.54296875" bestFit="1" customWidth="1"/>
    <col min="395" max="395" width="7.54296875" bestFit="1" customWidth="1"/>
    <col min="396" max="396" width="6.54296875" bestFit="1" customWidth="1"/>
    <col min="397" max="397" width="7.54296875" bestFit="1" customWidth="1"/>
    <col min="398" max="399" width="5.54296875" bestFit="1" customWidth="1"/>
    <col min="400" max="400" width="6.54296875" bestFit="1" customWidth="1"/>
    <col min="401" max="401" width="7.54296875" bestFit="1" customWidth="1"/>
    <col min="402" max="402" width="5.54296875" bestFit="1" customWidth="1"/>
    <col min="403" max="403" width="7.54296875" bestFit="1" customWidth="1"/>
    <col min="404" max="404" width="4.81640625" bestFit="1" customWidth="1"/>
    <col min="405" max="405" width="7.54296875" bestFit="1" customWidth="1"/>
    <col min="406" max="406" width="11.81640625" bestFit="1" customWidth="1"/>
    <col min="407" max="407" width="14.26953125" bestFit="1" customWidth="1"/>
    <col min="408" max="409" width="6.54296875" bestFit="1" customWidth="1"/>
    <col min="410" max="410" width="7.54296875" bestFit="1" customWidth="1"/>
    <col min="411" max="411" width="4.81640625" bestFit="1" customWidth="1"/>
    <col min="412" max="412" width="5.54296875" bestFit="1" customWidth="1"/>
    <col min="413" max="413" width="7.54296875" bestFit="1" customWidth="1"/>
    <col min="414" max="414" width="5.54296875" bestFit="1" customWidth="1"/>
    <col min="415" max="415" width="7.54296875" bestFit="1" customWidth="1"/>
    <col min="416" max="416" width="5.54296875" bestFit="1" customWidth="1"/>
    <col min="417" max="417" width="7.54296875" bestFit="1" customWidth="1"/>
    <col min="418" max="418" width="5.54296875" bestFit="1" customWidth="1"/>
    <col min="419" max="419" width="7.54296875" bestFit="1" customWidth="1"/>
    <col min="420" max="421" width="5.54296875" bestFit="1" customWidth="1"/>
    <col min="422" max="422" width="7.54296875" bestFit="1" customWidth="1"/>
    <col min="423" max="423" width="5.54296875" bestFit="1" customWidth="1"/>
    <col min="424" max="424" width="7.54296875" bestFit="1" customWidth="1"/>
    <col min="425" max="425" width="5.54296875" bestFit="1" customWidth="1"/>
    <col min="426" max="426" width="7.54296875" bestFit="1" customWidth="1"/>
    <col min="427" max="427" width="6.54296875" bestFit="1" customWidth="1"/>
    <col min="428" max="428" width="7.54296875" bestFit="1" customWidth="1"/>
    <col min="429" max="429" width="5.54296875" bestFit="1" customWidth="1"/>
    <col min="430" max="430" width="7.54296875" bestFit="1" customWidth="1"/>
    <col min="431" max="431" width="5.81640625" bestFit="1" customWidth="1"/>
    <col min="432" max="432" width="8.54296875" bestFit="1" customWidth="1"/>
    <col min="433" max="433" width="9.26953125" bestFit="1" customWidth="1"/>
    <col min="434" max="434" width="12" bestFit="1" customWidth="1"/>
    <col min="435" max="435" width="11.81640625" bestFit="1" customWidth="1"/>
  </cols>
  <sheetData>
    <row r="1" spans="1:12" ht="18.5" x14ac:dyDescent="0.45">
      <c r="L1" s="2">
        <v>0.15</v>
      </c>
    </row>
    <row r="3" spans="1:12" x14ac:dyDescent="0.35">
      <c r="A3" s="1" t="s">
        <v>0</v>
      </c>
      <c r="B3" s="1" t="s">
        <v>13</v>
      </c>
      <c r="C3" s="1" t="s">
        <v>5</v>
      </c>
      <c r="D3" s="1" t="s">
        <v>38</v>
      </c>
      <c r="E3" s="1" t="s">
        <v>39</v>
      </c>
      <c r="F3" s="1" t="s">
        <v>40</v>
      </c>
      <c r="G3" s="1" t="s">
        <v>8</v>
      </c>
      <c r="H3" s="1" t="s">
        <v>7</v>
      </c>
      <c r="I3" s="1" t="s">
        <v>11</v>
      </c>
      <c r="J3" s="1" t="s">
        <v>6</v>
      </c>
      <c r="K3" s="1" t="s">
        <v>9</v>
      </c>
      <c r="L3" s="1" t="s">
        <v>10</v>
      </c>
    </row>
    <row r="4" spans="1:12" ht="29" customHeight="1" x14ac:dyDescent="0.35">
      <c r="A4" s="3" t="s">
        <v>2</v>
      </c>
      <c r="B4" s="16" t="s">
        <v>14</v>
      </c>
      <c r="C4" s="3" t="s">
        <v>12</v>
      </c>
      <c r="D4" s="19">
        <v>44116</v>
      </c>
      <c r="E4" s="19">
        <v>44208</v>
      </c>
      <c r="F4" s="5">
        <f>Таблица467[[#This Row],[Столбец3]]-Таблица467[[#This Row],[Столбец2]]</f>
        <v>92</v>
      </c>
      <c r="G4" s="4">
        <v>30</v>
      </c>
      <c r="H4" s="5">
        <v>93</v>
      </c>
      <c r="I4" s="5">
        <f>Таблица467[[#This Row],[Факт]]-Таблица467[[#This Row],[План]]</f>
        <v>63</v>
      </c>
      <c r="J4" s="3">
        <f>IF(Таблица467[[#This Row],[Факт - План]]&gt;10,1,0)</f>
        <v>1</v>
      </c>
      <c r="K4" s="5">
        <v>6592140</v>
      </c>
      <c r="L4" s="5">
        <f>IF(Таблица467[[#This Row],[Логическое]]=1,Таблица467[[#This Row],[Вартість, грн]]*$L$1,0)</f>
        <v>988821</v>
      </c>
    </row>
    <row r="5" spans="1:12" ht="29" customHeight="1" x14ac:dyDescent="0.35">
      <c r="A5" s="3" t="s">
        <v>2</v>
      </c>
      <c r="B5" s="16" t="s">
        <v>16</v>
      </c>
      <c r="C5" s="3" t="s">
        <v>18</v>
      </c>
      <c r="D5" s="19">
        <v>44208</v>
      </c>
      <c r="E5" s="19">
        <v>44223</v>
      </c>
      <c r="F5" s="5">
        <f>Таблица467[[#This Row],[Столбец3]]-Таблица467[[#This Row],[Столбец2]]</f>
        <v>15</v>
      </c>
      <c r="G5" s="4">
        <v>6</v>
      </c>
      <c r="H5" s="5">
        <v>14.958333333333329</v>
      </c>
      <c r="I5" s="5">
        <f>Таблица467[[#This Row],[Факт]]-Таблица467[[#This Row],[План]]</f>
        <v>8.9583333333333286</v>
      </c>
      <c r="J5" s="3">
        <f>IF(Таблица467[[#This Row],[Факт - План]]&gt;10,1,0)</f>
        <v>0</v>
      </c>
      <c r="K5" s="5">
        <v>7462315.2000000002</v>
      </c>
      <c r="L5" s="5">
        <f>IF(Таблица467[[#This Row],[Логическое]]=1,Таблица467[[#This Row],[Вартість, грн]]*$L$1,0)</f>
        <v>0</v>
      </c>
    </row>
    <row r="6" spans="1:12" ht="29" customHeight="1" x14ac:dyDescent="0.35">
      <c r="A6" s="3" t="s">
        <v>2</v>
      </c>
      <c r="B6" s="16" t="s">
        <v>21</v>
      </c>
      <c r="C6" s="3" t="s">
        <v>19</v>
      </c>
      <c r="D6" s="19">
        <v>44223</v>
      </c>
      <c r="E6" s="19">
        <v>44274</v>
      </c>
      <c r="F6" s="5">
        <f>Таблица467[[#This Row],[Столбец3]]-Таблица467[[#This Row],[Столбец2]]</f>
        <v>51</v>
      </c>
      <c r="G6" s="4">
        <v>52</v>
      </c>
      <c r="H6" s="5">
        <v>50.958333333333357</v>
      </c>
      <c r="I6" s="5">
        <f>Таблица467[[#This Row],[Факт]]-Таблица467[[#This Row],[План]]</f>
        <v>-1.041666666666643</v>
      </c>
      <c r="J6" s="3">
        <f>IF(Таблица467[[#This Row],[Факт - План]]&gt;10,1,0)</f>
        <v>0</v>
      </c>
      <c r="K6" s="5">
        <v>81495132</v>
      </c>
      <c r="L6" s="5">
        <f>IF(Таблица467[[#This Row],[Логическое]]=1,Таблица467[[#This Row],[Вартість, грн]]*$L$1,0)</f>
        <v>0</v>
      </c>
    </row>
    <row r="7" spans="1:12" ht="29" customHeight="1" x14ac:dyDescent="0.35">
      <c r="A7" s="3" t="s">
        <v>2</v>
      </c>
      <c r="B7" s="16" t="s">
        <v>22</v>
      </c>
      <c r="C7" s="3" t="s">
        <v>20</v>
      </c>
      <c r="D7" s="19">
        <v>44274</v>
      </c>
      <c r="E7" s="19">
        <v>44388</v>
      </c>
      <c r="F7" s="5">
        <f>Таблица467[[#This Row],[Столбец3]]-Таблица467[[#This Row],[Столбец2]]</f>
        <v>114</v>
      </c>
      <c r="G7" s="4">
        <v>99</v>
      </c>
      <c r="H7" s="5">
        <v>113.49999999999996</v>
      </c>
      <c r="I7" s="5">
        <f>Таблица467[[#This Row],[Факт]]-Таблица467[[#This Row],[План]]</f>
        <v>14.499999999999957</v>
      </c>
      <c r="J7" s="3">
        <f>IF(Таблица467[[#This Row],[Факт - План]]&gt;10,1,0)</f>
        <v>1</v>
      </c>
      <c r="K7" s="5">
        <v>140602046.40000001</v>
      </c>
      <c r="L7" s="5">
        <f>IF(Таблица467[[#This Row],[Логическое]]=1,Таблица467[[#This Row],[Вартість, грн]]*$L$1,0)</f>
        <v>21090306.960000001</v>
      </c>
    </row>
    <row r="8" spans="1:12" ht="29" customHeight="1" x14ac:dyDescent="0.35">
      <c r="A8" s="3" t="s">
        <v>2</v>
      </c>
      <c r="B8" s="16" t="s">
        <v>24</v>
      </c>
      <c r="C8" s="3" t="s">
        <v>23</v>
      </c>
      <c r="D8" s="19">
        <v>44388</v>
      </c>
      <c r="E8" s="19">
        <v>44436</v>
      </c>
      <c r="F8" s="5">
        <f>Таблица467[[#This Row],[Столбец3]]-Таблица467[[#This Row],[Столбец2]]</f>
        <v>48</v>
      </c>
      <c r="G8" s="4">
        <v>61</v>
      </c>
      <c r="H8" s="5">
        <v>48.125000000000007</v>
      </c>
      <c r="I8" s="5">
        <f>Таблица467[[#This Row],[Факт]]-Таблица467[[#This Row],[План]]</f>
        <v>-12.874999999999993</v>
      </c>
      <c r="J8" s="3">
        <f>IF(Таблица467[[#This Row],[Факт - План]]&gt;10,1,0)</f>
        <v>0</v>
      </c>
      <c r="K8" s="5">
        <v>81960556.799999997</v>
      </c>
      <c r="L8" s="5">
        <f>IF(Таблица467[[#This Row],[Логическое]]=1,Таблица467[[#This Row],[Вартість, грн]]*$L$1,0)</f>
        <v>0</v>
      </c>
    </row>
    <row r="9" spans="1:12" ht="29" customHeight="1" x14ac:dyDescent="0.35">
      <c r="A9" s="32" t="s">
        <v>2</v>
      </c>
      <c r="B9" s="33" t="s">
        <v>25</v>
      </c>
      <c r="C9" s="32" t="s">
        <v>27</v>
      </c>
      <c r="D9" s="34">
        <v>44436</v>
      </c>
      <c r="E9" s="34">
        <v>44583</v>
      </c>
      <c r="F9" s="27">
        <f>Таблица467[[#This Row],[Столбец3]]-Таблица467[[#This Row],[Столбец2]]</f>
        <v>147</v>
      </c>
      <c r="G9" s="35">
        <v>104</v>
      </c>
      <c r="H9" s="27">
        <f>Таблица467[[#This Row],[Столбец4]]+0.08</f>
        <v>147.08000000000001</v>
      </c>
      <c r="I9" s="27">
        <f>Таблица467[[#This Row],[Факт]]-Таблица467[[#This Row],[План]]</f>
        <v>43.080000000000013</v>
      </c>
      <c r="J9" s="32">
        <f>IF(Таблица467[[#This Row],[Факт - План]]&gt;10,1,0)</f>
        <v>1</v>
      </c>
      <c r="K9" s="27">
        <v>208502928.47999999</v>
      </c>
      <c r="L9" s="27">
        <f>IF(Таблица467[[#This Row],[Логическое]]=1,Таблица467[[#This Row],[Вартість, грн]]*$L$1,0)</f>
        <v>31275439.271999996</v>
      </c>
    </row>
    <row r="10" spans="1:12" ht="29" customHeight="1" x14ac:dyDescent="0.35">
      <c r="A10" s="3" t="s">
        <v>2</v>
      </c>
      <c r="B10" s="16" t="s">
        <v>26</v>
      </c>
      <c r="C10" s="3" t="s">
        <v>28</v>
      </c>
      <c r="D10" s="19">
        <v>44583</v>
      </c>
      <c r="E10" s="19">
        <v>44583</v>
      </c>
      <c r="F10" s="5">
        <f>Таблица467[[#This Row],[Столбец3]]-Таблица467[[#This Row],[Столбец2]]</f>
        <v>0</v>
      </c>
      <c r="G10" s="4">
        <v>18</v>
      </c>
      <c r="H10" s="5">
        <v>0</v>
      </c>
      <c r="I10" s="5">
        <f>Таблица467[[#This Row],[Факт]]-Таблица467[[#This Row],[План]]</f>
        <v>-18</v>
      </c>
      <c r="J10" s="3">
        <f>IF(Таблица467[[#This Row],[Факт - План]]&gt;10,1,0)</f>
        <v>0</v>
      </c>
      <c r="K10" s="5">
        <v>39590618.399999999</v>
      </c>
      <c r="L10" s="5">
        <f>IF(Таблица467[[#This Row],[Логическое]]=1,Таблица467[[#This Row],[Вартість, грн]]*$L$1,0)</f>
        <v>0</v>
      </c>
    </row>
    <row r="11" spans="1:12" ht="29" customHeight="1" x14ac:dyDescent="0.35">
      <c r="A11" s="3" t="s">
        <v>2</v>
      </c>
      <c r="B11" s="16" t="s">
        <v>17</v>
      </c>
      <c r="C11" s="3" t="s">
        <v>15</v>
      </c>
      <c r="D11" s="19">
        <v>44682</v>
      </c>
      <c r="E11" s="19">
        <v>44784</v>
      </c>
      <c r="F11" s="5">
        <f>Таблица467[[#This Row],[Столбец3]]-Таблица467[[#This Row],[Столбец2]]</f>
        <v>102</v>
      </c>
      <c r="G11" s="4">
        <v>30</v>
      </c>
      <c r="H11" s="5">
        <f>Таблица467[[#This Row],[Столбец4]]</f>
        <v>102</v>
      </c>
      <c r="I11" s="5">
        <f>Таблица467[[#This Row],[Факт]]-Таблица467[[#This Row],[План]]</f>
        <v>72</v>
      </c>
      <c r="J11" s="6">
        <f>IF(Таблица467[[#This Row],[Факт - План]]&gt;10,1,0)</f>
        <v>1</v>
      </c>
      <c r="K11" s="5">
        <v>3022908</v>
      </c>
      <c r="L11" s="5">
        <f>IF(Таблица467[[#This Row],[Логическое]]=1,Таблица467[[#This Row],[Вартість, грн]]*$L$1,0)</f>
        <v>453436.2</v>
      </c>
    </row>
    <row r="12" spans="1:12" ht="29" customHeight="1" x14ac:dyDescent="0.35">
      <c r="A12" s="7" t="s">
        <v>1</v>
      </c>
      <c r="B12" s="17" t="s">
        <v>14</v>
      </c>
      <c r="C12" s="8" t="s">
        <v>12</v>
      </c>
      <c r="D12" s="20">
        <v>43742</v>
      </c>
      <c r="E12" s="20">
        <v>43820</v>
      </c>
      <c r="F12" s="23">
        <f>Таблица467[[#This Row],[Столбец3]]-Таблица467[[#This Row],[Столбец2]]</f>
        <v>78</v>
      </c>
      <c r="G12" s="9">
        <v>90</v>
      </c>
      <c r="H12" s="10">
        <v>79</v>
      </c>
      <c r="I12" s="10">
        <f>Таблица467[[#This Row],[Факт]]-Таблица467[[#This Row],[План]]</f>
        <v>-11</v>
      </c>
      <c r="J12" s="7">
        <f>IF(Таблица467[[#This Row],[Факт - План]]&gt;10,1,0)</f>
        <v>0</v>
      </c>
      <c r="K12" s="10">
        <v>8918658</v>
      </c>
      <c r="L12" s="10">
        <f>IF(Таблица467[[#This Row],[Логическое]]=1,Таблица467[[#This Row],[Вартість, грн]]*$L$1,0)</f>
        <v>0</v>
      </c>
    </row>
    <row r="13" spans="1:12" ht="29" customHeight="1" x14ac:dyDescent="0.35">
      <c r="A13" s="7" t="s">
        <v>1</v>
      </c>
      <c r="B13" s="17" t="s">
        <v>16</v>
      </c>
      <c r="C13" s="7" t="s">
        <v>33</v>
      </c>
      <c r="D13" s="20">
        <v>43820</v>
      </c>
      <c r="E13" s="21">
        <v>43880</v>
      </c>
      <c r="F13" s="10">
        <f>Таблица467[[#This Row],[Столбец3]]-Таблица467[[#This Row],[Столбец2]]</f>
        <v>60</v>
      </c>
      <c r="G13" s="9">
        <v>4</v>
      </c>
      <c r="H13" s="10">
        <v>60</v>
      </c>
      <c r="I13" s="10">
        <f>Таблица467[[#This Row],[Факт]]-Таблица467[[#This Row],[План]]</f>
        <v>56</v>
      </c>
      <c r="J13" s="7">
        <f>IF(Таблица467[[#This Row],[Факт - План]]&gt;10,1,0)</f>
        <v>1</v>
      </c>
      <c r="K13" s="10">
        <v>6876828</v>
      </c>
      <c r="L13" s="10">
        <f>IF(Таблица467[[#This Row],[Логическое]]=1,Таблица467[[#This Row],[Вартість, грн]]*$L$1,0)</f>
        <v>1031524.2</v>
      </c>
    </row>
    <row r="14" spans="1:12" ht="29" customHeight="1" x14ac:dyDescent="0.35">
      <c r="A14" s="7" t="s">
        <v>1</v>
      </c>
      <c r="B14" s="17" t="s">
        <v>21</v>
      </c>
      <c r="C14" s="7" t="s">
        <v>32</v>
      </c>
      <c r="D14" s="21">
        <v>43880</v>
      </c>
      <c r="E14" s="21">
        <v>43911</v>
      </c>
      <c r="F14" s="10">
        <f>Таблица467[[#This Row],[Столбец3]]-Таблица467[[#This Row],[Столбец2]]</f>
        <v>31</v>
      </c>
      <c r="G14" s="9">
        <v>33</v>
      </c>
      <c r="H14" s="10">
        <v>30.750000000000007</v>
      </c>
      <c r="I14" s="10">
        <f>Таблица467[[#This Row],[Факт]]-Таблица467[[#This Row],[План]]</f>
        <v>-2.2499999999999929</v>
      </c>
      <c r="J14" s="7">
        <f>IF(Таблица467[[#This Row],[Факт - План]]&gt;10,1,0)</f>
        <v>0</v>
      </c>
      <c r="K14" s="10">
        <v>34059564</v>
      </c>
      <c r="L14" s="10">
        <f>IF(Таблица467[[#This Row],[Логическое]]=1,Таблица467[[#This Row],[Вартість, грн]]*$L$1,0)</f>
        <v>0</v>
      </c>
    </row>
    <row r="15" spans="1:12" ht="29" customHeight="1" x14ac:dyDescent="0.35">
      <c r="A15" s="7" t="s">
        <v>1</v>
      </c>
      <c r="B15" s="17" t="s">
        <v>22</v>
      </c>
      <c r="C15" s="7" t="s">
        <v>31</v>
      </c>
      <c r="D15" s="21">
        <v>43911</v>
      </c>
      <c r="E15" s="21">
        <v>43967</v>
      </c>
      <c r="F15" s="10">
        <f>Таблица467[[#This Row],[Столбец3]]-Таблица467[[#This Row],[Столбец2]]</f>
        <v>56</v>
      </c>
      <c r="G15" s="9">
        <v>77</v>
      </c>
      <c r="H15" s="10">
        <v>56.791666666666643</v>
      </c>
      <c r="I15" s="10">
        <f>Таблица467[[#This Row],[Факт]]-Таблица467[[#This Row],[План]]</f>
        <v>-20.208333333333357</v>
      </c>
      <c r="J15" s="7">
        <f>IF(Таблица467[[#This Row],[Факт - План]]&gt;10,1,0)</f>
        <v>0</v>
      </c>
      <c r="K15" s="10">
        <v>79751952</v>
      </c>
      <c r="L15" s="10">
        <f>IF(Таблица467[[#This Row],[Логическое]]=1,Таблица467[[#This Row],[Вартість, грн]]*$L$1,0)</f>
        <v>0</v>
      </c>
    </row>
    <row r="16" spans="1:12" ht="29" customHeight="1" x14ac:dyDescent="0.35">
      <c r="A16" s="7" t="s">
        <v>1</v>
      </c>
      <c r="B16" s="17" t="s">
        <v>24</v>
      </c>
      <c r="C16" s="7" t="s">
        <v>30</v>
      </c>
      <c r="D16" s="21">
        <v>43967</v>
      </c>
      <c r="E16" s="21">
        <v>43999</v>
      </c>
      <c r="F16" s="10">
        <f>Таблица467[[#This Row],[Столбец3]]-Таблица467[[#This Row],[Столбец2]]</f>
        <v>32</v>
      </c>
      <c r="G16" s="9">
        <v>40</v>
      </c>
      <c r="H16" s="10">
        <v>31.239583333333336</v>
      </c>
      <c r="I16" s="10">
        <f>Таблица467[[#This Row],[Факт]]-Таблица467[[#This Row],[План]]</f>
        <v>-8.7604166666666643</v>
      </c>
      <c r="J16" s="7">
        <f>IF(Таблица467[[#This Row],[Факт - План]]&gt;10,1,0)</f>
        <v>0</v>
      </c>
      <c r="K16" s="10">
        <v>30398634</v>
      </c>
      <c r="L16" s="10">
        <f>IF(Таблица467[[#This Row],[Логическое]]=1,Таблица467[[#This Row],[Вартість, грн]]*$L$1,0)</f>
        <v>0</v>
      </c>
    </row>
    <row r="17" spans="1:12" ht="29" customHeight="1" x14ac:dyDescent="0.35">
      <c r="A17" s="28" t="s">
        <v>1</v>
      </c>
      <c r="B17" s="29" t="s">
        <v>25</v>
      </c>
      <c r="C17" s="28" t="s">
        <v>29</v>
      </c>
      <c r="D17" s="30">
        <v>43999</v>
      </c>
      <c r="E17" s="30">
        <v>44430</v>
      </c>
      <c r="F17" s="26">
        <f>Таблица467[[#This Row],[Столбец3]]-Таблица467[[#This Row],[Столбец2]]</f>
        <v>431</v>
      </c>
      <c r="G17" s="31">
        <v>97</v>
      </c>
      <c r="H17" s="26">
        <v>431.71875000000011</v>
      </c>
      <c r="I17" s="26">
        <f>Таблица467[[#This Row],[Факт]]-Таблица467[[#This Row],[План]]</f>
        <v>334.71875000000011</v>
      </c>
      <c r="J17" s="28">
        <f>IF(Таблица467[[#This Row],[Факт - План]]&gt;10,1,0)</f>
        <v>1</v>
      </c>
      <c r="K17" s="26">
        <v>292928580</v>
      </c>
      <c r="L17" s="26">
        <f>IF(Таблица467[[#This Row],[Логическое]]=1,Таблица467[[#This Row],[Вартість, грн]]*$L$1,0)</f>
        <v>43939287</v>
      </c>
    </row>
    <row r="18" spans="1:12" ht="29" customHeight="1" x14ac:dyDescent="0.35">
      <c r="A18" s="7" t="s">
        <v>1</v>
      </c>
      <c r="B18" s="17" t="s">
        <v>26</v>
      </c>
      <c r="C18" s="8" t="s">
        <v>15</v>
      </c>
      <c r="D18" s="21">
        <v>44430</v>
      </c>
      <c r="E18" s="20">
        <v>44443</v>
      </c>
      <c r="F18" s="23">
        <f>Таблица467[[#This Row],[Столбец3]]-Таблица467[[#This Row],[Столбец2]]</f>
        <v>13</v>
      </c>
      <c r="G18" s="9">
        <v>40</v>
      </c>
      <c r="H18" s="10">
        <v>14</v>
      </c>
      <c r="I18" s="10">
        <f>Таблица467[[#This Row],[Факт]]-Таблица467[[#This Row],[План]]</f>
        <v>-26</v>
      </c>
      <c r="J18" s="11">
        <f>IF(Таблица467[[#This Row],[Факт - План]]&gt;10,1,0)</f>
        <v>0</v>
      </c>
      <c r="K18" s="10">
        <v>4515588</v>
      </c>
      <c r="L18" s="10">
        <f>IF(Таблица467[[#This Row],[Логическое]]=1,Таблица467[[#This Row],[Вартість, грн]]*$L$1,0)</f>
        <v>0</v>
      </c>
    </row>
    <row r="19" spans="1:12" ht="29" customHeight="1" x14ac:dyDescent="0.35">
      <c r="A19" s="12" t="s">
        <v>3</v>
      </c>
      <c r="B19" s="18" t="s">
        <v>14</v>
      </c>
      <c r="C19" s="12" t="s">
        <v>12</v>
      </c>
      <c r="D19" s="22">
        <v>44385</v>
      </c>
      <c r="E19" s="22">
        <v>44486</v>
      </c>
      <c r="F19" s="14">
        <f>Таблица467[[#This Row],[Столбец3]]-Таблица467[[#This Row],[Столбец2]]</f>
        <v>101</v>
      </c>
      <c r="G19" s="13">
        <v>30</v>
      </c>
      <c r="H19" s="14">
        <v>102</v>
      </c>
      <c r="I19" s="14">
        <f>Таблица467[[#This Row],[Факт]]-Таблица467[[#This Row],[План]]</f>
        <v>72</v>
      </c>
      <c r="J19" s="12">
        <f>IF(Таблица467[[#This Row],[Факт - План]]&gt;10,1,0)</f>
        <v>1</v>
      </c>
      <c r="K19" s="14">
        <v>50988960</v>
      </c>
      <c r="L19" s="14">
        <f>IF(Таблица467[[#This Row],[Логическое]]=1,Таблица467[[#This Row],[Вартість, грн]]*$L$1,0)</f>
        <v>7648344</v>
      </c>
    </row>
    <row r="20" spans="1:12" ht="29" customHeight="1" x14ac:dyDescent="0.35">
      <c r="A20" s="12" t="s">
        <v>3</v>
      </c>
      <c r="B20" s="18" t="s">
        <v>16</v>
      </c>
      <c r="C20" s="12" t="s">
        <v>34</v>
      </c>
      <c r="D20" s="22">
        <v>44486</v>
      </c>
      <c r="E20" s="22">
        <v>44493</v>
      </c>
      <c r="F20" s="14">
        <f>Таблица467[[#This Row],[Столбец3]]-Таблица467[[#This Row],[Столбец2]]</f>
        <v>7</v>
      </c>
      <c r="G20" s="13">
        <v>5</v>
      </c>
      <c r="H20" s="14">
        <v>6.9270833333333339</v>
      </c>
      <c r="I20" s="14">
        <f>Таблица467[[#This Row],[Факт]]-Таблица467[[#This Row],[План]]</f>
        <v>1.9270833333333339</v>
      </c>
      <c r="J20" s="12">
        <f>IF(Таблица467[[#This Row],[Факт - План]]&gt;10,1,0)</f>
        <v>0</v>
      </c>
      <c r="K20" s="14">
        <v>10349640</v>
      </c>
      <c r="L20" s="14">
        <f>IF(Таблица467[[#This Row],[Логическое]]=1,Таблица467[[#This Row],[Вартість, грн]]*$L$1,0)</f>
        <v>0</v>
      </c>
    </row>
    <row r="21" spans="1:12" ht="29" customHeight="1" x14ac:dyDescent="0.35">
      <c r="A21" s="12" t="s">
        <v>3</v>
      </c>
      <c r="B21" s="18" t="s">
        <v>21</v>
      </c>
      <c r="C21" s="12" t="s">
        <v>35</v>
      </c>
      <c r="D21" s="22">
        <v>44493</v>
      </c>
      <c r="E21" s="22">
        <v>44561</v>
      </c>
      <c r="F21" s="14">
        <f>Таблица467[[#This Row],[Столбец3]]-Таблица467[[#This Row],[Столбец2]]</f>
        <v>68</v>
      </c>
      <c r="G21" s="13">
        <v>39</v>
      </c>
      <c r="H21" s="14">
        <v>68.010416666666714</v>
      </c>
      <c r="I21" s="14">
        <f>Таблица467[[#This Row],[Факт]]-Таблица467[[#This Row],[План]]</f>
        <v>29.010416666666714</v>
      </c>
      <c r="J21" s="12">
        <f>IF(Таблица467[[#This Row],[Факт - План]]&gt;10,1,0)</f>
        <v>1</v>
      </c>
      <c r="K21" s="14">
        <v>64029240</v>
      </c>
      <c r="L21" s="14">
        <f>IF(Таблица467[[#This Row],[Логическое]]=1,Таблица467[[#This Row],[Вартість, грн]]*$L$1,0)</f>
        <v>9604386</v>
      </c>
    </row>
    <row r="22" spans="1:12" ht="29" customHeight="1" x14ac:dyDescent="0.35">
      <c r="A22" s="12" t="s">
        <v>3</v>
      </c>
      <c r="B22" s="18" t="s">
        <v>22</v>
      </c>
      <c r="C22" s="12" t="s">
        <v>36</v>
      </c>
      <c r="D22" s="22">
        <v>44561</v>
      </c>
      <c r="E22" s="22">
        <v>44786</v>
      </c>
      <c r="F22" s="14">
        <f>Таблица467[[#This Row],[Столбец3]]-Таблица467[[#This Row],[Столбец2]]</f>
        <v>225</v>
      </c>
      <c r="G22" s="13">
        <v>82</v>
      </c>
      <c r="H22" s="14">
        <v>225.7708333333332</v>
      </c>
      <c r="I22" s="14">
        <f>Таблица467[[#This Row],[Факт]]-Таблица467[[#This Row],[План]]</f>
        <v>143.7708333333332</v>
      </c>
      <c r="J22" s="12">
        <f>IF(Таблица467[[#This Row],[Факт - План]]&gt;10,1,0)</f>
        <v>1</v>
      </c>
      <c r="K22" s="14">
        <v>142097760</v>
      </c>
      <c r="L22" s="14">
        <f>IF(Таблица467[[#This Row],[Логическое]]=1,Таблица467[[#This Row],[Вартість, грн]]*$L$1,0)</f>
        <v>21314664</v>
      </c>
    </row>
    <row r="23" spans="1:12" ht="29" customHeight="1" x14ac:dyDescent="0.35">
      <c r="A23" s="12" t="s">
        <v>3</v>
      </c>
      <c r="B23" s="18" t="s">
        <v>24</v>
      </c>
      <c r="C23" s="12" t="s">
        <v>37</v>
      </c>
      <c r="D23" s="22">
        <v>44786</v>
      </c>
      <c r="E23" s="22">
        <v>44786</v>
      </c>
      <c r="F23" s="14">
        <f>Таблица467[[#This Row],[Столбец3]]-Таблица467[[#This Row],[Столбец2]]</f>
        <v>0</v>
      </c>
      <c r="G23" s="13">
        <v>48</v>
      </c>
      <c r="H23" s="14">
        <v>0</v>
      </c>
      <c r="I23" s="14">
        <f>Таблица467[[#This Row],[Факт]]-Таблица467[[#This Row],[План]]</f>
        <v>-48</v>
      </c>
      <c r="J23" s="12">
        <f>IF(Таблица467[[#This Row],[Факт - План]]&gt;10,1,0)</f>
        <v>0</v>
      </c>
      <c r="K23" s="14">
        <v>69522408</v>
      </c>
      <c r="L23" s="14">
        <f>IF(Таблица467[[#This Row],[Логическое]]=1,Таблица467[[#This Row],[Вартість, грн]]*$L$1,0)</f>
        <v>0</v>
      </c>
    </row>
    <row r="24" spans="1:12" ht="29" customHeight="1" x14ac:dyDescent="0.35">
      <c r="A24" s="12" t="s">
        <v>3</v>
      </c>
      <c r="B24" s="18" t="s">
        <v>25</v>
      </c>
      <c r="C24" s="12" t="s">
        <v>29</v>
      </c>
      <c r="D24" s="22">
        <v>44786</v>
      </c>
      <c r="E24" s="22">
        <v>44786</v>
      </c>
      <c r="F24" s="14">
        <f>Таблица467[[#This Row],[Столбец3]]-Таблица467[[#This Row],[Столбец2]]</f>
        <v>0</v>
      </c>
      <c r="G24" s="13">
        <v>110</v>
      </c>
      <c r="H24" s="14">
        <v>0</v>
      </c>
      <c r="I24" s="14">
        <f>Таблица467[[#This Row],[Факт]]-Таблица467[[#This Row],[План]]</f>
        <v>-110</v>
      </c>
      <c r="J24" s="12">
        <f>IF(Таблица467[[#This Row],[Факт - План]]&gt;10,1,0)</f>
        <v>0</v>
      </c>
      <c r="K24" s="14">
        <v>149884632</v>
      </c>
      <c r="L24" s="14">
        <f>IF(Таблица467[[#This Row],[Логическое]]=1,Таблица467[[#This Row],[Вартість, грн]]*$L$1,0)</f>
        <v>0</v>
      </c>
    </row>
    <row r="25" spans="1:12" ht="29" customHeight="1" x14ac:dyDescent="0.35">
      <c r="A25" s="12" t="s">
        <v>3</v>
      </c>
      <c r="B25" s="18" t="s">
        <v>26</v>
      </c>
      <c r="C25" s="12" t="s">
        <v>15</v>
      </c>
      <c r="D25" s="22">
        <v>44786</v>
      </c>
      <c r="E25" s="22">
        <v>44860</v>
      </c>
      <c r="F25" s="14">
        <f>Таблица467[[#This Row],[Столбец3]]-Таблица467[[#This Row],[Столбец2]]</f>
        <v>74</v>
      </c>
      <c r="G25" s="13">
        <v>30</v>
      </c>
      <c r="H25" s="14">
        <v>74</v>
      </c>
      <c r="I25" s="14">
        <f>Таблица467[[#This Row],[Факт]]-Таблица467[[#This Row],[План]]</f>
        <v>44</v>
      </c>
      <c r="J25" s="15">
        <f>IF(Таблица467[[#This Row],[Факт - План]]&gt;10,1,0)</f>
        <v>1</v>
      </c>
      <c r="K25" s="14">
        <v>12760560</v>
      </c>
      <c r="L25" s="14">
        <f>IF(Таблица467[[#This Row],[Логическое]]=1,Таблица467[[#This Row],[Вартість, грн]]*$L$1,0)</f>
        <v>1914084</v>
      </c>
    </row>
    <row r="26" spans="1:12" ht="29" customHeight="1" x14ac:dyDescent="0.35">
      <c r="A26" s="24" t="s">
        <v>4</v>
      </c>
      <c r="B26" s="24"/>
      <c r="C26" s="24"/>
      <c r="D26" s="24"/>
      <c r="E26" s="24"/>
      <c r="F26" s="24"/>
      <c r="G26" s="37">
        <f>SUBTOTAL(109,Таблица467[План])</f>
        <v>1125</v>
      </c>
      <c r="H26" s="25">
        <f>SUBTOTAL(109,Таблица467[Факт])</f>
        <v>1749.8300000000002</v>
      </c>
      <c r="I26" s="25">
        <f>SUBTOTAL(109,Таблица467[Факт - План])</f>
        <v>624.83000000000015</v>
      </c>
      <c r="J26" s="24"/>
      <c r="K26" s="24"/>
      <c r="L26" s="25">
        <f>SUBTOTAL(109,Таблица467[Штраф, грн])</f>
        <v>139260292.632</v>
      </c>
    </row>
  </sheetData>
  <phoneticPr fontId="6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91E7C-50D8-4613-96C6-78FFCF490E77}">
  <dimension ref="A1:L26"/>
  <sheetViews>
    <sheetView workbookViewId="0">
      <selection activeCell="L1" sqref="L1"/>
    </sheetView>
  </sheetViews>
  <sheetFormatPr defaultRowHeight="14.5" x14ac:dyDescent="0.35"/>
  <cols>
    <col min="1" max="1" width="23.453125" customWidth="1"/>
    <col min="2" max="2" width="9.81640625" customWidth="1"/>
    <col min="3" max="3" width="41.90625" customWidth="1"/>
    <col min="4" max="6" width="16.08984375" hidden="1" customWidth="1"/>
    <col min="7" max="9" width="14.7265625" customWidth="1"/>
    <col min="10" max="10" width="14.7265625" hidden="1" customWidth="1"/>
    <col min="11" max="12" width="14.7265625" customWidth="1"/>
    <col min="13" max="13" width="4" bestFit="1" customWidth="1"/>
    <col min="14" max="20" width="2" bestFit="1" customWidth="1"/>
    <col min="21" max="21" width="4" bestFit="1" customWidth="1"/>
    <col min="22" max="22" width="3" bestFit="1" customWidth="1"/>
    <col min="23" max="23" width="5" bestFit="1" customWidth="1"/>
    <col min="24" max="27" width="3" bestFit="1" customWidth="1"/>
    <col min="28" max="28" width="5" bestFit="1" customWidth="1"/>
    <col min="29" max="31" width="3" bestFit="1" customWidth="1"/>
    <col min="32" max="32" width="5" bestFit="1" customWidth="1"/>
    <col min="33" max="33" width="10" bestFit="1" customWidth="1"/>
    <col min="34" max="47" width="3" bestFit="1" customWidth="1"/>
    <col min="48" max="48" width="10" bestFit="1" customWidth="1"/>
    <col min="49" max="51" width="3" bestFit="1" customWidth="1"/>
    <col min="52" max="52" width="5" bestFit="1" customWidth="1"/>
    <col min="53" max="60" width="3" bestFit="1" customWidth="1"/>
    <col min="61" max="61" width="10" bestFit="1" customWidth="1"/>
    <col min="62" max="71" width="3" bestFit="1" customWidth="1"/>
    <col min="72" max="72" width="4" bestFit="1" customWidth="1"/>
    <col min="73" max="73" width="7.453125" bestFit="1" customWidth="1"/>
    <col min="74" max="74" width="11.81640625" bestFit="1" customWidth="1"/>
    <col min="75" max="126" width="4.54296875" bestFit="1" customWidth="1"/>
    <col min="127" max="317" width="5.54296875" bestFit="1" customWidth="1"/>
    <col min="318" max="333" width="6.54296875" bestFit="1" customWidth="1"/>
    <col min="334" max="334" width="11.81640625" bestFit="1" customWidth="1"/>
    <col min="335" max="346" width="5.54296875" bestFit="1" customWidth="1"/>
    <col min="347" max="348" width="6.54296875" bestFit="1" customWidth="1"/>
    <col min="349" max="349" width="7.54296875" bestFit="1" customWidth="1"/>
    <col min="350" max="350" width="4.81640625" bestFit="1" customWidth="1"/>
    <col min="351" max="351" width="7.54296875" bestFit="1" customWidth="1"/>
    <col min="352" max="352" width="4.81640625" bestFit="1" customWidth="1"/>
    <col min="353" max="353" width="5.54296875" bestFit="1" customWidth="1"/>
    <col min="354" max="354" width="7.54296875" bestFit="1" customWidth="1"/>
    <col min="355" max="355" width="4.81640625" bestFit="1" customWidth="1"/>
    <col min="356" max="356" width="7.54296875" bestFit="1" customWidth="1"/>
    <col min="357" max="363" width="5.54296875" bestFit="1" customWidth="1"/>
    <col min="364" max="364" width="7.54296875" bestFit="1" customWidth="1"/>
    <col min="365" max="365" width="4.81640625" bestFit="1" customWidth="1"/>
    <col min="366" max="366" width="4.54296875" bestFit="1" customWidth="1"/>
    <col min="367" max="369" width="5.54296875" bestFit="1" customWidth="1"/>
    <col min="370" max="370" width="7.54296875" bestFit="1" customWidth="1"/>
    <col min="371" max="371" width="4.81640625" bestFit="1" customWidth="1"/>
    <col min="372" max="372" width="7.54296875" bestFit="1" customWidth="1"/>
    <col min="373" max="373" width="11.81640625" bestFit="1" customWidth="1"/>
    <col min="374" max="374" width="14.26953125" bestFit="1" customWidth="1"/>
    <col min="375" max="376" width="5.54296875" bestFit="1" customWidth="1"/>
    <col min="377" max="377" width="7.54296875" bestFit="1" customWidth="1"/>
    <col min="378" max="378" width="5.54296875" bestFit="1" customWidth="1"/>
    <col min="379" max="379" width="7.54296875" bestFit="1" customWidth="1"/>
    <col min="380" max="382" width="5.54296875" bestFit="1" customWidth="1"/>
    <col min="383" max="383" width="7.54296875" bestFit="1" customWidth="1"/>
    <col min="384" max="384" width="6.81640625" bestFit="1" customWidth="1"/>
    <col min="386" max="386" width="5.54296875" bestFit="1" customWidth="1"/>
    <col min="387" max="387" width="7.54296875" bestFit="1" customWidth="1"/>
    <col min="388" max="388" width="4.81640625" bestFit="1" customWidth="1"/>
    <col min="389" max="389" width="7.54296875" bestFit="1" customWidth="1"/>
    <col min="390" max="391" width="5.54296875" bestFit="1" customWidth="1"/>
    <col min="392" max="392" width="6.54296875" bestFit="1" customWidth="1"/>
    <col min="393" max="393" width="7.54296875" bestFit="1" customWidth="1"/>
    <col min="394" max="394" width="5.54296875" bestFit="1" customWidth="1"/>
    <col min="395" max="395" width="7.54296875" bestFit="1" customWidth="1"/>
    <col min="396" max="396" width="6.54296875" bestFit="1" customWidth="1"/>
    <col min="397" max="397" width="7.54296875" bestFit="1" customWidth="1"/>
    <col min="398" max="399" width="5.54296875" bestFit="1" customWidth="1"/>
    <col min="400" max="400" width="6.54296875" bestFit="1" customWidth="1"/>
    <col min="401" max="401" width="7.54296875" bestFit="1" customWidth="1"/>
    <col min="402" max="402" width="5.54296875" bestFit="1" customWidth="1"/>
    <col min="403" max="403" width="7.54296875" bestFit="1" customWidth="1"/>
    <col min="404" max="404" width="4.81640625" bestFit="1" customWidth="1"/>
    <col min="405" max="405" width="7.54296875" bestFit="1" customWidth="1"/>
    <col min="406" max="406" width="11.81640625" bestFit="1" customWidth="1"/>
    <col min="407" max="407" width="14.26953125" bestFit="1" customWidth="1"/>
    <col min="408" max="409" width="6.54296875" bestFit="1" customWidth="1"/>
    <col min="410" max="410" width="7.54296875" bestFit="1" customWidth="1"/>
    <col min="411" max="411" width="4.81640625" bestFit="1" customWidth="1"/>
    <col min="412" max="412" width="5.54296875" bestFit="1" customWidth="1"/>
    <col min="413" max="413" width="7.54296875" bestFit="1" customWidth="1"/>
    <col min="414" max="414" width="5.54296875" bestFit="1" customWidth="1"/>
    <col min="415" max="415" width="7.54296875" bestFit="1" customWidth="1"/>
    <col min="416" max="416" width="5.54296875" bestFit="1" customWidth="1"/>
    <col min="417" max="417" width="7.54296875" bestFit="1" customWidth="1"/>
    <col min="418" max="418" width="5.54296875" bestFit="1" customWidth="1"/>
    <col min="419" max="419" width="7.54296875" bestFit="1" customWidth="1"/>
    <col min="420" max="421" width="5.54296875" bestFit="1" customWidth="1"/>
    <col min="422" max="422" width="7.54296875" bestFit="1" customWidth="1"/>
    <col min="423" max="423" width="5.54296875" bestFit="1" customWidth="1"/>
    <col min="424" max="424" width="7.54296875" bestFit="1" customWidth="1"/>
    <col min="425" max="425" width="5.54296875" bestFit="1" customWidth="1"/>
    <col min="426" max="426" width="7.54296875" bestFit="1" customWidth="1"/>
    <col min="427" max="427" width="6.54296875" bestFit="1" customWidth="1"/>
    <col min="428" max="428" width="7.54296875" bestFit="1" customWidth="1"/>
    <col min="429" max="429" width="5.54296875" bestFit="1" customWidth="1"/>
    <col min="430" max="430" width="7.54296875" bestFit="1" customWidth="1"/>
    <col min="431" max="431" width="5.81640625" bestFit="1" customWidth="1"/>
    <col min="432" max="432" width="8.54296875" bestFit="1" customWidth="1"/>
    <col min="433" max="433" width="9.26953125" bestFit="1" customWidth="1"/>
    <col min="434" max="434" width="12" bestFit="1" customWidth="1"/>
    <col min="435" max="435" width="11.81640625" bestFit="1" customWidth="1"/>
  </cols>
  <sheetData>
    <row r="1" spans="1:12" ht="18.5" x14ac:dyDescent="0.45">
      <c r="L1" s="2">
        <v>0.2</v>
      </c>
    </row>
    <row r="3" spans="1:12" x14ac:dyDescent="0.35">
      <c r="A3" s="1" t="s">
        <v>0</v>
      </c>
      <c r="B3" s="1" t="s">
        <v>13</v>
      </c>
      <c r="C3" s="1" t="s">
        <v>5</v>
      </c>
      <c r="D3" s="1" t="s">
        <v>38</v>
      </c>
      <c r="E3" s="1" t="s">
        <v>39</v>
      </c>
      <c r="F3" s="1" t="s">
        <v>40</v>
      </c>
      <c r="G3" s="1" t="s">
        <v>8</v>
      </c>
      <c r="H3" s="1" t="s">
        <v>7</v>
      </c>
      <c r="I3" s="1" t="s">
        <v>11</v>
      </c>
      <c r="J3" s="1" t="s">
        <v>6</v>
      </c>
      <c r="K3" s="1" t="s">
        <v>9</v>
      </c>
      <c r="L3" s="1" t="s">
        <v>10</v>
      </c>
    </row>
    <row r="4" spans="1:12" ht="29" customHeight="1" x14ac:dyDescent="0.35">
      <c r="A4" s="3" t="s">
        <v>2</v>
      </c>
      <c r="B4" s="16" t="s">
        <v>14</v>
      </c>
      <c r="C4" s="3" t="s">
        <v>12</v>
      </c>
      <c r="D4" s="19">
        <v>44116</v>
      </c>
      <c r="E4" s="19">
        <v>44208</v>
      </c>
      <c r="F4" s="5">
        <f>Таблица467[[#This Row],[Столбец3]]-Таблица467[[#This Row],[Столбец2]]</f>
        <v>92</v>
      </c>
      <c r="G4" s="4">
        <v>30</v>
      </c>
      <c r="H4" s="5">
        <v>93</v>
      </c>
      <c r="I4" s="5">
        <f>Таблица467[[#This Row],[Факт]]-Таблица467[[#This Row],[План]]</f>
        <v>63</v>
      </c>
      <c r="J4" s="3">
        <f>IF(Таблица4672[[#This Row],[Факт - План]]&gt;10,1,0)</f>
        <v>1</v>
      </c>
      <c r="K4" s="5">
        <v>6592140</v>
      </c>
      <c r="L4" s="5">
        <f>IF(Таблица4672[[#This Row],[Логическое]]=1,Таблица4672[[#This Row],[Вартість, грн]]*20%,0)</f>
        <v>1318428</v>
      </c>
    </row>
    <row r="5" spans="1:12" ht="29" customHeight="1" x14ac:dyDescent="0.35">
      <c r="A5" s="3" t="s">
        <v>2</v>
      </c>
      <c r="B5" s="16" t="s">
        <v>16</v>
      </c>
      <c r="C5" s="3" t="s">
        <v>18</v>
      </c>
      <c r="D5" s="19">
        <v>44208</v>
      </c>
      <c r="E5" s="19">
        <v>44223</v>
      </c>
      <c r="F5" s="5">
        <f>Таблица467[[#This Row],[Столбец3]]-Таблица467[[#This Row],[Столбец2]]</f>
        <v>15</v>
      </c>
      <c r="G5" s="4">
        <v>6</v>
      </c>
      <c r="H5" s="5">
        <v>14.958333333333329</v>
      </c>
      <c r="I5" s="5">
        <f>Таблица467[[#This Row],[Факт]]-Таблица467[[#This Row],[План]]</f>
        <v>8.9583333333333286</v>
      </c>
      <c r="J5" s="3">
        <f>IF(Таблица4672[[#This Row],[Факт - План]]&gt;10,1,0)</f>
        <v>0</v>
      </c>
      <c r="K5" s="5">
        <v>7462315.2000000002</v>
      </c>
      <c r="L5" s="5">
        <f>IF(Таблица4672[[#This Row],[Логическое]]=1,Таблица4672[[#This Row],[Вартість, грн]]*20%,0)</f>
        <v>0</v>
      </c>
    </row>
    <row r="6" spans="1:12" ht="29" customHeight="1" x14ac:dyDescent="0.35">
      <c r="A6" s="3" t="s">
        <v>2</v>
      </c>
      <c r="B6" s="16" t="s">
        <v>21</v>
      </c>
      <c r="C6" s="3" t="s">
        <v>19</v>
      </c>
      <c r="D6" s="19">
        <v>44223</v>
      </c>
      <c r="E6" s="19">
        <v>44274</v>
      </c>
      <c r="F6" s="5">
        <f>Таблица467[[#This Row],[Столбец3]]-Таблица467[[#This Row],[Столбец2]]</f>
        <v>51</v>
      </c>
      <c r="G6" s="4">
        <v>52</v>
      </c>
      <c r="H6" s="5">
        <v>50.958333333333357</v>
      </c>
      <c r="I6" s="5">
        <f>Таблица467[[#This Row],[Факт]]-Таблица467[[#This Row],[План]]</f>
        <v>-1.041666666666643</v>
      </c>
      <c r="J6" s="3">
        <f>IF(Таблица4672[[#This Row],[Факт - План]]&gt;10,1,0)</f>
        <v>0</v>
      </c>
      <c r="K6" s="5">
        <v>81495132</v>
      </c>
      <c r="L6" s="5">
        <f>IF(Таблица4672[[#This Row],[Логическое]]=1,Таблица4672[[#This Row],[Вартість, грн]]*20%,0)</f>
        <v>0</v>
      </c>
    </row>
    <row r="7" spans="1:12" ht="29" customHeight="1" x14ac:dyDescent="0.35">
      <c r="A7" s="3" t="s">
        <v>2</v>
      </c>
      <c r="B7" s="16" t="s">
        <v>22</v>
      </c>
      <c r="C7" s="3" t="s">
        <v>20</v>
      </c>
      <c r="D7" s="19">
        <v>44274</v>
      </c>
      <c r="E7" s="19">
        <v>44388</v>
      </c>
      <c r="F7" s="5">
        <f>Таблица467[[#This Row],[Столбец3]]-Таблица467[[#This Row],[Столбец2]]</f>
        <v>114</v>
      </c>
      <c r="G7" s="4">
        <v>99</v>
      </c>
      <c r="H7" s="5">
        <v>113.5</v>
      </c>
      <c r="I7" s="5">
        <f>Таблица467[[#This Row],[Факт]]-Таблица467[[#This Row],[План]]</f>
        <v>14.499999999999957</v>
      </c>
      <c r="J7" s="3">
        <f>IF(Таблица4672[[#This Row],[Факт - План]]&gt;10,1,0)</f>
        <v>1</v>
      </c>
      <c r="K7" s="5">
        <v>140602046.40000001</v>
      </c>
      <c r="L7" s="5">
        <f>IF(Таблица4672[[#This Row],[Логическое]]=1,Таблица4672[[#This Row],[Вартість, грн]]*20%,0)</f>
        <v>28120409.280000001</v>
      </c>
    </row>
    <row r="8" spans="1:12" ht="29" customHeight="1" x14ac:dyDescent="0.35">
      <c r="A8" s="3" t="s">
        <v>2</v>
      </c>
      <c r="B8" s="16" t="s">
        <v>24</v>
      </c>
      <c r="C8" s="3" t="s">
        <v>23</v>
      </c>
      <c r="D8" s="19">
        <v>44388</v>
      </c>
      <c r="E8" s="19">
        <v>44436</v>
      </c>
      <c r="F8" s="5">
        <f>Таблица467[[#This Row],[Столбец3]]-Таблица467[[#This Row],[Столбец2]]</f>
        <v>48</v>
      </c>
      <c r="G8" s="4">
        <v>61</v>
      </c>
      <c r="H8" s="5">
        <v>48.125000000000007</v>
      </c>
      <c r="I8" s="5">
        <f>Таблица467[[#This Row],[Факт]]-Таблица467[[#This Row],[План]]</f>
        <v>-12.874999999999993</v>
      </c>
      <c r="J8" s="3">
        <f>IF(Таблица4672[[#This Row],[Факт - План]]&gt;10,1,0)</f>
        <v>0</v>
      </c>
      <c r="K8" s="5">
        <v>81960556.799999997</v>
      </c>
      <c r="L8" s="5">
        <f>IF(Таблица4672[[#This Row],[Логическое]]=1,Таблица4672[[#This Row],[Вартість, грн]]*20%,0)</f>
        <v>0</v>
      </c>
    </row>
    <row r="9" spans="1:12" ht="29" customHeight="1" x14ac:dyDescent="0.35">
      <c r="A9" s="32" t="s">
        <v>2</v>
      </c>
      <c r="B9" s="33" t="s">
        <v>25</v>
      </c>
      <c r="C9" s="32" t="s">
        <v>27</v>
      </c>
      <c r="D9" s="34">
        <v>44436</v>
      </c>
      <c r="E9" s="34">
        <v>44671</v>
      </c>
      <c r="F9" s="27">
        <f>Таблица467[[#This Row],[Столбец3]]-Таблица467[[#This Row],[Столбец2]]</f>
        <v>147</v>
      </c>
      <c r="G9" s="35">
        <v>104</v>
      </c>
      <c r="H9" s="27">
        <f>235.083333333333-88</f>
        <v>147.083333333333</v>
      </c>
      <c r="I9" s="27">
        <f>Таблица467[[#This Row],[Факт]]-Таблица467[[#This Row],[План]]</f>
        <v>43.080000000000013</v>
      </c>
      <c r="J9" s="32">
        <f>IF(Таблица4672[[#This Row],[Факт - План]]&gt;10,1,0)</f>
        <v>1</v>
      </c>
      <c r="K9" s="27">
        <v>208502928.47999999</v>
      </c>
      <c r="L9" s="27">
        <f>IF(Таблица4672[[#This Row],[Логическое]]=1,Таблица4672[[#This Row],[Вартість, грн]]*20%,0)</f>
        <v>41700585.696000002</v>
      </c>
    </row>
    <row r="10" spans="1:12" ht="29" customHeight="1" x14ac:dyDescent="0.35">
      <c r="A10" s="3" t="s">
        <v>2</v>
      </c>
      <c r="B10" s="16" t="s">
        <v>26</v>
      </c>
      <c r="C10" s="3" t="s">
        <v>28</v>
      </c>
      <c r="D10" s="19">
        <v>44671</v>
      </c>
      <c r="E10" s="19">
        <v>44671</v>
      </c>
      <c r="F10" s="5">
        <f>Таблица467[[#This Row],[Столбец3]]-Таблица467[[#This Row],[Столбец2]]</f>
        <v>0</v>
      </c>
      <c r="G10" s="4">
        <v>18</v>
      </c>
      <c r="H10" s="5">
        <v>0</v>
      </c>
      <c r="I10" s="5">
        <f>Таблица467[[#This Row],[Факт]]-Таблица467[[#This Row],[План]]</f>
        <v>-18</v>
      </c>
      <c r="J10" s="3">
        <f>IF(Таблица4672[[#This Row],[Факт - План]]&gt;10,1,0)</f>
        <v>0</v>
      </c>
      <c r="K10" s="5">
        <v>39590618.399999999</v>
      </c>
      <c r="L10" s="5">
        <f>IF(Таблица4672[[#This Row],[Логическое]]=1,Таблица4672[[#This Row],[Вартість, грн]]*20%,0)</f>
        <v>0</v>
      </c>
    </row>
    <row r="11" spans="1:12" ht="29" customHeight="1" x14ac:dyDescent="0.35">
      <c r="A11" s="3" t="s">
        <v>2</v>
      </c>
      <c r="B11" s="16" t="s">
        <v>17</v>
      </c>
      <c r="C11" s="3" t="s">
        <v>15</v>
      </c>
      <c r="D11" s="19">
        <v>44671</v>
      </c>
      <c r="E11" s="19">
        <v>44760</v>
      </c>
      <c r="F11" s="5">
        <f>Таблица467[[#This Row],[Столбец3]]-Таблица467[[#This Row],[Столбец2]]</f>
        <v>102</v>
      </c>
      <c r="G11" s="4">
        <v>30</v>
      </c>
      <c r="H11" s="5">
        <v>90</v>
      </c>
      <c r="I11" s="5">
        <f>Таблица467[[#This Row],[Факт]]-Таблица467[[#This Row],[План]]</f>
        <v>72</v>
      </c>
      <c r="J11" s="6">
        <f>IF(Таблица4672[[#This Row],[Факт - План]]&gt;10,1,0)</f>
        <v>1</v>
      </c>
      <c r="K11" s="5">
        <v>3022908</v>
      </c>
      <c r="L11" s="5">
        <f>IF(Таблица4672[[#This Row],[Логическое]]=1,Таблица4672[[#This Row],[Вартість, грн]]*20%,0)</f>
        <v>604581.6</v>
      </c>
    </row>
    <row r="12" spans="1:12" ht="29" customHeight="1" x14ac:dyDescent="0.35">
      <c r="A12" s="7" t="s">
        <v>1</v>
      </c>
      <c r="B12" s="17" t="s">
        <v>14</v>
      </c>
      <c r="C12" s="8" t="s">
        <v>12</v>
      </c>
      <c r="D12" s="20">
        <v>43742</v>
      </c>
      <c r="E12" s="20">
        <v>43820</v>
      </c>
      <c r="F12" s="23">
        <f>Таблица467[[#This Row],[Столбец3]]-Таблица467[[#This Row],[Столбец2]]</f>
        <v>78</v>
      </c>
      <c r="G12" s="9">
        <v>90</v>
      </c>
      <c r="H12" s="10">
        <v>79</v>
      </c>
      <c r="I12" s="10">
        <f>Таблица467[[#This Row],[Факт]]-Таблица467[[#This Row],[План]]</f>
        <v>-11</v>
      </c>
      <c r="J12" s="7">
        <f>IF(Таблица4672[[#This Row],[Факт - План]]&gt;10,1,0)</f>
        <v>0</v>
      </c>
      <c r="K12" s="10">
        <v>8918658</v>
      </c>
      <c r="L12" s="10">
        <f>IF(Таблица4672[[#This Row],[Логическое]]=1,Таблица4672[[#This Row],[Вартість, грн]]*20%,0)</f>
        <v>0</v>
      </c>
    </row>
    <row r="13" spans="1:12" ht="29" customHeight="1" x14ac:dyDescent="0.35">
      <c r="A13" s="7" t="s">
        <v>1</v>
      </c>
      <c r="B13" s="17" t="s">
        <v>16</v>
      </c>
      <c r="C13" s="7" t="s">
        <v>33</v>
      </c>
      <c r="D13" s="20">
        <v>43820</v>
      </c>
      <c r="E13" s="21">
        <v>43880</v>
      </c>
      <c r="F13" s="10">
        <f>Таблица467[[#This Row],[Столбец3]]-Таблица467[[#This Row],[Столбец2]]</f>
        <v>60</v>
      </c>
      <c r="G13" s="9">
        <v>4</v>
      </c>
      <c r="H13" s="10">
        <v>60</v>
      </c>
      <c r="I13" s="10">
        <f>Таблица467[[#This Row],[Факт]]-Таблица467[[#This Row],[План]]</f>
        <v>56</v>
      </c>
      <c r="J13" s="7">
        <f>IF(Таблица4672[[#This Row],[Факт - План]]&gt;10,1,0)</f>
        <v>1</v>
      </c>
      <c r="K13" s="10">
        <v>6876828</v>
      </c>
      <c r="L13" s="10">
        <f>IF(Таблица4672[[#This Row],[Логическое]]=1,Таблица4672[[#This Row],[Вартість, грн]]*20%,0)</f>
        <v>1375365.6</v>
      </c>
    </row>
    <row r="14" spans="1:12" ht="29" customHeight="1" x14ac:dyDescent="0.35">
      <c r="A14" s="7" t="s">
        <v>1</v>
      </c>
      <c r="B14" s="17" t="s">
        <v>21</v>
      </c>
      <c r="C14" s="7" t="s">
        <v>32</v>
      </c>
      <c r="D14" s="21">
        <v>43880</v>
      </c>
      <c r="E14" s="21">
        <v>43911</v>
      </c>
      <c r="F14" s="10">
        <f>Таблица467[[#This Row],[Столбец3]]-Таблица467[[#This Row],[Столбец2]]</f>
        <v>31</v>
      </c>
      <c r="G14" s="9">
        <v>33</v>
      </c>
      <c r="H14" s="10">
        <v>30.750000000000007</v>
      </c>
      <c r="I14" s="10">
        <f>Таблица467[[#This Row],[Факт]]-Таблица467[[#This Row],[План]]</f>
        <v>-2.2499999999999929</v>
      </c>
      <c r="J14" s="7">
        <f>IF(Таблица4672[[#This Row],[Факт - План]]&gt;10,1,0)</f>
        <v>0</v>
      </c>
      <c r="K14" s="10">
        <v>34059564</v>
      </c>
      <c r="L14" s="10">
        <f>IF(Таблица4672[[#This Row],[Логическое]]=1,Таблица4672[[#This Row],[Вартість, грн]]*20%,0)</f>
        <v>0</v>
      </c>
    </row>
    <row r="15" spans="1:12" ht="29" customHeight="1" x14ac:dyDescent="0.35">
      <c r="A15" s="7" t="s">
        <v>1</v>
      </c>
      <c r="B15" s="17" t="s">
        <v>22</v>
      </c>
      <c r="C15" s="7" t="s">
        <v>31</v>
      </c>
      <c r="D15" s="21">
        <v>43911</v>
      </c>
      <c r="E15" s="21">
        <v>43967</v>
      </c>
      <c r="F15" s="10">
        <f>Таблица467[[#This Row],[Столбец3]]-Таблица467[[#This Row],[Столбец2]]</f>
        <v>56</v>
      </c>
      <c r="G15" s="9">
        <v>77</v>
      </c>
      <c r="H15" s="10">
        <v>56.791666666666643</v>
      </c>
      <c r="I15" s="10">
        <f>Таблица467[[#This Row],[Факт]]-Таблица467[[#This Row],[План]]</f>
        <v>-20.208333333333357</v>
      </c>
      <c r="J15" s="7">
        <f>IF(Таблица4672[[#This Row],[Факт - План]]&gt;10,1,0)</f>
        <v>0</v>
      </c>
      <c r="K15" s="10">
        <v>79751952</v>
      </c>
      <c r="L15" s="10">
        <f>IF(Таблица4672[[#This Row],[Логическое]]=1,Таблица4672[[#This Row],[Вартість, грн]]*20%,0)</f>
        <v>0</v>
      </c>
    </row>
    <row r="16" spans="1:12" ht="29" customHeight="1" x14ac:dyDescent="0.35">
      <c r="A16" s="7" t="s">
        <v>1</v>
      </c>
      <c r="B16" s="17" t="s">
        <v>24</v>
      </c>
      <c r="C16" s="7" t="s">
        <v>30</v>
      </c>
      <c r="D16" s="21">
        <v>43967</v>
      </c>
      <c r="E16" s="21">
        <v>43999</v>
      </c>
      <c r="F16" s="10">
        <f>Таблица467[[#This Row],[Столбец3]]-Таблица467[[#This Row],[Столбец2]]</f>
        <v>32</v>
      </c>
      <c r="G16" s="9">
        <v>40</v>
      </c>
      <c r="H16" s="10">
        <v>31.239583333333336</v>
      </c>
      <c r="I16" s="10">
        <f>Таблица467[[#This Row],[Факт]]-Таблица467[[#This Row],[План]]</f>
        <v>-8.7604166666666643</v>
      </c>
      <c r="J16" s="7">
        <f>IF(Таблица4672[[#This Row],[Факт - План]]&gt;10,1,0)</f>
        <v>0</v>
      </c>
      <c r="K16" s="10">
        <v>30398634</v>
      </c>
      <c r="L16" s="10">
        <f>IF(Таблица4672[[#This Row],[Логическое]]=1,Таблица4672[[#This Row],[Вартість, грн]]*20%,0)</f>
        <v>0</v>
      </c>
    </row>
    <row r="17" spans="1:12" ht="29" customHeight="1" x14ac:dyDescent="0.35">
      <c r="A17" s="28" t="s">
        <v>1</v>
      </c>
      <c r="B17" s="29" t="s">
        <v>25</v>
      </c>
      <c r="C17" s="28" t="s">
        <v>29</v>
      </c>
      <c r="D17" s="30">
        <v>43999</v>
      </c>
      <c r="E17" s="30">
        <v>44430</v>
      </c>
      <c r="F17" s="26">
        <f>Таблица467[[#This Row],[Столбец3]]-Таблица467[[#This Row],[Столбец2]]</f>
        <v>431</v>
      </c>
      <c r="G17" s="31">
        <v>97</v>
      </c>
      <c r="H17" s="26">
        <v>431.71875000000011</v>
      </c>
      <c r="I17" s="26">
        <f>Таблица467[[#This Row],[Факт]]-Таблица467[[#This Row],[План]]</f>
        <v>334.71875000000011</v>
      </c>
      <c r="J17" s="28">
        <f>IF(Таблица4672[[#This Row],[Факт - План]]&gt;10,1,0)</f>
        <v>1</v>
      </c>
      <c r="K17" s="26">
        <v>292928580</v>
      </c>
      <c r="L17" s="26">
        <f>IF(Таблица4672[[#This Row],[Логическое]]=1,Таблица4672[[#This Row],[Вартість, грн]]*20%,0)</f>
        <v>58585716</v>
      </c>
    </row>
    <row r="18" spans="1:12" ht="29" customHeight="1" x14ac:dyDescent="0.35">
      <c r="A18" s="7" t="s">
        <v>1</v>
      </c>
      <c r="B18" s="17" t="s">
        <v>26</v>
      </c>
      <c r="C18" s="8" t="s">
        <v>15</v>
      </c>
      <c r="D18" s="21">
        <v>44430</v>
      </c>
      <c r="E18" s="20">
        <v>44443</v>
      </c>
      <c r="F18" s="23">
        <f>Таблица467[[#This Row],[Столбец3]]-Таблица467[[#This Row],[Столбец2]]</f>
        <v>13</v>
      </c>
      <c r="G18" s="9">
        <v>40</v>
      </c>
      <c r="H18" s="10">
        <v>14</v>
      </c>
      <c r="I18" s="10">
        <f>Таблица467[[#This Row],[Факт]]-Таблица467[[#This Row],[План]]</f>
        <v>-26</v>
      </c>
      <c r="J18" s="11">
        <f>IF(Таблица4672[[#This Row],[Факт - План]]&gt;10,1,0)</f>
        <v>0</v>
      </c>
      <c r="K18" s="10">
        <v>4515588</v>
      </c>
      <c r="L18" s="10">
        <f>IF(Таблица4672[[#This Row],[Логическое]]=1,Таблица4672[[#This Row],[Вартість, грн]]*20%,0)</f>
        <v>0</v>
      </c>
    </row>
    <row r="19" spans="1:12" ht="29" customHeight="1" x14ac:dyDescent="0.35">
      <c r="A19" s="12" t="s">
        <v>3</v>
      </c>
      <c r="B19" s="18" t="s">
        <v>14</v>
      </c>
      <c r="C19" s="12" t="s">
        <v>12</v>
      </c>
      <c r="D19" s="22">
        <v>44385</v>
      </c>
      <c r="E19" s="22">
        <v>44486</v>
      </c>
      <c r="F19" s="14">
        <f>Таблица467[[#This Row],[Столбец3]]-Таблица467[[#This Row],[Столбец2]]</f>
        <v>101</v>
      </c>
      <c r="G19" s="13">
        <v>30</v>
      </c>
      <c r="H19" s="14">
        <v>102</v>
      </c>
      <c r="I19" s="14">
        <f>Таблица467[[#This Row],[Факт]]-Таблица467[[#This Row],[План]]</f>
        <v>72</v>
      </c>
      <c r="J19" s="12">
        <f>IF(Таблица4672[[#This Row],[Факт - План]]&gt;10,1,0)</f>
        <v>1</v>
      </c>
      <c r="K19" s="14">
        <v>50988960</v>
      </c>
      <c r="L19" s="14">
        <f>IF(Таблица4672[[#This Row],[Логическое]]=1,Таблица4672[[#This Row],[Вартість, грн]]*20%,0)</f>
        <v>10197792</v>
      </c>
    </row>
    <row r="20" spans="1:12" ht="29" customHeight="1" x14ac:dyDescent="0.35">
      <c r="A20" s="12" t="s">
        <v>3</v>
      </c>
      <c r="B20" s="18" t="s">
        <v>16</v>
      </c>
      <c r="C20" s="12" t="s">
        <v>34</v>
      </c>
      <c r="D20" s="22">
        <v>44486</v>
      </c>
      <c r="E20" s="22">
        <v>44493</v>
      </c>
      <c r="F20" s="14">
        <f>Таблица467[[#This Row],[Столбец3]]-Таблица467[[#This Row],[Столбец2]]</f>
        <v>7</v>
      </c>
      <c r="G20" s="13">
        <v>5</v>
      </c>
      <c r="H20" s="14">
        <v>6.9270833333333339</v>
      </c>
      <c r="I20" s="14">
        <f>Таблица467[[#This Row],[Факт]]-Таблица467[[#This Row],[План]]</f>
        <v>1.9270833333333339</v>
      </c>
      <c r="J20" s="12">
        <f>IF(Таблица4672[[#This Row],[Факт - План]]&gt;10,1,0)</f>
        <v>0</v>
      </c>
      <c r="K20" s="14">
        <v>10349640</v>
      </c>
      <c r="L20" s="14">
        <f>IF(Таблица4672[[#This Row],[Логическое]]=1,Таблица4672[[#This Row],[Вартість, грн]]*20%,0)</f>
        <v>0</v>
      </c>
    </row>
    <row r="21" spans="1:12" ht="29" customHeight="1" x14ac:dyDescent="0.35">
      <c r="A21" s="12" t="s">
        <v>3</v>
      </c>
      <c r="B21" s="18" t="s">
        <v>21</v>
      </c>
      <c r="C21" s="12" t="s">
        <v>35</v>
      </c>
      <c r="D21" s="22">
        <v>44493</v>
      </c>
      <c r="E21" s="22">
        <v>44561</v>
      </c>
      <c r="F21" s="14">
        <f>Таблица467[[#This Row],[Столбец3]]-Таблица467[[#This Row],[Столбец2]]</f>
        <v>68</v>
      </c>
      <c r="G21" s="13">
        <v>39</v>
      </c>
      <c r="H21" s="14">
        <v>68.010416666666714</v>
      </c>
      <c r="I21" s="14">
        <f>Таблица467[[#This Row],[Факт]]-Таблица467[[#This Row],[План]]</f>
        <v>29.010416666666714</v>
      </c>
      <c r="J21" s="12">
        <f>IF(Таблица4672[[#This Row],[Факт - План]]&gt;10,1,0)</f>
        <v>1</v>
      </c>
      <c r="K21" s="14">
        <v>64029240</v>
      </c>
      <c r="L21" s="14">
        <f>IF(Таблица4672[[#This Row],[Логическое]]=1,Таблица4672[[#This Row],[Вартість, грн]]*20%,0)</f>
        <v>12805848</v>
      </c>
    </row>
    <row r="22" spans="1:12" ht="29" customHeight="1" x14ac:dyDescent="0.35">
      <c r="A22" s="12" t="s">
        <v>3</v>
      </c>
      <c r="B22" s="18" t="s">
        <v>22</v>
      </c>
      <c r="C22" s="12" t="s">
        <v>36</v>
      </c>
      <c r="D22" s="22">
        <v>44561</v>
      </c>
      <c r="E22" s="22">
        <v>44786</v>
      </c>
      <c r="F22" s="14">
        <f>Таблица467[[#This Row],[Столбец3]]-Таблица467[[#This Row],[Столбец2]]</f>
        <v>225</v>
      </c>
      <c r="G22" s="13">
        <v>82</v>
      </c>
      <c r="H22" s="14">
        <v>225.7708333333332</v>
      </c>
      <c r="I22" s="14">
        <f>Таблица467[[#This Row],[Факт]]-Таблица467[[#This Row],[План]]</f>
        <v>143.7708333333332</v>
      </c>
      <c r="J22" s="12">
        <f>IF(Таблица4672[[#This Row],[Факт - План]]&gt;10,1,0)</f>
        <v>1</v>
      </c>
      <c r="K22" s="14">
        <v>142097760</v>
      </c>
      <c r="L22" s="14">
        <f>IF(Таблица4672[[#This Row],[Логическое]]=1,Таблица4672[[#This Row],[Вартість, грн]]*20%,0)</f>
        <v>28419552</v>
      </c>
    </row>
    <row r="23" spans="1:12" ht="29" customHeight="1" x14ac:dyDescent="0.35">
      <c r="A23" s="12" t="s">
        <v>3</v>
      </c>
      <c r="B23" s="18" t="s">
        <v>24</v>
      </c>
      <c r="C23" s="12" t="s">
        <v>37</v>
      </c>
      <c r="D23" s="22">
        <v>44786</v>
      </c>
      <c r="E23" s="22">
        <v>44786</v>
      </c>
      <c r="F23" s="14">
        <f>Таблица467[[#This Row],[Столбец3]]-Таблица467[[#This Row],[Столбец2]]</f>
        <v>0</v>
      </c>
      <c r="G23" s="13">
        <v>48</v>
      </c>
      <c r="H23" s="14">
        <v>0</v>
      </c>
      <c r="I23" s="14">
        <f>Таблица467[[#This Row],[Факт]]-Таблица467[[#This Row],[План]]</f>
        <v>-48</v>
      </c>
      <c r="J23" s="12">
        <f>IF(Таблица4672[[#This Row],[Факт - План]]&gt;10,1,0)</f>
        <v>0</v>
      </c>
      <c r="K23" s="14">
        <v>69522408</v>
      </c>
      <c r="L23" s="14">
        <f>IF(Таблица4672[[#This Row],[Логическое]]=1,Таблица4672[[#This Row],[Вартість, грн]]*20%,0)</f>
        <v>0</v>
      </c>
    </row>
    <row r="24" spans="1:12" ht="29" customHeight="1" x14ac:dyDescent="0.35">
      <c r="A24" s="12" t="s">
        <v>3</v>
      </c>
      <c r="B24" s="18" t="s">
        <v>25</v>
      </c>
      <c r="C24" s="12" t="s">
        <v>29</v>
      </c>
      <c r="D24" s="22">
        <v>44786</v>
      </c>
      <c r="E24" s="22">
        <v>44786</v>
      </c>
      <c r="F24" s="14">
        <f>Таблица467[[#This Row],[Столбец3]]-Таблица467[[#This Row],[Столбец2]]</f>
        <v>0</v>
      </c>
      <c r="G24" s="13">
        <v>110</v>
      </c>
      <c r="H24" s="14">
        <v>0</v>
      </c>
      <c r="I24" s="14">
        <f>Таблица467[[#This Row],[Факт]]-Таблица467[[#This Row],[План]]</f>
        <v>-110</v>
      </c>
      <c r="J24" s="12">
        <f>IF(Таблица4672[[#This Row],[Факт - План]]&gt;10,1,0)</f>
        <v>0</v>
      </c>
      <c r="K24" s="14">
        <v>149884632</v>
      </c>
      <c r="L24" s="14">
        <f>IF(Таблица4672[[#This Row],[Логическое]]=1,Таблица4672[[#This Row],[Вартість, грн]]*20%,0)</f>
        <v>0</v>
      </c>
    </row>
    <row r="25" spans="1:12" ht="29" customHeight="1" x14ac:dyDescent="0.35">
      <c r="A25" s="12" t="s">
        <v>3</v>
      </c>
      <c r="B25" s="18" t="s">
        <v>26</v>
      </c>
      <c r="C25" s="12" t="s">
        <v>15</v>
      </c>
      <c r="D25" s="22">
        <v>44786</v>
      </c>
      <c r="E25" s="22">
        <v>44860</v>
      </c>
      <c r="F25" s="14">
        <f>Таблица467[[#This Row],[Столбец3]]-Таблица467[[#This Row],[Столбец2]]</f>
        <v>74</v>
      </c>
      <c r="G25" s="13">
        <v>30</v>
      </c>
      <c r="H25" s="14">
        <v>74</v>
      </c>
      <c r="I25" s="14">
        <f>Таблица467[[#This Row],[Факт]]-Таблица467[[#This Row],[План]]</f>
        <v>44</v>
      </c>
      <c r="J25" s="15">
        <f>IF(Таблица4672[[#This Row],[Факт - План]]&gt;10,1,0)</f>
        <v>1</v>
      </c>
      <c r="K25" s="14">
        <v>12760560</v>
      </c>
      <c r="L25" s="14">
        <f>IF(Таблица4672[[#This Row],[Логическое]]=1,Таблица4672[[#This Row],[Вартість, грн]]*20%,0)</f>
        <v>2552112</v>
      </c>
    </row>
    <row r="26" spans="1:12" ht="29" customHeight="1" x14ac:dyDescent="0.35">
      <c r="A26" s="24" t="s">
        <v>4</v>
      </c>
      <c r="B26" s="24"/>
      <c r="C26" s="24"/>
      <c r="D26" s="24"/>
      <c r="E26" s="24"/>
      <c r="F26" s="24"/>
      <c r="G26" s="37">
        <f>SUBTOTAL(109,Таблица4672[План])</f>
        <v>1125</v>
      </c>
      <c r="H26" s="25">
        <f>SUBTOTAL(109,Таблица4672[Факт])</f>
        <v>1737.833333333333</v>
      </c>
      <c r="I26" s="25">
        <f>SUBTOTAL(109,Таблица4672[Факт - План])</f>
        <v>624.83000000000015</v>
      </c>
      <c r="J26" s="24"/>
      <c r="K26" s="24"/>
      <c r="L26" s="25">
        <f>SUBTOTAL(109,Таблица4672[Штраф, грн])</f>
        <v>185680390.176</v>
      </c>
    </row>
  </sheetData>
  <phoneticPr fontId="6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62FBD-86D2-4C1E-AA7E-90AC096C38BA}">
  <dimension ref="C14:C18"/>
  <sheetViews>
    <sheetView workbookViewId="0">
      <selection activeCell="C14" sqref="C14"/>
    </sheetView>
  </sheetViews>
  <sheetFormatPr defaultRowHeight="14.5" x14ac:dyDescent="0.35"/>
  <cols>
    <col min="3" max="3" width="9.90625" bestFit="1" customWidth="1"/>
  </cols>
  <sheetData>
    <row r="14" spans="3:3" x14ac:dyDescent="0.35">
      <c r="C14" s="36">
        <v>44583</v>
      </c>
    </row>
    <row r="15" spans="3:3" x14ac:dyDescent="0.35">
      <c r="C15" s="36">
        <v>44592</v>
      </c>
    </row>
    <row r="16" spans="3:3" x14ac:dyDescent="0.35">
      <c r="C16" s="36">
        <v>44671</v>
      </c>
    </row>
    <row r="17" spans="3:3" x14ac:dyDescent="0.35">
      <c r="C17">
        <f>C16-C15</f>
        <v>79</v>
      </c>
    </row>
    <row r="18" spans="3:3" x14ac:dyDescent="0.35">
      <c r="C18">
        <f>C16-C14</f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15проц</vt:lpstr>
      <vt:lpstr>20проц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</dc:creator>
  <cp:lastModifiedBy>Андрей Овчаренко</cp:lastModifiedBy>
  <cp:lastPrinted>2022-11-17T15:23:15Z</cp:lastPrinted>
  <dcterms:created xsi:type="dcterms:W3CDTF">2017-11-03T12:47:52Z</dcterms:created>
  <dcterms:modified xsi:type="dcterms:W3CDTF">2022-12-19T12:02:21Z</dcterms:modified>
</cp:coreProperties>
</file>