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CMDB\reporting\100M\"/>
    </mc:Choice>
  </mc:AlternateContent>
  <xr:revisionPtr revIDLastSave="0" documentId="13_ncr:1_{023434FB-2DF7-4AF6-BD15-376B54CAAE2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лист" sheetId="24" r:id="rId1"/>
    <sheet name="лист (2)" sheetId="25" r:id="rId2"/>
    <sheet name="лист (3)" sheetId="26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26" l="1"/>
  <c r="I42" i="25"/>
  <c r="F46" i="26"/>
  <c r="C46" i="26"/>
  <c r="I45" i="26"/>
  <c r="J45" i="26" s="1"/>
  <c r="K45" i="26" s="1"/>
  <c r="I42" i="26"/>
  <c r="I40" i="26"/>
  <c r="J40" i="26" s="1"/>
  <c r="K40" i="26" s="1"/>
  <c r="I39" i="26"/>
  <c r="J39" i="26" s="1"/>
  <c r="K38" i="26"/>
  <c r="J38" i="26"/>
  <c r="I38" i="26"/>
  <c r="I30" i="26"/>
  <c r="F30" i="26"/>
  <c r="C30" i="26"/>
  <c r="K29" i="26"/>
  <c r="J29" i="26"/>
  <c r="I29" i="26"/>
  <c r="I28" i="26"/>
  <c r="I27" i="26"/>
  <c r="J27" i="26" s="1"/>
  <c r="K27" i="26" s="1"/>
  <c r="J26" i="26"/>
  <c r="K26" i="26" s="1"/>
  <c r="I26" i="26"/>
  <c r="I25" i="26"/>
  <c r="J25" i="26" s="1"/>
  <c r="K25" i="26" s="1"/>
  <c r="I24" i="26"/>
  <c r="J24" i="26" s="1"/>
  <c r="K24" i="26" s="1"/>
  <c r="I23" i="26"/>
  <c r="K22" i="26"/>
  <c r="J22" i="26"/>
  <c r="I22" i="26"/>
  <c r="I21" i="26"/>
  <c r="J21" i="26" s="1"/>
  <c r="F14" i="26"/>
  <c r="C14" i="26"/>
  <c r="I13" i="26"/>
  <c r="J13" i="26" s="1"/>
  <c r="K13" i="26" s="1"/>
  <c r="I12" i="26"/>
  <c r="I14" i="26" s="1"/>
  <c r="I11" i="26"/>
  <c r="J11" i="26" s="1"/>
  <c r="K11" i="26" s="1"/>
  <c r="I10" i="26"/>
  <c r="J10" i="26" s="1"/>
  <c r="K10" i="26" s="1"/>
  <c r="I9" i="26"/>
  <c r="J9" i="26" s="1"/>
  <c r="K9" i="26" s="1"/>
  <c r="J8" i="26"/>
  <c r="K8" i="26" s="1"/>
  <c r="I8" i="26"/>
  <c r="I7" i="26"/>
  <c r="J7" i="26" s="1"/>
  <c r="K7" i="26" s="1"/>
  <c r="J6" i="26"/>
  <c r="K6" i="26" s="1"/>
  <c r="I6" i="26"/>
  <c r="I5" i="26"/>
  <c r="I4" i="26"/>
  <c r="J4" i="26" s="1"/>
  <c r="I41" i="25"/>
  <c r="I40" i="25"/>
  <c r="I5" i="25"/>
  <c r="I4" i="25"/>
  <c r="I6" i="25"/>
  <c r="I7" i="25"/>
  <c r="I8" i="25"/>
  <c r="I9" i="25"/>
  <c r="I10" i="25"/>
  <c r="I11" i="25"/>
  <c r="I12" i="25"/>
  <c r="I13" i="25"/>
  <c r="I46" i="26" l="1"/>
  <c r="J41" i="26"/>
  <c r="K41" i="26" s="1"/>
  <c r="K46" i="26" s="1"/>
  <c r="J30" i="26"/>
  <c r="K21" i="26"/>
  <c r="K30" i="26" s="1"/>
  <c r="J14" i="26"/>
  <c r="K4" i="26"/>
  <c r="K14" i="26" s="1"/>
  <c r="K39" i="26"/>
  <c r="J46" i="26" l="1"/>
  <c r="I14" i="25" l="1"/>
  <c r="F46" i="25"/>
  <c r="C46" i="25"/>
  <c r="I45" i="25"/>
  <c r="J45" i="25" s="1"/>
  <c r="K45" i="25" s="1"/>
  <c r="J40" i="25"/>
  <c r="K40" i="25" s="1"/>
  <c r="I39" i="25"/>
  <c r="J39" i="25" s="1"/>
  <c r="K39" i="25" s="1"/>
  <c r="I38" i="25"/>
  <c r="J38" i="25" s="1"/>
  <c r="F30" i="25"/>
  <c r="C30" i="25"/>
  <c r="I29" i="25"/>
  <c r="J29" i="25" s="1"/>
  <c r="K29" i="25" s="1"/>
  <c r="I28" i="25"/>
  <c r="I27" i="25"/>
  <c r="J27" i="25" s="1"/>
  <c r="K27" i="25" s="1"/>
  <c r="I26" i="25"/>
  <c r="J26" i="25" s="1"/>
  <c r="K26" i="25" s="1"/>
  <c r="I25" i="25"/>
  <c r="J25" i="25" s="1"/>
  <c r="K25" i="25" s="1"/>
  <c r="I24" i="25"/>
  <c r="J24" i="25" s="1"/>
  <c r="K24" i="25" s="1"/>
  <c r="I23" i="25"/>
  <c r="I22" i="25"/>
  <c r="J22" i="25" s="1"/>
  <c r="K22" i="25" s="1"/>
  <c r="I21" i="25"/>
  <c r="I30" i="25" s="1"/>
  <c r="F14" i="25"/>
  <c r="C14" i="25"/>
  <c r="J13" i="25"/>
  <c r="K13" i="25" s="1"/>
  <c r="J11" i="25"/>
  <c r="K11" i="25" s="1"/>
  <c r="J10" i="25"/>
  <c r="K10" i="25" s="1"/>
  <c r="J9" i="25"/>
  <c r="K9" i="25" s="1"/>
  <c r="J8" i="25"/>
  <c r="K8" i="25" s="1"/>
  <c r="J7" i="25"/>
  <c r="K7" i="25" s="1"/>
  <c r="J6" i="25"/>
  <c r="K6" i="25" s="1"/>
  <c r="J4" i="25"/>
  <c r="I41" i="24"/>
  <c r="I46" i="24" s="1"/>
  <c r="I12" i="24"/>
  <c r="I30" i="24"/>
  <c r="I42" i="24"/>
  <c r="F46" i="24"/>
  <c r="C46" i="24"/>
  <c r="I45" i="24"/>
  <c r="J45" i="24" s="1"/>
  <c r="K45" i="24" s="1"/>
  <c r="I40" i="24"/>
  <c r="J40" i="24" s="1"/>
  <c r="K40" i="24" s="1"/>
  <c r="I39" i="24"/>
  <c r="J39" i="24" s="1"/>
  <c r="I38" i="24"/>
  <c r="K38" i="25" l="1"/>
  <c r="J14" i="25"/>
  <c r="K4" i="25"/>
  <c r="K14" i="25" s="1"/>
  <c r="J41" i="25"/>
  <c r="K41" i="25" s="1"/>
  <c r="J21" i="25"/>
  <c r="J41" i="24"/>
  <c r="K41" i="24" s="1"/>
  <c r="J38" i="24"/>
  <c r="K38" i="24" s="1"/>
  <c r="K39" i="24"/>
  <c r="I28" i="24"/>
  <c r="K46" i="25" l="1"/>
  <c r="J30" i="25"/>
  <c r="K21" i="25"/>
  <c r="K30" i="25" s="1"/>
  <c r="I46" i="25"/>
  <c r="J46" i="25"/>
  <c r="K46" i="24"/>
  <c r="J46" i="24"/>
  <c r="I23" i="24"/>
  <c r="F30" i="24" l="1"/>
  <c r="C30" i="24"/>
  <c r="I21" i="24" l="1"/>
  <c r="I22" i="24"/>
  <c r="I24" i="24"/>
  <c r="I25" i="24"/>
  <c r="J25" i="24" s="1"/>
  <c r="K25" i="24" s="1"/>
  <c r="I26" i="24"/>
  <c r="J26" i="24" s="1"/>
  <c r="K26" i="24" s="1"/>
  <c r="I27" i="24"/>
  <c r="J27" i="24" s="1"/>
  <c r="K27" i="24" s="1"/>
  <c r="I29" i="24"/>
  <c r="J29" i="24" s="1"/>
  <c r="K29" i="24" s="1"/>
  <c r="J22" i="24"/>
  <c r="K22" i="24" s="1"/>
  <c r="J24" i="24"/>
  <c r="K24" i="24" s="1"/>
  <c r="I13" i="24"/>
  <c r="I5" i="24"/>
  <c r="I4" i="24"/>
  <c r="J4" i="24" s="1"/>
  <c r="K4" i="24" s="1"/>
  <c r="I6" i="24"/>
  <c r="J6" i="24" s="1"/>
  <c r="K6" i="24" s="1"/>
  <c r="I7" i="24"/>
  <c r="J7" i="24" s="1"/>
  <c r="K7" i="24" s="1"/>
  <c r="I8" i="24"/>
  <c r="J8" i="24" s="1"/>
  <c r="K8" i="24" s="1"/>
  <c r="I9" i="24"/>
  <c r="J9" i="24" s="1"/>
  <c r="K9" i="24" s="1"/>
  <c r="I10" i="24"/>
  <c r="J10" i="24" s="1"/>
  <c r="K10" i="24" s="1"/>
  <c r="I11" i="24"/>
  <c r="J11" i="24" s="1"/>
  <c r="K11" i="24" s="1"/>
  <c r="J13" i="24" l="1"/>
  <c r="K13" i="24" s="1"/>
  <c r="I14" i="24"/>
  <c r="J21" i="24"/>
  <c r="J30" i="24"/>
  <c r="K21" i="24"/>
  <c r="K30" i="24" s="1"/>
  <c r="C14" i="24"/>
  <c r="F14" i="24"/>
  <c r="K14" i="24" l="1"/>
  <c r="J14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Овчаренко</author>
  </authors>
  <commentList>
    <comment ref="G4" authorId="0" shapeId="0" xr:uid="{4855E84B-0B97-4671-AC82-11F9252CFD8A}">
      <text>
        <r>
          <rPr>
            <b/>
            <sz val="9"/>
            <color indexed="81"/>
            <rFont val="Tahoma"/>
            <family val="2"/>
            <charset val="204"/>
          </rPr>
          <t>Андрей Овчаренко:</t>
        </r>
        <r>
          <rPr>
            <sz val="9"/>
            <color indexed="81"/>
            <rFont val="Tahoma"/>
            <family val="2"/>
            <charset val="204"/>
          </rPr>
          <t xml:space="preserve">
ДЗЕТА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Овчаренко</author>
  </authors>
  <commentList>
    <comment ref="G4" authorId="0" shapeId="0" xr:uid="{A806B0A7-A307-4615-B0AB-98E4A09CDB56}">
      <text>
        <r>
          <rPr>
            <b/>
            <sz val="9"/>
            <color indexed="81"/>
            <rFont val="Tahoma"/>
            <family val="2"/>
            <charset val="204"/>
          </rPr>
          <t>Андрей Овчаренко:</t>
        </r>
        <r>
          <rPr>
            <sz val="9"/>
            <color indexed="81"/>
            <rFont val="Tahoma"/>
            <family val="2"/>
            <charset val="204"/>
          </rPr>
          <t xml:space="preserve">
ДЗЕТА</t>
        </r>
      </text>
    </comment>
  </commentList>
</comments>
</file>

<file path=xl/sharedStrings.xml><?xml version="1.0" encoding="utf-8"?>
<sst xmlns="http://schemas.openxmlformats.org/spreadsheetml/2006/main" count="351" uniqueCount="63">
  <si>
    <t>Клубанівсько-Зубренківське №1</t>
  </si>
  <si>
    <t>Карайкозiвська №48</t>
  </si>
  <si>
    <t>Клубанівсько-Зубренківське №3</t>
  </si>
  <si>
    <t>Факт</t>
  </si>
  <si>
    <t>План</t>
  </si>
  <si>
    <t>Штраф, грн</t>
  </si>
  <si>
    <t>Факт - План</t>
  </si>
  <si>
    <t>Підготовчі роботи, мобілізація та монтаж</t>
  </si>
  <si>
    <t>Етап 1</t>
  </si>
  <si>
    <t>Демонтаж, демобілізація</t>
  </si>
  <si>
    <t>Етап 2</t>
  </si>
  <si>
    <t>Етап 8</t>
  </si>
  <si>
    <t>Кондуктор Ø473,08</t>
  </si>
  <si>
    <t>Перша технічна колона Ø339,7</t>
  </si>
  <si>
    <t>Друга технічна колона Ø244,5</t>
  </si>
  <si>
    <t>Етап 3</t>
  </si>
  <si>
    <t>Етап 4</t>
  </si>
  <si>
    <t>Технічна колона "хвостовик" Ø177,8</t>
  </si>
  <si>
    <t>Етап 5</t>
  </si>
  <si>
    <t>Етап 6</t>
  </si>
  <si>
    <t>Етап 7</t>
  </si>
  <si>
    <t>Експлуатаційна колона Ø177,8</t>
  </si>
  <si>
    <t>Експлуатаційна колона Ø168,3x139,7x127 (0 - 6000)</t>
  </si>
  <si>
    <t>Технічна колона "хвостовик" Ø193,7 (4400 - 5100)</t>
  </si>
  <si>
    <t>Друга технічна колона Ø244,5 (0 - 4500)</t>
  </si>
  <si>
    <t>Перша технічна колона Ø339,7 (0 - 2180)</t>
  </si>
  <si>
    <t>Кондуктор Ø473,1 (0 - 300)</t>
  </si>
  <si>
    <t>Кондуктор Ø473,1 (0 - 320)</t>
  </si>
  <si>
    <t>Перша технічна колона Ø339,7 (0 - 2600)</t>
  </si>
  <si>
    <t>Друга технічна колона Ø244,5 (0 - 4900)</t>
  </si>
  <si>
    <t>Технічна колона "хвостовик" Ø193,7 (4750 - 5560)</t>
  </si>
  <si>
    <t>15.01.2021</t>
  </si>
  <si>
    <t>29.01.2021</t>
  </si>
  <si>
    <t>31.03.2021</t>
  </si>
  <si>
    <t>30.07.2021</t>
  </si>
  <si>
    <t>31.08.2021</t>
  </si>
  <si>
    <t>12.01.2022</t>
  </si>
  <si>
    <t>Акт</t>
  </si>
  <si>
    <t>20.03.2020</t>
  </si>
  <si>
    <t>01.04.2020</t>
  </si>
  <si>
    <t>31.05.2020</t>
  </si>
  <si>
    <t>07.07.2020</t>
  </si>
  <si>
    <t>17.09.2021</t>
  </si>
  <si>
    <t>31.10.2021</t>
  </si>
  <si>
    <t>31.12.2021</t>
  </si>
  <si>
    <t>09.08.2022</t>
  </si>
  <si>
    <t>31.08.2022</t>
  </si>
  <si>
    <t>Начало</t>
  </si>
  <si>
    <t>Конец</t>
  </si>
  <si>
    <t>Етап</t>
  </si>
  <si>
    <t>Акт, грн</t>
  </si>
  <si>
    <t>Акт №</t>
  </si>
  <si>
    <t>7, 8,
9 и 10</t>
  </si>
  <si>
    <t>Назва робіт</t>
  </si>
  <si>
    <t>Простой</t>
  </si>
  <si>
    <t>Експлуатаційна колона "хвостовик" Ø127
минус керн 927288,00грн</t>
  </si>
  <si>
    <t>+</t>
  </si>
  <si>
    <t>оренда</t>
  </si>
  <si>
    <t>в т.ч. аварія</t>
  </si>
  <si>
    <t>12.07.2022</t>
  </si>
  <si>
    <t>Простой з 24.02.2022 по 02.07.2022, включно</t>
  </si>
  <si>
    <t>Простой з 28.12.2019 по 19.02.2020, включно</t>
  </si>
  <si>
    <t>Простой сз 10.11.2020 по 12.01.2021, включно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</si>
</sst>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4" tint="-0.249977111117893"/>
      <name val="Calibri"/>
      <family val="2"/>
      <charset val="204"/>
      <scheme val="minor"/>
    </font>
    <font>
      <b/>
      <sz val="12"/>
      <color theme="9" tint="-0.249977111117893"/>
      <name val="Calibri"/>
      <family val="2"/>
      <charset val="204"/>
      <scheme val="minor"/>
    </font>
    <font>
      <b/>
      <sz val="12"/>
      <color theme="5" tint="-0.24997711111789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0" fillId="0" borderId="0" xfId="0" applyAlignment="1">
      <alignment horizontal="center" vertical="center" wrapText="1"/>
    </xf>
    <xf numFmtId="9" fontId="5" fillId="0" borderId="0" xfId="0" applyNumberFormat="1" applyFont="1"/>
    <xf numFmtId="0" fontId="3" fillId="0" borderId="0" xfId="0" applyFont="1" applyAlignment="1">
      <alignment vertical="center" wrapText="1"/>
    </xf>
    <xf numFmtId="2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14" fontId="4" fillId="0" borderId="0" xfId="0" quotePrefix="1" applyNumberFormat="1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vertical="center" wrapText="1"/>
    </xf>
    <xf numFmtId="4" fontId="7" fillId="0" borderId="0" xfId="0" applyNumberFormat="1" applyFont="1" applyAlignment="1">
      <alignment vertical="center" wrapText="1"/>
    </xf>
    <xf numFmtId="2" fontId="7" fillId="0" borderId="0" xfId="0" applyNumberFormat="1" applyFont="1" applyAlignment="1">
      <alignment vertical="center" wrapText="1"/>
    </xf>
    <xf numFmtId="0" fontId="4" fillId="0" borderId="0" xfId="0" quotePrefix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vertical="center" wrapText="1"/>
    </xf>
    <xf numFmtId="4" fontId="8" fillId="0" borderId="0" xfId="0" applyNumberFormat="1" applyFont="1" applyAlignment="1">
      <alignment vertical="center" wrapText="1"/>
    </xf>
    <xf numFmtId="2" fontId="8" fillId="0" borderId="0" xfId="0" applyNumberFormat="1" applyFont="1" applyAlignment="1">
      <alignment vertical="center" wrapText="1"/>
    </xf>
    <xf numFmtId="14" fontId="3" fillId="0" borderId="0" xfId="0" applyNumberFormat="1" applyFont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14" fontId="2" fillId="0" borderId="0" xfId="0" applyNumberFormat="1" applyFont="1" applyAlignment="1">
      <alignment horizontal="right" vertical="center" wrapText="1"/>
    </xf>
    <xf numFmtId="14" fontId="2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vertical="center" wrapText="1"/>
    </xf>
    <xf numFmtId="14" fontId="4" fillId="0" borderId="1" xfId="0" quotePrefix="1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  <xf numFmtId="4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4" fillId="0" borderId="1" xfId="0" quotePrefix="1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2" fontId="3" fillId="3" borderId="0" xfId="0" applyNumberFormat="1" applyFont="1" applyFill="1" applyAlignment="1">
      <alignment vertical="center" wrapText="1"/>
    </xf>
    <xf numFmtId="4" fontId="3" fillId="3" borderId="0" xfId="0" applyNumberFormat="1" applyFont="1" applyFill="1" applyAlignment="1">
      <alignment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vertical="center" wrapText="1"/>
    </xf>
    <xf numFmtId="2" fontId="4" fillId="4" borderId="0" xfId="0" applyNumberFormat="1" applyFont="1" applyFill="1" applyBorder="1" applyAlignment="1">
      <alignment vertical="center" wrapText="1"/>
    </xf>
    <xf numFmtId="4" fontId="4" fillId="4" borderId="0" xfId="0" applyNumberFormat="1" applyFont="1" applyFill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vertical="center" wrapText="1"/>
    </xf>
    <xf numFmtId="0" fontId="7" fillId="0" borderId="1" xfId="0" quotePrefix="1" applyNumberFormat="1" applyFont="1" applyBorder="1" applyAlignment="1">
      <alignment horizontal="center" vertical="center" wrapText="1"/>
    </xf>
    <xf numFmtId="0" fontId="7" fillId="0" borderId="0" xfId="0" quotePrefix="1" applyFont="1" applyAlignment="1">
      <alignment horizontal="center" vertical="center" wrapText="1"/>
    </xf>
    <xf numFmtId="14" fontId="7" fillId="0" borderId="0" xfId="0" quotePrefix="1" applyNumberFormat="1" applyFont="1" applyAlignment="1">
      <alignment vertical="center" wrapText="1"/>
    </xf>
    <xf numFmtId="4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" fontId="7" fillId="0" borderId="1" xfId="0" applyNumberFormat="1" applyFont="1" applyBorder="1" applyAlignment="1">
      <alignment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4" fontId="7" fillId="0" borderId="1" xfId="0" quotePrefix="1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vertical="center" wrapText="1"/>
    </xf>
    <xf numFmtId="2" fontId="7" fillId="5" borderId="0" xfId="0" applyNumberFormat="1" applyFont="1" applyFill="1" applyBorder="1" applyAlignment="1">
      <alignment vertical="center" wrapText="1"/>
    </xf>
    <xf numFmtId="4" fontId="7" fillId="5" borderId="0" xfId="0" applyNumberFormat="1" applyFont="1" applyFill="1" applyBorder="1" applyAlignment="1">
      <alignment vertical="center" wrapText="1"/>
    </xf>
    <xf numFmtId="14" fontId="7" fillId="0" borderId="0" xfId="0" applyNumberFormat="1" applyFont="1" applyAlignment="1">
      <alignment horizontal="right" vertical="center" wrapText="1"/>
    </xf>
    <xf numFmtId="4" fontId="4" fillId="6" borderId="1" xfId="0" applyNumberFormat="1" applyFont="1" applyFill="1" applyBorder="1" applyAlignment="1">
      <alignment vertical="center" wrapText="1"/>
    </xf>
    <xf numFmtId="4" fontId="3" fillId="6" borderId="0" xfId="0" applyNumberFormat="1" applyFont="1" applyFill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NumberFormat="1" applyFont="1" applyBorder="1" applyAlignment="1">
      <alignment horizontal="center" vertical="center" wrapText="1"/>
    </xf>
    <xf numFmtId="4" fontId="8" fillId="6" borderId="1" xfId="0" applyNumberFormat="1" applyFont="1" applyFill="1" applyBorder="1" applyAlignment="1">
      <alignment vertical="center" wrapText="1"/>
    </xf>
    <xf numFmtId="4" fontId="8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4" fontId="4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/>
    <xf numFmtId="4" fontId="7" fillId="0" borderId="0" xfId="0" applyNumberFormat="1" applyFont="1"/>
    <xf numFmtId="14" fontId="13" fillId="0" borderId="0" xfId="0" applyNumberFormat="1" applyFont="1" applyAlignment="1">
      <alignment vertical="center" wrapText="1"/>
    </xf>
    <xf numFmtId="14" fontId="13" fillId="0" borderId="0" xfId="0" applyNumberFormat="1" applyFont="1" applyAlignment="1">
      <alignment horizontal="right" vertical="center" wrapText="1"/>
    </xf>
  </cellXfs>
  <cellStyles count="2">
    <cellStyle name="Обычный" xfId="0" builtinId="0"/>
    <cellStyle name="Обычный 2" xfId="1" xr:uid="{287F091F-B9B9-4901-89BD-5600F9D07466}"/>
  </cellStyles>
  <dxfs count="1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border outline="0">
        <top style="thin">
          <color rgb="FFA5A5A5"/>
        </top>
        <bottom style="double">
          <color rgb="FFA5A5A5"/>
        </bottom>
      </border>
    </dxf>
    <dxf>
      <fill>
        <patternFill patternType="solid">
          <fgColor rgb="FF000000"/>
          <bgColor rgb="FFFCE4D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48235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border outline="0">
        <top style="thin">
          <color rgb="FFA5A5A5"/>
        </top>
        <bottom style="double">
          <color rgb="FFA5A5A5"/>
        </bottom>
      </border>
    </dxf>
    <dxf>
      <fill>
        <patternFill patternType="solid">
          <fgColor rgb="FF000000"/>
          <bgColor rgb="FFE2EFD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48235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305496"/>
        <name val="Calibri"/>
        <family val="2"/>
        <charset val="204"/>
        <scheme val="none"/>
      </font>
      <fill>
        <patternFill patternType="solid">
          <fgColor rgb="FF000000"/>
          <bgColor rgb="FFD9E1F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rgb="FFA5A5A5"/>
        </top>
        <bottom style="double">
          <color rgb="FFA5A5A5"/>
        </bottom>
      </border>
    </dxf>
    <dxf>
      <fill>
        <patternFill patternType="solid">
          <fgColor rgb="FF000000"/>
          <bgColor rgb="FFFCE4D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48235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border outline="0">
        <top style="thin">
          <color rgb="FFA5A5A5"/>
        </top>
        <bottom style="double">
          <color rgb="FFA5A5A5"/>
        </bottom>
      </border>
    </dxf>
    <dxf>
      <fill>
        <patternFill patternType="solid">
          <fgColor rgb="FF000000"/>
          <bgColor rgb="FFE2EFD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48235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305496"/>
        <name val="Calibri"/>
        <family val="2"/>
        <charset val="204"/>
        <scheme val="none"/>
      </font>
      <fill>
        <patternFill patternType="solid">
          <fgColor rgb="FF000000"/>
          <bgColor rgb="FFD9E1F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5" tint="0.79998168889431442"/>
        </patternFill>
      </fill>
    </dxf>
    <dxf>
      <border outline="0">
        <top style="thin">
          <color theme="6"/>
        </top>
        <bottom style="double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</dxf>
    <dxf>
      <border outline="0">
        <top style="thin">
          <color theme="6"/>
        </top>
        <bottom style="double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1FD35-73ED-43C2-9FD9-7BF04033858A}" name="Таблица46734" displayName="Таблица46734" ref="A3:K14" totalsRowCount="1" headerRowDxfId="197" dataDxfId="196" totalsRowDxfId="195">
  <autoFilter ref="A3:K13" xr:uid="{A56199DB-EAD2-42BD-A1E2-09CBD0338F78}"/>
  <sortState xmlns:xlrd2="http://schemas.microsoft.com/office/spreadsheetml/2017/richdata2" ref="A4:K11">
    <sortCondition ref="A3:A13"/>
  </sortState>
  <tableColumns count="11">
    <tableColumn id="9" xr3:uid="{EF97F740-18D7-4378-AEF9-115B50460C34}" name="Етап" dataDxfId="194" totalsRowDxfId="193"/>
    <tableColumn id="2" xr3:uid="{C4B60269-9788-4313-8B77-4FDEB3DD7A95}" name="Назва робіт" dataDxfId="192" totalsRowDxfId="191"/>
    <tableColumn id="16" xr3:uid="{3F8F12D0-BB97-4633-BDBE-55C54A9D23B8}" name="План" totalsRowFunction="sum" dataDxfId="190" totalsRowDxfId="189"/>
    <tableColumn id="15" xr3:uid="{D1A07016-C631-42E6-AC5B-B9699FE423AA}" name="Акт №" dataDxfId="188" totalsRowDxfId="187"/>
    <tableColumn id="17" xr3:uid="{D5C5312F-5321-42E9-9CEE-F36991F03EEC}" name="Акт" dataDxfId="186" totalsRowDxfId="185"/>
    <tableColumn id="14" xr3:uid="{D2A7F957-462E-4880-82AD-987FF0DE3605}" name="Акт, грн" totalsRowFunction="sum" dataDxfId="184" totalsRowDxfId="183"/>
    <tableColumn id="10" xr3:uid="{546B1A63-E0C3-4EE8-BF4F-5E70CEB530D1}" name="Начало" dataDxfId="182" totalsRowDxfId="181"/>
    <tableColumn id="11" xr3:uid="{13FF5F9F-68EE-4B44-A363-CD32E8A8B357}" name="Конец" dataDxfId="180" totalsRowDxfId="179"/>
    <tableColumn id="12" xr3:uid="{94DE996F-95F0-4855-A99A-8F10256B4419}" name="Факт" totalsRowFunction="custom" dataDxfId="178" totalsRowDxfId="177">
      <calculatedColumnFormula>Таблица46734[[#This Row],[Конец]]-Таблица46734[[#This Row],[Начало]]+1</calculatedColumnFormula>
      <totalsRowFormula>SUBTOTAL(109,Таблица46734[Факт])-I12</totalsRowFormula>
    </tableColumn>
    <tableColumn id="5" xr3:uid="{195E5E76-02C2-4685-B296-D2DDC7EE2E93}" name="Факт - План" totalsRowFunction="sum" dataDxfId="176" totalsRowDxfId="175">
      <calculatedColumnFormula>Таблица46734[[#This Row],[Факт]]-Таблица46734[[#This Row],[План]]</calculatedColumnFormula>
    </tableColumn>
    <tableColumn id="8" xr3:uid="{A2E72F92-5CB6-45BC-85B3-467270B090DB}" name="Штраф, грн" totalsRowFunction="sum" dataDxfId="174" totalsRowDxfId="173">
      <calculatedColumnFormula>IF(#REF!=1,Таблица46734[[#This Row],[Акт, грн]]*$K$1,0)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18D608-B717-485B-8F46-226FFFA278EB}" name="Таблица6" displayName="Таблица6" ref="A20:K30" totalsRowCount="1" headerRowDxfId="172" dataDxfId="171" totalsRowDxfId="169" tableBorderDxfId="170">
  <autoFilter ref="A20:K29" xr:uid="{2618D608-B717-485B-8F46-226FFFA278EB}"/>
  <tableColumns count="11">
    <tableColumn id="1" xr3:uid="{8EDFBE60-50EC-4227-A1A3-ABA949985A4D}" name="Етап" dataDxfId="168" totalsRowDxfId="167"/>
    <tableColumn id="2" xr3:uid="{332ECAD3-CD5D-4CAE-87C2-84783DB1F3AC}" name="Назва робіт" dataDxfId="166" totalsRowDxfId="165"/>
    <tableColumn id="3" xr3:uid="{5361FCA6-41C6-46A1-B43E-01046ECA2133}" name="План" totalsRowFunction="sum" dataDxfId="164" totalsRowDxfId="163"/>
    <tableColumn id="4" xr3:uid="{CEC038BB-A33E-42F0-927E-455F9262EFF6}" name="Акт №" dataDxfId="162" totalsRowDxfId="161"/>
    <tableColumn id="5" xr3:uid="{76F1A07F-2819-4677-A46A-29CDB9C871A9}" name="Акт" dataDxfId="160" totalsRowDxfId="159"/>
    <tableColumn id="6" xr3:uid="{DAEDBA4F-F7C9-414D-A332-7877856B89F5}" name="Акт, грн" totalsRowFunction="sum" dataDxfId="158" totalsRowDxfId="157"/>
    <tableColumn id="7" xr3:uid="{B091DF18-C78F-4AE7-82C8-EC4C618939E0}" name="Начало" dataDxfId="156" totalsRowDxfId="155"/>
    <tableColumn id="8" xr3:uid="{38AF39E3-709A-43BA-AB90-7FE60BC5C619}" name="Конец" dataDxfId="154" totalsRowDxfId="153"/>
    <tableColumn id="9" xr3:uid="{24C7D31B-6EF4-4E58-8753-557EC0BF92C7}" name="Факт" totalsRowFunction="custom" dataDxfId="152" totalsRowDxfId="151">
      <calculatedColumnFormula>Таблица6[[#This Row],[Конец]]-Таблица6[[#This Row],[Начало]]+1</calculatedColumnFormula>
      <totalsRowFormula>SUBTOTAL(109,Таблица6[Факт])-I28</totalsRowFormula>
    </tableColumn>
    <tableColumn id="10" xr3:uid="{EF3A27FF-ABF8-4B9D-859F-C1AEE2B1C2D4}" name="Факт - План" totalsRowFunction="sum" dataDxfId="150" totalsRowDxfId="149">
      <calculatedColumnFormula>Таблица6[[#This Row],[Факт]]-Таблица6[[#This Row],[План]]</calculatedColumnFormula>
    </tableColumn>
    <tableColumn id="11" xr3:uid="{1E1856CD-49CA-4E20-8659-15CF614E4B99}" name="Штраф, грн" totalsRowFunction="sum" dataDxfId="148" totalsRowDxfId="147">
      <calculatedColumnFormula>IF(Таблица6[[#This Row],[Факт - План]]&gt;10,Таблица6[[#This Row],[Акт, грн]]*$K$1,0)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08C14B-C400-4E59-BF15-8B6B04039631}" name="Таблица68" displayName="Таблица68" ref="A37:K46" totalsRowCount="1" headerRowDxfId="146" dataDxfId="145" totalsRowDxfId="143" tableBorderDxfId="144">
  <autoFilter ref="A37:K45" xr:uid="{9508C14B-C400-4E59-BF15-8B6B04039631}"/>
  <tableColumns count="11">
    <tableColumn id="1" xr3:uid="{4A66F2A6-64F3-4056-8C31-E73C2C8A4C5A}" name="Етап" totalsRowDxfId="142"/>
    <tableColumn id="2" xr3:uid="{A2B55661-DEB5-43AE-8737-BB0B4048A584}" name="Назва робіт" totalsRowDxfId="141"/>
    <tableColumn id="3" xr3:uid="{B05DD674-C497-41E7-9D69-E212003235F2}" name="План" totalsRowFunction="sum" totalsRowDxfId="140"/>
    <tableColumn id="4" xr3:uid="{3DF984F8-C0F0-4EC6-A78F-380221C0EF61}" name="Акт №" totalsRowDxfId="139"/>
    <tableColumn id="5" xr3:uid="{AAAB1417-113C-4E01-A3F0-501DA047ED01}" name="Акт" totalsRowDxfId="138"/>
    <tableColumn id="6" xr3:uid="{EAE07D87-C6D1-4565-A420-A3DCED5B0522}" name="Акт, грн" totalsRowFunction="sum" totalsRowDxfId="137"/>
    <tableColumn id="7" xr3:uid="{8AE3BB76-5444-4A9B-8BFD-AD31C14C2F31}" name="Начало" totalsRowDxfId="136"/>
    <tableColumn id="8" xr3:uid="{42EF9E0E-7D71-41C7-89F0-71A3CBC52747}" name="Конец" totalsRowDxfId="135"/>
    <tableColumn id="9" xr3:uid="{02B96781-07F0-42EA-A7CE-73AD64F4EFDC}" name="Факт" totalsRowFunction="custom" totalsRowDxfId="134">
      <calculatedColumnFormula>Таблица68[[#This Row],[Конец]]-Таблица68[[#This Row],[Начало]]+1</calculatedColumnFormula>
      <totalsRowFormula>SUBTOTAL(109,Таблица68[Факт])-I42</totalsRowFormula>
    </tableColumn>
    <tableColumn id="10" xr3:uid="{2864CD4D-3F57-4301-BFBE-B78B6DC4C388}" name="Факт - План" totalsRowFunction="sum" totalsRowDxfId="133">
      <calculatedColumnFormula>Таблица68[[#This Row],[Факт]]-Таблица68[[#This Row],[План]]</calculatedColumnFormula>
    </tableColumn>
    <tableColumn id="11" xr3:uid="{BDAF8D9E-C459-4D03-8CDD-0FDCF85B1D34}" name="Штраф, грн" totalsRowFunction="sum" totalsRowDxfId="132">
      <calculatedColumnFormula>IF(Таблица68[[#This Row],[Факт - План]]&gt;10,Таблица68[[#This Row],[Акт, грн]]*$K$1,0)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2FBF2C-8D24-4BD5-B222-1979C385B522}" name="Таблица467342" displayName="Таблица467342" ref="A3:K14" totalsRowCount="1" headerRowDxfId="131" dataDxfId="130" totalsRowDxfId="129">
  <autoFilter ref="A3:K13" xr:uid="{A56199DB-EAD2-42BD-A1E2-09CBD0338F78}"/>
  <sortState xmlns:xlrd2="http://schemas.microsoft.com/office/spreadsheetml/2017/richdata2" ref="A4:K11">
    <sortCondition ref="A3:A13"/>
  </sortState>
  <tableColumns count="11">
    <tableColumn id="9" xr3:uid="{3A2122FC-4C91-4C96-86F0-5ED82BC4A39B}" name="Етап" dataDxfId="98" totalsRowDxfId="97"/>
    <tableColumn id="2" xr3:uid="{232E01F4-7F4D-4763-8566-8D6E0715E8CB}" name="Назва робіт" dataDxfId="96" totalsRowDxfId="95"/>
    <tableColumn id="16" xr3:uid="{E2A15CE0-005B-4A80-837D-FF06DB5A98C4}" name="План" totalsRowFunction="sum" dataDxfId="94" totalsRowDxfId="93"/>
    <tableColumn id="15" xr3:uid="{EB9D9E1E-3B06-4D4C-B88D-D21ADC845C83}" name="Акт №" dataDxfId="92" totalsRowDxfId="91"/>
    <tableColumn id="17" xr3:uid="{33CC1BC1-4C53-4BFF-8999-681CDC66DE5C}" name="Акт" dataDxfId="90" totalsRowDxfId="89"/>
    <tableColumn id="14" xr3:uid="{C019A16B-5659-4225-8E29-EAA3E073294C}" name="Акт, грн" totalsRowFunction="sum" dataDxfId="88" totalsRowDxfId="87"/>
    <tableColumn id="10" xr3:uid="{7AC529E4-80EF-4706-B612-0EC457AC6DE5}" name="Начало" dataDxfId="86" totalsRowDxfId="85"/>
    <tableColumn id="11" xr3:uid="{65BC1A5D-4289-4116-BD48-19D6818390D6}" name="Конец" dataDxfId="84" totalsRowDxfId="83"/>
    <tableColumn id="12" xr3:uid="{17575FDA-8C7B-423A-864F-1883BDAB9DAE}" name="Факт" totalsRowFunction="custom" dataDxfId="82" totalsRowDxfId="81">
      <calculatedColumnFormula>Таблица467342[[#This Row],[Конец]]-Таблица467342[[#This Row],[Начало]]+1</calculatedColumnFormula>
      <totalsRowFormula>SUBTOTAL(109,Таблица467342[Факт])-I12-I5</totalsRowFormula>
    </tableColumn>
    <tableColumn id="5" xr3:uid="{5B20B5CB-42AF-4496-AE70-C069DF18DCCB}" name="Факт - План" totalsRowFunction="sum" dataDxfId="80" totalsRowDxfId="79">
      <calculatedColumnFormula>Таблица467342[[#This Row],[Факт]]-Таблица467342[[#This Row],[План]]</calculatedColumnFormula>
    </tableColumn>
    <tableColumn id="8" xr3:uid="{09B75F9F-F73E-46E0-B382-06C7193CAD6F}" name="Штраф, грн" totalsRowFunction="sum" dataDxfId="78" totalsRowDxfId="77">
      <calculatedColumnFormula>IF(#REF!=1,Таблица467342[[#This Row],[Акт, грн]]*$K$1,0)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CC650A-CD8D-4851-8CB2-CEE24B16D417}" name="Таблица63" displayName="Таблица63" ref="A20:K30" totalsRowCount="1" headerRowDxfId="128" dataDxfId="127" totalsRowDxfId="126" tableBorderDxfId="125">
  <autoFilter ref="A20:K29" xr:uid="{2618D608-B717-485B-8F46-226FFFA278EB}"/>
  <tableColumns count="11">
    <tableColumn id="1" xr3:uid="{2EDFEB3B-37A1-46EC-B6DC-B8B128398157}" name="Етап" dataDxfId="123" totalsRowDxfId="124"/>
    <tableColumn id="2" xr3:uid="{4478CE4D-5A18-4ECB-8F60-543D7DB7A75B}" name="Назва робіт" dataDxfId="121" totalsRowDxfId="122"/>
    <tableColumn id="3" xr3:uid="{3CCC51EC-FC81-4D0A-91DD-90E234F6B6A6}" name="План" totalsRowFunction="sum" dataDxfId="119" totalsRowDxfId="120"/>
    <tableColumn id="4" xr3:uid="{C3CA69E9-ABC4-497E-80AA-0219EAB092EB}" name="Акт №" dataDxfId="117" totalsRowDxfId="118"/>
    <tableColumn id="5" xr3:uid="{0E6CA5F9-29BB-47A0-B898-D61973DF4AE8}" name="Акт" dataDxfId="115" totalsRowDxfId="116"/>
    <tableColumn id="6" xr3:uid="{F6CCCC60-A0B2-467D-A79A-68AD06F957BF}" name="Акт, грн" totalsRowFunction="sum" dataDxfId="113" totalsRowDxfId="114"/>
    <tableColumn id="7" xr3:uid="{7AB14CDF-1759-4035-9D62-8468D47EA8A5}" name="Начало" dataDxfId="111" totalsRowDxfId="112"/>
    <tableColumn id="8" xr3:uid="{A301424C-B7EE-4A46-8583-9789EA4BD5F2}" name="Конец" dataDxfId="109" totalsRowDxfId="110"/>
    <tableColumn id="9" xr3:uid="{F3308698-78B1-4DA4-90E7-C8E85B9892CB}" name="Факт" totalsRowFunction="custom" dataDxfId="107" totalsRowDxfId="108">
      <calculatedColumnFormula>Таблица63[[#This Row],[Конец]]-Таблица63[[#This Row],[Начало]]+1</calculatedColumnFormula>
      <totalsRowFormula>SUBTOTAL(109,Таблица63[Факт])-I28</totalsRowFormula>
    </tableColumn>
    <tableColumn id="10" xr3:uid="{6293B449-204B-4C9B-8284-FD8D64654047}" name="Факт - План" totalsRowFunction="sum" dataDxfId="105" totalsRowDxfId="106">
      <calculatedColumnFormula>Таблица63[[#This Row],[Факт]]-Таблица63[[#This Row],[План]]</calculatedColumnFormula>
    </tableColumn>
    <tableColumn id="11" xr3:uid="{32DD1483-8DAB-4D84-B9BD-6DB6A46EF941}" name="Штраф, грн" totalsRowFunction="sum" dataDxfId="103" totalsRowDxfId="104">
      <calculatedColumnFormula>IF(Таблица63[[#This Row],[Факт - План]]&gt;10,Таблица63[[#This Row],[Акт, грн]]*$K$1,0)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13D4A5-3DFE-4336-AA4B-9565B173771C}" name="Таблица685" displayName="Таблица685" ref="A37:K46" totalsRowCount="1" headerRowDxfId="102" dataDxfId="101" totalsRowDxfId="100" tableBorderDxfId="99">
  <autoFilter ref="A37:K45" xr:uid="{9508C14B-C400-4E59-BF15-8B6B04039631}"/>
  <tableColumns count="11">
    <tableColumn id="1" xr3:uid="{7C3F97DD-5DEB-41F3-AF41-193B061891F9}" name="Етап" totalsRowDxfId="76"/>
    <tableColumn id="2" xr3:uid="{A14748AB-5537-491D-8612-23E1F537499B}" name="Назва робіт" totalsRowDxfId="75"/>
    <tableColumn id="3" xr3:uid="{D2E56C60-913B-496E-B84F-8525293E092F}" name="План" totalsRowFunction="sum" totalsRowDxfId="74"/>
    <tableColumn id="4" xr3:uid="{3F72E7AC-18F3-4EB3-AFB5-313136805151}" name="Акт №" totalsRowDxfId="73"/>
    <tableColumn id="5" xr3:uid="{75C96FDE-A658-4301-879B-9DB001B480B1}" name="Акт" totalsRowDxfId="72"/>
    <tableColumn id="6" xr3:uid="{9082FC13-7990-4C42-A7EB-9729698A0D0E}" name="Акт, грн" totalsRowFunction="sum" totalsRowDxfId="71"/>
    <tableColumn id="7" xr3:uid="{C6529A42-6DA7-4A8C-B794-0EA4D8C653A8}" name="Начало" totalsRowDxfId="70"/>
    <tableColumn id="8" xr3:uid="{F467B8F6-E426-4D18-BF64-9E7A701024DE}" name="Конец" totalsRowDxfId="69"/>
    <tableColumn id="9" xr3:uid="{B85DD893-4A7C-4657-BBFB-B044E1E87A6D}" name="Факт" totalsRowFunction="custom" totalsRowDxfId="68">
      <calculatedColumnFormula>Таблица685[[#This Row],[Конец]]-Таблица685[[#This Row],[Начало]]+1</calculatedColumnFormula>
      <totalsRowFormula>SUBTOTAL(109,Таблица685[Факт])-I42</totalsRowFormula>
    </tableColumn>
    <tableColumn id="10" xr3:uid="{2BDD391D-C55A-44C5-9A05-6E45D14C0928}" name="Факт - План" totalsRowFunction="sum" totalsRowDxfId="67">
      <calculatedColumnFormula>Таблица685[[#This Row],[Факт]]-Таблица685[[#This Row],[План]]</calculatedColumnFormula>
    </tableColumn>
    <tableColumn id="11" xr3:uid="{A45C2164-5F24-4F8F-ABCE-3725D488DA35}" name="Штраф, грн" totalsRowFunction="sum" totalsRowDxfId="66">
      <calculatedColumnFormula>IF(Таблица685[[#This Row],[Факт - План]]&gt;10,Таблица685[[#This Row],[Акт, грн]]*$K$1,0)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114A65-5A63-4EB0-899A-3E0FD1AEB543}" name="Таблица4673426" displayName="Таблица4673426" ref="A3:K14" totalsRowCount="1" headerRowDxfId="65" dataDxfId="64" totalsRowDxfId="63">
  <autoFilter ref="A3:K13" xr:uid="{A56199DB-EAD2-42BD-A1E2-09CBD0338F78}"/>
  <sortState xmlns:xlrd2="http://schemas.microsoft.com/office/spreadsheetml/2017/richdata2" ref="A4:K11">
    <sortCondition ref="A3:A13"/>
  </sortState>
  <tableColumns count="11">
    <tableColumn id="9" xr3:uid="{E02035B9-AE20-412B-8D62-AC9CA01C24B9}" name="Етап" dataDxfId="61" totalsRowDxfId="62"/>
    <tableColumn id="2" xr3:uid="{DE931732-EA4B-460C-AF80-55932CD34EFE}" name="Назва робіт" dataDxfId="59" totalsRowDxfId="60"/>
    <tableColumn id="16" xr3:uid="{E4421DEE-445E-45B7-8D87-21C3C2D7FB0D}" name="План" totalsRowFunction="sum" dataDxfId="57" totalsRowDxfId="58"/>
    <tableColumn id="15" xr3:uid="{4C03DDE1-0602-4A0D-AC66-6B705CDF37FF}" name="Акт №" dataDxfId="55" totalsRowDxfId="56"/>
    <tableColumn id="17" xr3:uid="{0A090A93-978C-47B0-9A84-9BE9789A69E4}" name="Акт" dataDxfId="53" totalsRowDxfId="54"/>
    <tableColumn id="14" xr3:uid="{0D26D755-A0C5-4301-8CD1-156D9DE671FD}" name="Акт, грн" totalsRowFunction="sum" dataDxfId="51" totalsRowDxfId="52"/>
    <tableColumn id="10" xr3:uid="{95DF6C44-52D1-4D03-899B-69302CFDABEA}" name="Начало" dataDxfId="49" totalsRowDxfId="50"/>
    <tableColumn id="11" xr3:uid="{140BFE71-0862-4912-BA03-9A16F469DDBE}" name="Конец" dataDxfId="47" totalsRowDxfId="48"/>
    <tableColumn id="12" xr3:uid="{0FFD8FA5-83AC-4E20-8408-CCEDDF17A4F4}" name="Факт" totalsRowFunction="custom" dataDxfId="45" totalsRowDxfId="46">
      <calculatedColumnFormula>Таблица4673426[[#This Row],[Конец]]-Таблица4673426[[#This Row],[Начало]]+1</calculatedColumnFormula>
      <totalsRowFormula>SUBTOTAL(109,Таблица4673426[Факт])-I12-I5</totalsRowFormula>
    </tableColumn>
    <tableColumn id="5" xr3:uid="{FC70299F-D014-4FF1-A4EB-EE7B7AB43B61}" name="Факт - План" totalsRowFunction="sum" dataDxfId="43" totalsRowDxfId="44">
      <calculatedColumnFormula>Таблица4673426[[#This Row],[Факт]]-Таблица4673426[[#This Row],[План]]</calculatedColumnFormula>
    </tableColumn>
    <tableColumn id="8" xr3:uid="{4EEBC5B6-15FF-4F9C-8465-49214AF3DD76}" name="Штраф, грн" totalsRowFunction="sum" dataDxfId="41" totalsRowDxfId="42">
      <calculatedColumnFormula>IF(#REF!=1,Таблица4673426[[#This Row],[Акт, грн]]*$K$1,0)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C00C80-D098-444E-BAC9-A000376DCED1}" name="Таблица639" displayName="Таблица639" ref="A20:K30" totalsRowCount="1" headerRowDxfId="40" dataDxfId="39" totalsRowDxfId="38" tableBorderDxfId="37">
  <autoFilter ref="A20:K29" xr:uid="{2618D608-B717-485B-8F46-226FFFA278EB}"/>
  <tableColumns count="11">
    <tableColumn id="1" xr3:uid="{24C2D1D7-F260-4964-B690-73315B5DAB49}" name="Етап" dataDxfId="35" totalsRowDxfId="36"/>
    <tableColumn id="2" xr3:uid="{E26FAAEB-59DA-42AA-B0FA-F6EF4BE29950}" name="Назва робіт" dataDxfId="33" totalsRowDxfId="34"/>
    <tableColumn id="3" xr3:uid="{18148E77-67A1-4D9E-BDB3-B8A60D8C9C43}" name="План" totalsRowFunction="sum" dataDxfId="31" totalsRowDxfId="32"/>
    <tableColumn id="4" xr3:uid="{35A81205-AE01-44A4-9516-8D4A166F853C}" name="Акт №" dataDxfId="29" totalsRowDxfId="30"/>
    <tableColumn id="5" xr3:uid="{F48A5341-8E5B-466E-BDAF-00EE4DDEA9A8}" name="Акт" dataDxfId="27" totalsRowDxfId="28"/>
    <tableColumn id="6" xr3:uid="{25D6F143-8B37-4D2A-B58D-468F16F63991}" name="Акт, грн" totalsRowFunction="sum" dataDxfId="25" totalsRowDxfId="26"/>
    <tableColumn id="7" xr3:uid="{51C81703-B81D-4299-B772-B2E47ACCF8D2}" name="Начало" dataDxfId="23" totalsRowDxfId="24"/>
    <tableColumn id="8" xr3:uid="{23034620-CEA8-4E9A-95CF-693584E4EC12}" name="Конец" dataDxfId="21" totalsRowDxfId="22"/>
    <tableColumn id="9" xr3:uid="{A0C53995-85B2-46FB-98FF-EF676BADB536}" name="Факт" totalsRowFunction="custom" dataDxfId="19" totalsRowDxfId="20">
      <calculatedColumnFormula>Таблица639[[#This Row],[Конец]]-Таблица639[[#This Row],[Начало]]+1</calculatedColumnFormula>
      <totalsRowFormula>SUBTOTAL(109,Таблица639[Факт])-I28</totalsRowFormula>
    </tableColumn>
    <tableColumn id="10" xr3:uid="{AD40A445-E73B-4545-80BA-3398A31FBE69}" name="Факт - План" totalsRowFunction="sum" dataDxfId="17" totalsRowDxfId="18">
      <calculatedColumnFormula>Таблица639[[#This Row],[Факт]]-Таблица639[[#This Row],[План]]</calculatedColumnFormula>
    </tableColumn>
    <tableColumn id="11" xr3:uid="{50992C0D-0C8E-4333-BE29-54D3E3D96F3D}" name="Штраф, грн" totalsRowFunction="sum" dataDxfId="15" totalsRowDxfId="16">
      <calculatedColumnFormula>IF(Таблица639[[#This Row],[Факт - План]]&gt;10,Таблица639[[#This Row],[Акт, грн]]*$K$1,0)</calculatedColumnFormula>
    </tableColumn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78C78A-BF20-49B8-BCDD-7E0829FFDC91}" name="Таблица68510" displayName="Таблица68510" ref="A37:K46" totalsRowCount="1" headerRowDxfId="14" dataDxfId="13" totalsRowDxfId="12" tableBorderDxfId="11">
  <autoFilter ref="A37:K45" xr:uid="{9508C14B-C400-4E59-BF15-8B6B04039631}"/>
  <tableColumns count="11">
    <tableColumn id="1" xr3:uid="{19557C0D-67BA-44E8-A64C-609CBEDC4EBC}" name="Етап" totalsRowDxfId="10"/>
    <tableColumn id="2" xr3:uid="{27F41CFE-8C79-4414-9EF0-CF2C70964F32}" name="Назва робіт" totalsRowDxfId="9"/>
    <tableColumn id="3" xr3:uid="{D746BA99-19E5-4971-B929-4B2804C9FD2C}" name="План" totalsRowFunction="sum" totalsRowDxfId="8"/>
    <tableColumn id="4" xr3:uid="{7EFC04BD-BDED-4010-B480-C7E0776762A8}" name="Акт №" totalsRowDxfId="7"/>
    <tableColumn id="5" xr3:uid="{8D46FA9C-9D5D-4B0B-B851-C9E88608AC02}" name="Акт" totalsRowDxfId="6"/>
    <tableColumn id="6" xr3:uid="{9379AD2E-23E1-4884-BBEA-0DCBE23CBFFE}" name="Акт, грн" totalsRowFunction="sum" totalsRowDxfId="5"/>
    <tableColumn id="7" xr3:uid="{AFF516D3-9F7F-4562-B13F-D69883BE8129}" name="Начало" totalsRowDxfId="4"/>
    <tableColumn id="8" xr3:uid="{AD85CFD4-3DD6-4512-B961-0548E782B2FF}" name="Конец" totalsRowDxfId="3"/>
    <tableColumn id="9" xr3:uid="{183881BB-C41D-461C-ADD2-8BB08F7037C3}" name="Факт" totalsRowFunction="custom" totalsRowDxfId="2">
      <calculatedColumnFormula>Таблица68510[[#This Row],[Конец]]-Таблица68510[[#This Row],[Начало]]+1</calculatedColumnFormula>
      <totalsRowFormula>SUBTOTAL(109,Таблица68510[Факт])-I42</totalsRowFormula>
    </tableColumn>
    <tableColumn id="10" xr3:uid="{5AFA1AED-208D-44D5-9801-19AFD5337BEB}" name="Факт - План" totalsRowFunction="sum" totalsRowDxfId="1">
      <calculatedColumnFormula>Таблица68510[[#This Row],[Факт]]-Таблица68510[[#This Row],[План]]</calculatedColumnFormula>
    </tableColumn>
    <tableColumn id="11" xr3:uid="{BA9626AE-63EA-4BED-8923-4B1BCEE6CFA1}" name="Штраф, грн" totalsRowFunction="sum" totalsRowDxfId="0">
      <calculatedColumnFormula>IF(Таблица68510[[#This Row],[Факт - План]]&gt;10,Таблица68510[[#This Row],[Акт, грн]]*$K$1,0)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B621-BC3B-4DF4-8015-D35ED04ABF59}">
  <sheetPr>
    <pageSetUpPr fitToPage="1"/>
  </sheetPr>
  <dimension ref="A1:K47"/>
  <sheetViews>
    <sheetView workbookViewId="0">
      <selection activeCell="G13" sqref="G13"/>
    </sheetView>
  </sheetViews>
  <sheetFormatPr defaultRowHeight="15" x14ac:dyDescent="0.25"/>
  <cols>
    <col min="1" max="1" width="9.85546875" customWidth="1"/>
    <col min="2" max="2" width="41.85546875" customWidth="1"/>
    <col min="3" max="5" width="14.5703125" customWidth="1"/>
    <col min="6" max="6" width="16.5703125" customWidth="1"/>
    <col min="7" max="10" width="14.5703125" customWidth="1"/>
    <col min="11" max="11" width="16.5703125" customWidth="1"/>
    <col min="12" max="12" width="4" bestFit="1" customWidth="1"/>
    <col min="13" max="19" width="2" bestFit="1" customWidth="1"/>
    <col min="20" max="20" width="4" bestFit="1" customWidth="1"/>
    <col min="21" max="21" width="3" bestFit="1" customWidth="1"/>
    <col min="22" max="22" width="5" bestFit="1" customWidth="1"/>
    <col min="23" max="26" width="3" bestFit="1" customWidth="1"/>
    <col min="27" max="27" width="5" bestFit="1" customWidth="1"/>
    <col min="28" max="30" width="3" bestFit="1" customWidth="1"/>
    <col min="31" max="31" width="5" bestFit="1" customWidth="1"/>
    <col min="32" max="32" width="10" bestFit="1" customWidth="1"/>
    <col min="33" max="46" width="3" bestFit="1" customWidth="1"/>
    <col min="47" max="47" width="10" bestFit="1" customWidth="1"/>
    <col min="48" max="50" width="3" bestFit="1" customWidth="1"/>
    <col min="51" max="51" width="5" bestFit="1" customWidth="1"/>
    <col min="52" max="59" width="3" bestFit="1" customWidth="1"/>
    <col min="60" max="60" width="10" bestFit="1" customWidth="1"/>
    <col min="61" max="70" width="3" bestFit="1" customWidth="1"/>
    <col min="71" max="71" width="4" bestFit="1" customWidth="1"/>
    <col min="72" max="72" width="7.42578125" bestFit="1" customWidth="1"/>
    <col min="73" max="73" width="11.85546875" bestFit="1" customWidth="1"/>
    <col min="74" max="125" width="4.5703125" bestFit="1" customWidth="1"/>
    <col min="126" max="316" width="5.5703125" bestFit="1" customWidth="1"/>
    <col min="317" max="332" width="6.5703125" bestFit="1" customWidth="1"/>
    <col min="333" max="333" width="11.85546875" bestFit="1" customWidth="1"/>
    <col min="334" max="345" width="5.5703125" bestFit="1" customWidth="1"/>
    <col min="346" max="347" width="6.5703125" bestFit="1" customWidth="1"/>
    <col min="348" max="348" width="7.5703125" bestFit="1" customWidth="1"/>
    <col min="349" max="349" width="4.85546875" bestFit="1" customWidth="1"/>
    <col min="350" max="350" width="7.5703125" bestFit="1" customWidth="1"/>
    <col min="351" max="351" width="4.85546875" bestFit="1" customWidth="1"/>
    <col min="352" max="352" width="5.5703125" bestFit="1" customWidth="1"/>
    <col min="353" max="353" width="7.5703125" bestFit="1" customWidth="1"/>
    <col min="354" max="354" width="4.85546875" bestFit="1" customWidth="1"/>
    <col min="355" max="355" width="7.5703125" bestFit="1" customWidth="1"/>
    <col min="356" max="362" width="5.5703125" bestFit="1" customWidth="1"/>
    <col min="363" max="363" width="7.5703125" bestFit="1" customWidth="1"/>
    <col min="364" max="364" width="4.85546875" bestFit="1" customWidth="1"/>
    <col min="365" max="365" width="4.5703125" bestFit="1" customWidth="1"/>
    <col min="366" max="368" width="5.5703125" bestFit="1" customWidth="1"/>
    <col min="369" max="369" width="7.5703125" bestFit="1" customWidth="1"/>
    <col min="370" max="370" width="4.85546875" bestFit="1" customWidth="1"/>
    <col min="371" max="371" width="7.5703125" bestFit="1" customWidth="1"/>
    <col min="372" max="372" width="11.85546875" bestFit="1" customWidth="1"/>
    <col min="373" max="373" width="14.28515625" bestFit="1" customWidth="1"/>
    <col min="374" max="375" width="5.5703125" bestFit="1" customWidth="1"/>
    <col min="376" max="376" width="7.5703125" bestFit="1" customWidth="1"/>
    <col min="377" max="377" width="5.5703125" bestFit="1" customWidth="1"/>
    <col min="378" max="378" width="7.5703125" bestFit="1" customWidth="1"/>
    <col min="379" max="381" width="5.5703125" bestFit="1" customWidth="1"/>
    <col min="382" max="382" width="7.5703125" bestFit="1" customWidth="1"/>
    <col min="383" max="383" width="6.85546875" bestFit="1" customWidth="1"/>
    <col min="385" max="385" width="5.5703125" bestFit="1" customWidth="1"/>
    <col min="386" max="386" width="7.5703125" bestFit="1" customWidth="1"/>
    <col min="387" max="387" width="4.85546875" bestFit="1" customWidth="1"/>
    <col min="388" max="388" width="7.5703125" bestFit="1" customWidth="1"/>
    <col min="389" max="390" width="5.5703125" bestFit="1" customWidth="1"/>
    <col min="391" max="391" width="6.5703125" bestFit="1" customWidth="1"/>
    <col min="392" max="392" width="7.5703125" bestFit="1" customWidth="1"/>
    <col min="393" max="393" width="5.5703125" bestFit="1" customWidth="1"/>
    <col min="394" max="394" width="7.5703125" bestFit="1" customWidth="1"/>
    <col min="395" max="395" width="6.5703125" bestFit="1" customWidth="1"/>
    <col min="396" max="396" width="7.5703125" bestFit="1" customWidth="1"/>
    <col min="397" max="398" width="5.5703125" bestFit="1" customWidth="1"/>
    <col min="399" max="399" width="6.5703125" bestFit="1" customWidth="1"/>
    <col min="400" max="400" width="7.5703125" bestFit="1" customWidth="1"/>
    <col min="401" max="401" width="5.5703125" bestFit="1" customWidth="1"/>
    <col min="402" max="402" width="7.5703125" bestFit="1" customWidth="1"/>
    <col min="403" max="403" width="4.85546875" bestFit="1" customWidth="1"/>
    <col min="404" max="404" width="7.5703125" bestFit="1" customWidth="1"/>
    <col min="405" max="405" width="11.85546875" bestFit="1" customWidth="1"/>
    <col min="406" max="406" width="14.28515625" bestFit="1" customWidth="1"/>
    <col min="407" max="408" width="6.5703125" bestFit="1" customWidth="1"/>
    <col min="409" max="409" width="7.5703125" bestFit="1" customWidth="1"/>
    <col min="410" max="410" width="4.85546875" bestFit="1" customWidth="1"/>
    <col min="411" max="411" width="5.5703125" bestFit="1" customWidth="1"/>
    <col min="412" max="412" width="7.5703125" bestFit="1" customWidth="1"/>
    <col min="413" max="413" width="5.5703125" bestFit="1" customWidth="1"/>
    <col min="414" max="414" width="7.5703125" bestFit="1" customWidth="1"/>
    <col min="415" max="415" width="5.5703125" bestFit="1" customWidth="1"/>
    <col min="416" max="416" width="7.5703125" bestFit="1" customWidth="1"/>
    <col min="417" max="417" width="5.5703125" bestFit="1" customWidth="1"/>
    <col min="418" max="418" width="7.5703125" bestFit="1" customWidth="1"/>
    <col min="419" max="420" width="5.5703125" bestFit="1" customWidth="1"/>
    <col min="421" max="421" width="7.5703125" bestFit="1" customWidth="1"/>
    <col min="422" max="422" width="5.5703125" bestFit="1" customWidth="1"/>
    <col min="423" max="423" width="7.5703125" bestFit="1" customWidth="1"/>
    <col min="424" max="424" width="5.5703125" bestFit="1" customWidth="1"/>
    <col min="425" max="425" width="7.5703125" bestFit="1" customWidth="1"/>
    <col min="426" max="426" width="6.5703125" bestFit="1" customWidth="1"/>
    <col min="427" max="427" width="7.5703125" bestFit="1" customWidth="1"/>
    <col min="428" max="428" width="5.5703125" bestFit="1" customWidth="1"/>
    <col min="429" max="429" width="7.5703125" bestFit="1" customWidth="1"/>
    <col min="430" max="430" width="5.85546875" bestFit="1" customWidth="1"/>
    <col min="431" max="431" width="8.5703125" bestFit="1" customWidth="1"/>
    <col min="432" max="432" width="9.28515625" bestFit="1" customWidth="1"/>
    <col min="433" max="433" width="12" bestFit="1" customWidth="1"/>
    <col min="434" max="434" width="11.85546875" bestFit="1" customWidth="1"/>
  </cols>
  <sheetData>
    <row r="1" spans="1:11" ht="18.75" x14ac:dyDescent="0.3">
      <c r="B1" s="25" t="s">
        <v>1</v>
      </c>
      <c r="K1" s="2">
        <v>0.2</v>
      </c>
    </row>
    <row r="3" spans="1:11" x14ac:dyDescent="0.25">
      <c r="A3" s="1" t="s">
        <v>49</v>
      </c>
      <c r="B3" s="1" t="s">
        <v>53</v>
      </c>
      <c r="C3" s="1" t="s">
        <v>4</v>
      </c>
      <c r="D3" s="1" t="s">
        <v>51</v>
      </c>
      <c r="E3" s="1" t="s">
        <v>37</v>
      </c>
      <c r="F3" s="1" t="s">
        <v>50</v>
      </c>
      <c r="G3" s="1" t="s">
        <v>47</v>
      </c>
      <c r="H3" s="1" t="s">
        <v>48</v>
      </c>
      <c r="I3" s="1" t="s">
        <v>3</v>
      </c>
      <c r="J3" s="1" t="s">
        <v>6</v>
      </c>
      <c r="K3" s="1" t="s">
        <v>5</v>
      </c>
    </row>
    <row r="4" spans="1:11" ht="30" customHeight="1" x14ac:dyDescent="0.25">
      <c r="A4" s="8" t="s">
        <v>8</v>
      </c>
      <c r="B4" s="3" t="s">
        <v>7</v>
      </c>
      <c r="C4" s="4">
        <v>30</v>
      </c>
      <c r="D4" s="8">
        <v>1</v>
      </c>
      <c r="E4" s="24" t="s">
        <v>31</v>
      </c>
      <c r="F4" s="5">
        <v>6592140</v>
      </c>
      <c r="G4" s="11">
        <v>44116</v>
      </c>
      <c r="H4" s="11">
        <v>44144</v>
      </c>
      <c r="I4" s="5">
        <f>Таблица46734[[#This Row],[Конец]]-Таблица46734[[#This Row],[Начало]]+1</f>
        <v>29</v>
      </c>
      <c r="J4" s="5">
        <f>Таблица46734[[#This Row],[Факт]]-Таблица46734[[#This Row],[План]]</f>
        <v>-1</v>
      </c>
      <c r="K4" s="5">
        <f>IF(Таблица46734[[#This Row],[Факт - План]]&gt;10,Таблица46734[[#This Row],[Акт, грн]]*$K$1,0)</f>
        <v>0</v>
      </c>
    </row>
    <row r="5" spans="1:11" ht="30" customHeight="1" x14ac:dyDescent="0.25">
      <c r="A5" s="10"/>
      <c r="B5" s="3" t="s">
        <v>62</v>
      </c>
      <c r="C5" s="14"/>
      <c r="D5" s="8">
        <v>2</v>
      </c>
      <c r="E5" s="8" t="s">
        <v>31</v>
      </c>
      <c r="F5" s="5">
        <v>15789312</v>
      </c>
      <c r="G5" s="11">
        <v>44145</v>
      </c>
      <c r="H5" s="11">
        <v>44208</v>
      </c>
      <c r="I5" s="67">
        <f>Таблица46734[[#This Row],[Конец]]-Таблица46734[[#This Row],[Начало]]+1</f>
        <v>64</v>
      </c>
      <c r="J5" s="5"/>
      <c r="K5" s="5"/>
    </row>
    <row r="6" spans="1:11" ht="30" customHeight="1" x14ac:dyDescent="0.25">
      <c r="A6" s="8" t="s">
        <v>10</v>
      </c>
      <c r="B6" s="3" t="s">
        <v>12</v>
      </c>
      <c r="C6" s="4">
        <v>6</v>
      </c>
      <c r="D6" s="8">
        <v>3</v>
      </c>
      <c r="E6" s="8" t="s">
        <v>32</v>
      </c>
      <c r="F6" s="5">
        <v>7462315.2000000002</v>
      </c>
      <c r="G6" s="11">
        <v>44208</v>
      </c>
      <c r="H6" s="11">
        <v>44223</v>
      </c>
      <c r="I6" s="5">
        <f>Таблица46734[[#This Row],[Конец]]-Таблица46734[[#This Row],[Начало]]+1</f>
        <v>16</v>
      </c>
      <c r="J6" s="5">
        <f>Таблица46734[[#This Row],[Факт]]-Таблица46734[[#This Row],[План]]</f>
        <v>10</v>
      </c>
      <c r="K6" s="5">
        <f>IF(Таблица46734[[#This Row],[Факт - План]]&gt;10,Таблица46734[[#This Row],[Акт, грн]]*$K$1,0)</f>
        <v>0</v>
      </c>
    </row>
    <row r="7" spans="1:11" ht="30" customHeight="1" x14ac:dyDescent="0.25">
      <c r="A7" s="8" t="s">
        <v>15</v>
      </c>
      <c r="B7" s="3" t="s">
        <v>13</v>
      </c>
      <c r="C7" s="4">
        <v>52</v>
      </c>
      <c r="D7" s="8">
        <v>4</v>
      </c>
      <c r="E7" s="8" t="s">
        <v>33</v>
      </c>
      <c r="F7" s="5">
        <v>81495132</v>
      </c>
      <c r="G7" s="11">
        <v>44223</v>
      </c>
      <c r="H7" s="11">
        <v>44274</v>
      </c>
      <c r="I7" s="5">
        <f>Таблица46734[[#This Row],[Конец]]-Таблица46734[[#This Row],[Начало]]+1</f>
        <v>52</v>
      </c>
      <c r="J7" s="5">
        <f>Таблица46734[[#This Row],[Факт]]-Таблица46734[[#This Row],[План]]</f>
        <v>0</v>
      </c>
      <c r="K7" s="5">
        <f>IF(Таблица46734[[#This Row],[Факт - План]]&gt;10,Таблица46734[[#This Row],[Акт, грн]]*$K$1,0)</f>
        <v>0</v>
      </c>
    </row>
    <row r="8" spans="1:11" ht="30" customHeight="1" x14ac:dyDescent="0.25">
      <c r="A8" s="8" t="s">
        <v>16</v>
      </c>
      <c r="B8" s="3" t="s">
        <v>14</v>
      </c>
      <c r="C8" s="4">
        <v>99</v>
      </c>
      <c r="D8" s="8">
        <v>5</v>
      </c>
      <c r="E8" s="8" t="s">
        <v>34</v>
      </c>
      <c r="F8" s="5">
        <v>140602046.40000001</v>
      </c>
      <c r="G8" s="11">
        <v>44274</v>
      </c>
      <c r="H8" s="11">
        <v>44388</v>
      </c>
      <c r="I8" s="5">
        <f>Таблица46734[[#This Row],[Конец]]-Таблица46734[[#This Row],[Начало]]+1</f>
        <v>115</v>
      </c>
      <c r="J8" s="5">
        <f>Таблица46734[[#This Row],[Факт]]-Таблица46734[[#This Row],[План]]</f>
        <v>16</v>
      </c>
      <c r="K8" s="5">
        <f>IF(Таблица46734[[#This Row],[Факт - План]]&gt;10,Таблица46734[[#This Row],[Акт, грн]]*$K$1,0)</f>
        <v>28120409.280000001</v>
      </c>
    </row>
    <row r="9" spans="1:11" ht="30" customHeight="1" x14ac:dyDescent="0.25">
      <c r="A9" s="8" t="s">
        <v>18</v>
      </c>
      <c r="B9" s="3" t="s">
        <v>17</v>
      </c>
      <c r="C9" s="4">
        <v>61</v>
      </c>
      <c r="D9" s="8">
        <v>6</v>
      </c>
      <c r="E9" s="8" t="s">
        <v>35</v>
      </c>
      <c r="F9" s="5">
        <v>81960556.799999997</v>
      </c>
      <c r="G9" s="11">
        <v>44388</v>
      </c>
      <c r="H9" s="11">
        <v>44436</v>
      </c>
      <c r="I9" s="5">
        <f>Таблица46734[[#This Row],[Конец]]-Таблица46734[[#This Row],[Начало]]+1</f>
        <v>49</v>
      </c>
      <c r="J9" s="5">
        <f>Таблица46734[[#This Row],[Факт]]-Таблица46734[[#This Row],[План]]</f>
        <v>-12</v>
      </c>
      <c r="K9" s="5">
        <f>IF(Таблица46734[[#This Row],[Факт - План]]&gt;10,Таблица46734[[#This Row],[Акт, грн]]*$K$1,0)</f>
        <v>0</v>
      </c>
    </row>
    <row r="10" spans="1:11" ht="30" customHeight="1" x14ac:dyDescent="0.25">
      <c r="A10" s="8" t="s">
        <v>19</v>
      </c>
      <c r="B10" s="3" t="s">
        <v>55</v>
      </c>
      <c r="C10" s="4">
        <v>104</v>
      </c>
      <c r="D10" s="8" t="s">
        <v>52</v>
      </c>
      <c r="E10" s="24" t="s">
        <v>36</v>
      </c>
      <c r="F10" s="5">
        <v>208502928.47999999</v>
      </c>
      <c r="G10" s="11">
        <v>44436</v>
      </c>
      <c r="H10" s="11">
        <v>44551</v>
      </c>
      <c r="I10" s="5">
        <f>Таблица46734[[#This Row],[Конец]]-Таблица46734[[#This Row],[Начало]]+1</f>
        <v>116</v>
      </c>
      <c r="J10" s="5">
        <f>Таблица46734[[#This Row],[Факт]]-Таблица46734[[#This Row],[План]]</f>
        <v>12</v>
      </c>
      <c r="K10" s="5">
        <f>IF(Таблица46734[[#This Row],[Факт - План]]&gt;10,Таблица46734[[#This Row],[Акт, грн]]*$K$1,0)</f>
        <v>41700585.696000002</v>
      </c>
    </row>
    <row r="11" spans="1:11" ht="30" customHeight="1" x14ac:dyDescent="0.25">
      <c r="A11" s="8" t="s">
        <v>20</v>
      </c>
      <c r="B11" s="3" t="s">
        <v>21</v>
      </c>
      <c r="C11" s="4">
        <v>18</v>
      </c>
      <c r="D11" s="8">
        <v>11</v>
      </c>
      <c r="E11" s="10" t="s">
        <v>36</v>
      </c>
      <c r="F11" s="5">
        <v>39590618.399999999</v>
      </c>
      <c r="G11" s="11">
        <v>44551</v>
      </c>
      <c r="H11" s="26" t="s">
        <v>36</v>
      </c>
      <c r="I11" s="5">
        <f>Таблица46734[[#This Row],[Конец]]-Таблица46734[[#This Row],[Начало]]+1</f>
        <v>23</v>
      </c>
      <c r="J11" s="5">
        <f>Таблица46734[[#This Row],[Факт]]-Таблица46734[[#This Row],[План]]</f>
        <v>5</v>
      </c>
      <c r="K11" s="5">
        <f>IF(Таблица46734[[#This Row],[Факт - План]]&gt;10,Таблица46734[[#This Row],[Акт, грн]]*$K$1,0)</f>
        <v>0</v>
      </c>
    </row>
    <row r="12" spans="1:11" ht="30" customHeight="1" x14ac:dyDescent="0.25">
      <c r="A12" s="10"/>
      <c r="B12" s="3" t="s">
        <v>54</v>
      </c>
      <c r="C12" s="4"/>
      <c r="D12" s="8"/>
      <c r="E12" s="8"/>
      <c r="F12" s="5"/>
      <c r="G12" s="11">
        <v>44616</v>
      </c>
      <c r="H12" s="11">
        <v>44682</v>
      </c>
      <c r="I12" s="5">
        <f>Таблица46734[[#This Row],[Конец]]-Таблица46734[[#This Row],[Начало]]+1</f>
        <v>67</v>
      </c>
      <c r="J12" s="5"/>
      <c r="K12" s="5"/>
    </row>
    <row r="13" spans="1:11" ht="30" customHeight="1" x14ac:dyDescent="0.25">
      <c r="A13" s="8" t="s">
        <v>11</v>
      </c>
      <c r="B13" s="3" t="s">
        <v>9</v>
      </c>
      <c r="C13" s="4">
        <v>30</v>
      </c>
      <c r="D13" s="8">
        <v>12</v>
      </c>
      <c r="E13" s="27" t="s">
        <v>36</v>
      </c>
      <c r="F13" s="5">
        <v>3022908</v>
      </c>
      <c r="G13" s="26" t="s">
        <v>36</v>
      </c>
      <c r="H13" s="26" t="s">
        <v>36</v>
      </c>
      <c r="I13" s="5">
        <f>Таблица46734[[#This Row],[Конец]]-Таблица46734[[#This Row],[Начало]]+1</f>
        <v>1</v>
      </c>
      <c r="J13" s="5">
        <f>Таблица46734[[#This Row],[Факт]]-Таблица46734[[#This Row],[План]]</f>
        <v>-29</v>
      </c>
      <c r="K13" s="5">
        <f>IF(Таблица46734[[#This Row],[Факт - План]]&gt;10,Таблица46734[[#This Row],[Акт, грн]]*$K$1,0)</f>
        <v>0</v>
      </c>
    </row>
    <row r="14" spans="1:11" ht="30" customHeight="1" x14ac:dyDescent="0.25">
      <c r="A14" s="42"/>
      <c r="B14" s="42"/>
      <c r="C14" s="43">
        <f>SUBTOTAL(109,Таблица46734[План])</f>
        <v>400</v>
      </c>
      <c r="D14" s="42"/>
      <c r="E14" s="42"/>
      <c r="F14" s="44">
        <f>SUBTOTAL(109,Таблица46734[Акт, грн])</f>
        <v>585017957.27999997</v>
      </c>
      <c r="G14" s="42"/>
      <c r="H14" s="42"/>
      <c r="I14" s="44">
        <f>SUBTOTAL(109,Таблица46734[Факт])-I12</f>
        <v>465</v>
      </c>
      <c r="J14" s="44">
        <f>SUBTOTAL(109,Таблица46734[Факт - План])</f>
        <v>1</v>
      </c>
      <c r="K14" s="44">
        <f>SUBTOTAL(109,Таблица46734[Штраф, грн])</f>
        <v>69820994.976000011</v>
      </c>
    </row>
    <row r="18" spans="1:11" ht="15.75" x14ac:dyDescent="0.25">
      <c r="B18" s="35" t="s">
        <v>0</v>
      </c>
    </row>
    <row r="20" spans="1:11" x14ac:dyDescent="0.25">
      <c r="A20" s="36" t="s">
        <v>49</v>
      </c>
      <c r="B20" s="37" t="s">
        <v>53</v>
      </c>
      <c r="C20" s="37" t="s">
        <v>4</v>
      </c>
      <c r="D20" s="37" t="s">
        <v>51</v>
      </c>
      <c r="E20" s="37" t="s">
        <v>37</v>
      </c>
      <c r="F20" s="37" t="s">
        <v>50</v>
      </c>
      <c r="G20" s="37" t="s">
        <v>47</v>
      </c>
      <c r="H20" s="37" t="s">
        <v>48</v>
      </c>
      <c r="I20" s="37" t="s">
        <v>3</v>
      </c>
      <c r="J20" s="37" t="s">
        <v>6</v>
      </c>
      <c r="K20" s="38" t="s">
        <v>5</v>
      </c>
    </row>
    <row r="21" spans="1:11" ht="30" customHeight="1" x14ac:dyDescent="0.25">
      <c r="A21" s="28" t="s">
        <v>8</v>
      </c>
      <c r="B21" s="29" t="s">
        <v>7</v>
      </c>
      <c r="C21" s="6">
        <v>90</v>
      </c>
      <c r="D21" s="39">
        <v>1</v>
      </c>
      <c r="E21" s="19" t="s">
        <v>38</v>
      </c>
      <c r="F21" s="7">
        <v>8918658</v>
      </c>
      <c r="G21" s="12">
        <v>43742</v>
      </c>
      <c r="H21" s="12">
        <v>43820</v>
      </c>
      <c r="I21" s="32">
        <f>Таблица6[[#This Row],[Конец]]-Таблица6[[#This Row],[Начало]]+1</f>
        <v>79</v>
      </c>
      <c r="J21" s="32">
        <f>Таблица6[[#This Row],[Факт]]-Таблица6[[#This Row],[План]]</f>
        <v>-11</v>
      </c>
      <c r="K21" s="32">
        <f>IF(Таблица6[[#This Row],[Факт - План]]&gt;10,Таблица6[[#This Row],[Акт, грн]]*$K$1,0)</f>
        <v>0</v>
      </c>
    </row>
    <row r="22" spans="1:11" ht="30" customHeight="1" x14ac:dyDescent="0.25">
      <c r="A22" s="28" t="s">
        <v>10</v>
      </c>
      <c r="B22" s="33" t="s">
        <v>26</v>
      </c>
      <c r="C22" s="6">
        <v>4</v>
      </c>
      <c r="D22" s="39">
        <v>2</v>
      </c>
      <c r="E22" s="9" t="s">
        <v>38</v>
      </c>
      <c r="F22" s="7">
        <v>6876828</v>
      </c>
      <c r="G22" s="12">
        <v>43820</v>
      </c>
      <c r="H22" s="12">
        <v>43827</v>
      </c>
      <c r="I22" s="32">
        <f>Таблица6[[#This Row],[Конец]]-Таблица6[[#This Row],[Начало]]+1</f>
        <v>8</v>
      </c>
      <c r="J22" s="32">
        <f>Таблица6[[#This Row],[Факт]]-Таблица6[[#This Row],[План]]</f>
        <v>4</v>
      </c>
      <c r="K22" s="32">
        <f>IF(Таблица6[[#This Row],[Факт - План]]&gt;10,Таблица6[[#This Row],[Акт, грн]]*$K$1,0)</f>
        <v>0</v>
      </c>
    </row>
    <row r="23" spans="1:11" ht="30" customHeight="1" x14ac:dyDescent="0.25">
      <c r="A23" s="28"/>
      <c r="B23" s="33" t="s">
        <v>61</v>
      </c>
      <c r="C23" s="31"/>
      <c r="D23" s="39">
        <v>3</v>
      </c>
      <c r="E23" s="41"/>
      <c r="F23" s="32">
        <v>6695490</v>
      </c>
      <c r="G23" s="30">
        <v>43827</v>
      </c>
      <c r="H23" s="30">
        <v>43880</v>
      </c>
      <c r="I23" s="66">
        <f>Таблица6[[#This Row],[Конец]]-Таблица6[[#This Row],[Начало]]+1</f>
        <v>54</v>
      </c>
      <c r="J23" s="32"/>
      <c r="K23" s="32"/>
    </row>
    <row r="24" spans="1:11" ht="30" customHeight="1" x14ac:dyDescent="0.25">
      <c r="A24" s="28" t="s">
        <v>15</v>
      </c>
      <c r="B24" s="33" t="s">
        <v>25</v>
      </c>
      <c r="C24" s="6">
        <v>33</v>
      </c>
      <c r="D24" s="40">
        <v>13</v>
      </c>
      <c r="E24" s="9" t="s">
        <v>39</v>
      </c>
      <c r="F24" s="7">
        <v>34059564</v>
      </c>
      <c r="G24" s="13">
        <v>43880</v>
      </c>
      <c r="H24" s="13">
        <v>43911</v>
      </c>
      <c r="I24" s="32">
        <f>Таблица6[[#This Row],[Конец]]-Таблица6[[#This Row],[Начало]]+1</f>
        <v>32</v>
      </c>
      <c r="J24" s="32">
        <f>Таблица6[[#This Row],[Факт]]-Таблица6[[#This Row],[План]]</f>
        <v>-1</v>
      </c>
      <c r="K24" s="32">
        <f>IF(Таблица6[[#This Row],[Факт - План]]&gt;10,Таблица6[[#This Row],[Акт, грн]]*$K$1,0)</f>
        <v>0</v>
      </c>
    </row>
    <row r="25" spans="1:11" ht="30" customHeight="1" x14ac:dyDescent="0.25">
      <c r="A25" s="28" t="s">
        <v>16</v>
      </c>
      <c r="B25" s="33" t="s">
        <v>24</v>
      </c>
      <c r="C25" s="6">
        <v>77</v>
      </c>
      <c r="D25" s="40">
        <v>15</v>
      </c>
      <c r="E25" s="9" t="s">
        <v>40</v>
      </c>
      <c r="F25" s="7">
        <v>79751952</v>
      </c>
      <c r="G25" s="13">
        <v>43911</v>
      </c>
      <c r="H25" s="13">
        <v>43967</v>
      </c>
      <c r="I25" s="32">
        <f>Таблица6[[#This Row],[Конец]]-Таблица6[[#This Row],[Начало]]+1</f>
        <v>57</v>
      </c>
      <c r="J25" s="32">
        <f>Таблица6[[#This Row],[Факт]]-Таблица6[[#This Row],[План]]</f>
        <v>-20</v>
      </c>
      <c r="K25" s="32">
        <f>IF(Таблица6[[#This Row],[Факт - План]]&gt;10,Таблица6[[#This Row],[Акт, грн]]*$K$1,0)</f>
        <v>0</v>
      </c>
    </row>
    <row r="26" spans="1:11" ht="30" customHeight="1" x14ac:dyDescent="0.25">
      <c r="A26" s="28" t="s">
        <v>18</v>
      </c>
      <c r="B26" s="33" t="s">
        <v>23</v>
      </c>
      <c r="C26" s="6">
        <v>40</v>
      </c>
      <c r="D26" s="40">
        <v>17</v>
      </c>
      <c r="E26" s="9" t="s">
        <v>41</v>
      </c>
      <c r="F26" s="7">
        <v>30398634</v>
      </c>
      <c r="G26" s="13">
        <v>43967</v>
      </c>
      <c r="H26" s="13">
        <v>43999</v>
      </c>
      <c r="I26" s="32">
        <f>Таблица6[[#This Row],[Конец]]-Таблица6[[#This Row],[Начало]]+1</f>
        <v>33</v>
      </c>
      <c r="J26" s="32">
        <f>Таблица6[[#This Row],[Факт]]-Таблица6[[#This Row],[План]]</f>
        <v>-7</v>
      </c>
      <c r="K26" s="32">
        <f>IF(Таблица6[[#This Row],[Факт - План]]&gt;10,Таблица6[[#This Row],[Акт, грн]]*$K$1,0)</f>
        <v>0</v>
      </c>
    </row>
    <row r="27" spans="1:11" ht="30" customHeight="1" x14ac:dyDescent="0.25">
      <c r="A27" s="28" t="s">
        <v>19</v>
      </c>
      <c r="B27" s="33" t="s">
        <v>22</v>
      </c>
      <c r="C27" s="6">
        <v>97</v>
      </c>
      <c r="D27" s="40">
        <v>19</v>
      </c>
      <c r="E27" s="9" t="s">
        <v>42</v>
      </c>
      <c r="F27" s="7">
        <v>292928580</v>
      </c>
      <c r="G27" s="13">
        <v>43999</v>
      </c>
      <c r="H27" s="13">
        <v>44430</v>
      </c>
      <c r="I27" s="32">
        <f>Таблица6[[#This Row],[Конец]]-Таблица6[[#This Row],[Начало]]+1</f>
        <v>432</v>
      </c>
      <c r="J27" s="32">
        <f>Таблица6[[#This Row],[Факт]]-Таблица6[[#This Row],[План]]</f>
        <v>335</v>
      </c>
      <c r="K27" s="32">
        <f>IF(Таблица6[[#This Row],[Факт - План]]&gt;10,Таблица6[[#This Row],[Акт, грн]]*$K$1,0)</f>
        <v>58585716</v>
      </c>
    </row>
    <row r="28" spans="1:11" ht="30" customHeight="1" x14ac:dyDescent="0.25">
      <c r="A28" s="28"/>
      <c r="B28" s="33" t="s">
        <v>58</v>
      </c>
      <c r="C28" s="31"/>
      <c r="D28" s="40"/>
      <c r="E28" s="41"/>
      <c r="F28" s="32"/>
      <c r="G28" s="34">
        <v>44129</v>
      </c>
      <c r="H28" s="34">
        <v>44233</v>
      </c>
      <c r="I28" s="66">
        <f>Таблица6[[#This Row],[Конец]]-Таблица6[[#This Row],[Начало]]+1</f>
        <v>105</v>
      </c>
      <c r="J28" s="32"/>
      <c r="K28" s="32"/>
    </row>
    <row r="29" spans="1:11" ht="30" customHeight="1" x14ac:dyDescent="0.25">
      <c r="A29" s="28" t="s">
        <v>20</v>
      </c>
      <c r="B29" s="29" t="s">
        <v>9</v>
      </c>
      <c r="C29" s="6">
        <v>40</v>
      </c>
      <c r="D29" s="40">
        <v>34</v>
      </c>
      <c r="E29" s="19" t="s">
        <v>42</v>
      </c>
      <c r="F29" s="7">
        <v>4515588</v>
      </c>
      <c r="G29" s="13">
        <v>44430</v>
      </c>
      <c r="H29" s="12">
        <v>44443</v>
      </c>
      <c r="I29" s="32">
        <f>Таблица6[[#This Row],[Конец]]-Таблица6[[#This Row],[Начало]]+1</f>
        <v>14</v>
      </c>
      <c r="J29" s="32">
        <f>Таблица6[[#This Row],[Факт]]-Таблица6[[#This Row],[План]]</f>
        <v>-26</v>
      </c>
      <c r="K29" s="32">
        <f>IF(Таблица6[[#This Row],[Факт - План]]&gt;10,Таблица6[[#This Row],[Акт, грн]]*$K$1,0)</f>
        <v>0</v>
      </c>
    </row>
    <row r="30" spans="1:11" ht="30" customHeight="1" x14ac:dyDescent="0.25">
      <c r="A30" s="45"/>
      <c r="B30" s="46"/>
      <c r="C30" s="47">
        <f>SUBTOTAL(109,Таблица6[План])</f>
        <v>381</v>
      </c>
      <c r="D30" s="46"/>
      <c r="E30" s="46"/>
      <c r="F30" s="48">
        <f>SUBTOTAL(109,Таблица6[Акт, грн])</f>
        <v>464145294</v>
      </c>
      <c r="G30" s="46"/>
      <c r="H30" s="46"/>
      <c r="I30" s="48">
        <f>SUBTOTAL(109,Таблица6[Факт])-I28</f>
        <v>709</v>
      </c>
      <c r="J30" s="48">
        <f>SUBTOTAL(109,Таблица6[Факт - План])</f>
        <v>274</v>
      </c>
      <c r="K30" s="48">
        <f>SUBTOTAL(109,Таблица6[Штраф, грн])</f>
        <v>58585716</v>
      </c>
    </row>
    <row r="31" spans="1:11" x14ac:dyDescent="0.25">
      <c r="A31" s="72" t="s">
        <v>56</v>
      </c>
      <c r="B31" s="73" t="s">
        <v>57</v>
      </c>
      <c r="C31" s="73"/>
      <c r="D31" s="73"/>
      <c r="E31" s="73"/>
      <c r="F31" s="74">
        <v>344753198.84799993</v>
      </c>
    </row>
    <row r="35" spans="1:11" ht="15.75" x14ac:dyDescent="0.25">
      <c r="B35" s="49" t="s">
        <v>2</v>
      </c>
    </row>
    <row r="37" spans="1:11" x14ac:dyDescent="0.25">
      <c r="A37" s="36" t="s">
        <v>49</v>
      </c>
      <c r="B37" s="37" t="s">
        <v>53</v>
      </c>
      <c r="C37" s="37" t="s">
        <v>4</v>
      </c>
      <c r="D37" s="37" t="s">
        <v>51</v>
      </c>
      <c r="E37" s="37" t="s">
        <v>37</v>
      </c>
      <c r="F37" s="37" t="s">
        <v>50</v>
      </c>
      <c r="G37" s="37" t="s">
        <v>47</v>
      </c>
      <c r="H37" s="37" t="s">
        <v>48</v>
      </c>
      <c r="I37" s="37" t="s">
        <v>3</v>
      </c>
      <c r="J37" s="37" t="s">
        <v>6</v>
      </c>
      <c r="K37" s="38" t="s">
        <v>5</v>
      </c>
    </row>
    <row r="38" spans="1:11" ht="30" customHeight="1" x14ac:dyDescent="0.25">
      <c r="A38" s="50" t="s">
        <v>8</v>
      </c>
      <c r="B38" s="51" t="s">
        <v>7</v>
      </c>
      <c r="C38" s="18">
        <v>30</v>
      </c>
      <c r="D38" s="52">
        <v>1</v>
      </c>
      <c r="E38" s="53" t="s">
        <v>43</v>
      </c>
      <c r="F38" s="17">
        <v>50988960</v>
      </c>
      <c r="G38" s="54">
        <v>44385</v>
      </c>
      <c r="H38" s="54">
        <v>44486</v>
      </c>
      <c r="I38" s="55">
        <f>Таблица68[[#This Row],[Конец]]-Таблица68[[#This Row],[Начало]]+1</f>
        <v>102</v>
      </c>
      <c r="J38" s="55">
        <f>Таблица68[[#This Row],[Факт]]-Таблица68[[#This Row],[План]]</f>
        <v>72</v>
      </c>
      <c r="K38" s="55">
        <f>IF(Таблица68[[#This Row],[Факт - План]]&gt;10,Таблица68[[#This Row],[Акт, грн]]*$K$1,0)</f>
        <v>10197792</v>
      </c>
    </row>
    <row r="39" spans="1:11" ht="30" customHeight="1" x14ac:dyDescent="0.25">
      <c r="A39" s="50" t="s">
        <v>10</v>
      </c>
      <c r="B39" s="56" t="s">
        <v>27</v>
      </c>
      <c r="C39" s="18">
        <v>5</v>
      </c>
      <c r="D39" s="52">
        <v>3</v>
      </c>
      <c r="E39" s="15" t="s">
        <v>43</v>
      </c>
      <c r="F39" s="17">
        <v>10349640</v>
      </c>
      <c r="G39" s="54">
        <v>44486</v>
      </c>
      <c r="H39" s="54">
        <v>44493</v>
      </c>
      <c r="I39" s="55">
        <f>Таблица68[[#This Row],[Конец]]-Таблица68[[#This Row],[Начало]]+1</f>
        <v>8</v>
      </c>
      <c r="J39" s="55">
        <f>Таблица68[[#This Row],[Факт]]-Таблица68[[#This Row],[План]]</f>
        <v>3</v>
      </c>
      <c r="K39" s="55">
        <f>IF(Таблица68[[#This Row],[Факт - План]]&gt;10,Таблица68[[#This Row],[Акт, грн]]*$K$1,0)</f>
        <v>0</v>
      </c>
    </row>
    <row r="40" spans="1:11" ht="30" customHeight="1" x14ac:dyDescent="0.25">
      <c r="A40" s="50" t="s">
        <v>15</v>
      </c>
      <c r="B40" s="56" t="s">
        <v>28</v>
      </c>
      <c r="C40" s="57">
        <v>39</v>
      </c>
      <c r="D40" s="52">
        <v>6</v>
      </c>
      <c r="E40" s="58" t="s">
        <v>44</v>
      </c>
      <c r="F40" s="55">
        <v>64029240</v>
      </c>
      <c r="G40" s="59">
        <v>44493</v>
      </c>
      <c r="H40" s="59">
        <v>44561</v>
      </c>
      <c r="I40" s="55">
        <f>Таблица68[[#This Row],[Конец]]-Таблица68[[#This Row],[Начало]]+1</f>
        <v>69</v>
      </c>
      <c r="J40" s="55">
        <f>Таблица68[[#This Row],[Факт]]-Таблица68[[#This Row],[План]]</f>
        <v>30</v>
      </c>
      <c r="K40" s="55">
        <f>IF(Таблица68[[#This Row],[Факт - План]]&gt;10,Таблица68[[#This Row],[Акт, грн]]*$K$1,0)</f>
        <v>12805848</v>
      </c>
    </row>
    <row r="41" spans="1:11" ht="30" customHeight="1" x14ac:dyDescent="0.25">
      <c r="A41" s="50" t="s">
        <v>16</v>
      </c>
      <c r="B41" s="56" t="s">
        <v>29</v>
      </c>
      <c r="C41" s="18">
        <v>82</v>
      </c>
      <c r="D41" s="60">
        <v>15</v>
      </c>
      <c r="E41" s="15" t="s">
        <v>45</v>
      </c>
      <c r="F41" s="17">
        <v>142097760</v>
      </c>
      <c r="G41" s="16">
        <v>44561</v>
      </c>
      <c r="H41" s="65" t="s">
        <v>45</v>
      </c>
      <c r="I41" s="55">
        <f>Таблица68[[#This Row],[Конец]]-Таблица68[[#This Row],[Начало]]+1-I42</f>
        <v>93</v>
      </c>
      <c r="J41" s="55">
        <f>Таблица68[[#This Row],[Факт]]-Таблица68[[#This Row],[План]]</f>
        <v>11</v>
      </c>
      <c r="K41" s="55">
        <f>IF(Таблица68[[#This Row],[Факт - План]]&gt;10,Таблица68[[#This Row],[Акт, грн]]*$K$1,0)</f>
        <v>28419552</v>
      </c>
    </row>
    <row r="42" spans="1:11" ht="30" customHeight="1" x14ac:dyDescent="0.25">
      <c r="A42" s="50"/>
      <c r="B42" s="68" t="s">
        <v>60</v>
      </c>
      <c r="C42" s="23"/>
      <c r="D42" s="69">
        <v>14</v>
      </c>
      <c r="E42" s="20" t="s">
        <v>59</v>
      </c>
      <c r="F42" s="22">
        <v>49001172</v>
      </c>
      <c r="G42" s="21">
        <v>44616</v>
      </c>
      <c r="H42" s="21">
        <v>44744</v>
      </c>
      <c r="I42" s="70">
        <f>Таблица68[[#This Row],[Конец]]-Таблица68[[#This Row],[Начало]]+1</f>
        <v>129</v>
      </c>
      <c r="J42" s="71"/>
      <c r="K42" s="71"/>
    </row>
    <row r="43" spans="1:11" ht="30" customHeight="1" x14ac:dyDescent="0.25">
      <c r="A43" s="50" t="s">
        <v>18</v>
      </c>
      <c r="B43" s="56" t="s">
        <v>30</v>
      </c>
      <c r="C43" s="18">
        <v>48</v>
      </c>
      <c r="D43" s="60"/>
      <c r="E43" s="15"/>
      <c r="F43" s="17"/>
      <c r="G43" s="16"/>
      <c r="H43" s="16"/>
      <c r="I43" s="55"/>
      <c r="J43" s="55"/>
      <c r="K43" s="55"/>
    </row>
    <row r="44" spans="1:11" ht="30" customHeight="1" x14ac:dyDescent="0.25">
      <c r="A44" s="50" t="s">
        <v>19</v>
      </c>
      <c r="B44" s="56" t="s">
        <v>22</v>
      </c>
      <c r="C44" s="18">
        <v>110</v>
      </c>
      <c r="D44" s="60"/>
      <c r="E44" s="15"/>
      <c r="F44" s="17"/>
      <c r="G44" s="16"/>
      <c r="H44" s="16"/>
      <c r="I44" s="55"/>
      <c r="J44" s="55"/>
      <c r="K44" s="55"/>
    </row>
    <row r="45" spans="1:11" ht="30" customHeight="1" x14ac:dyDescent="0.25">
      <c r="A45" s="50" t="s">
        <v>20</v>
      </c>
      <c r="B45" s="51" t="s">
        <v>9</v>
      </c>
      <c r="C45" s="18">
        <v>30</v>
      </c>
      <c r="D45" s="60">
        <v>18</v>
      </c>
      <c r="E45" s="53" t="s">
        <v>46</v>
      </c>
      <c r="F45" s="17">
        <v>12760560</v>
      </c>
      <c r="G45" s="16">
        <v>44786</v>
      </c>
      <c r="H45" s="65" t="s">
        <v>46</v>
      </c>
      <c r="I45" s="55">
        <f>Таблица68[[#This Row],[Конец]]-Таблица68[[#This Row],[Начало]]+1</f>
        <v>19</v>
      </c>
      <c r="J45" s="55">
        <f>Таблица68[[#This Row],[Факт]]-Таблица68[[#This Row],[План]]</f>
        <v>-11</v>
      </c>
      <c r="K45" s="55">
        <f>IF(Таблица68[[#This Row],[Факт - План]]&gt;10,Таблица68[[#This Row],[Акт, грн]]*$K$1,0)</f>
        <v>0</v>
      </c>
    </row>
    <row r="46" spans="1:11" ht="30" customHeight="1" x14ac:dyDescent="0.25">
      <c r="A46" s="61"/>
      <c r="B46" s="62"/>
      <c r="C46" s="63">
        <f>SUBTOTAL(109,Таблица68[План])</f>
        <v>344</v>
      </c>
      <c r="D46" s="62"/>
      <c r="E46" s="62"/>
      <c r="F46" s="64">
        <f>SUBTOTAL(109,Таблица68[Акт, грн])</f>
        <v>329227332</v>
      </c>
      <c r="G46" s="62"/>
      <c r="H46" s="62"/>
      <c r="I46" s="64">
        <f>SUBTOTAL(109,Таблица68[Факт])-I42</f>
        <v>291</v>
      </c>
      <c r="J46" s="64">
        <f>SUBTOTAL(109,Таблица68[Факт - План])</f>
        <v>105</v>
      </c>
      <c r="K46" s="64">
        <f>SUBTOTAL(109,Таблица68[Штраф, грн])</f>
        <v>51423192</v>
      </c>
    </row>
    <row r="47" spans="1:11" x14ac:dyDescent="0.25">
      <c r="A47" s="75" t="s">
        <v>56</v>
      </c>
      <c r="B47" s="76" t="s">
        <v>57</v>
      </c>
      <c r="C47" s="76"/>
      <c r="D47" s="76"/>
      <c r="E47" s="76"/>
      <c r="F47" s="77">
        <v>115861342.89000002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6" fitToHeight="4" orientation="landscape" horizontalDpi="300" verticalDpi="300" r:id="rId1"/>
  <ignoredErrors>
    <ignoredError sqref="K4 K13 K6:K11 I41" calculatedColum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AEAE-7D9E-40DE-AF5A-EA8C6182B3EE}">
  <sheetPr>
    <pageSetUpPr fitToPage="1"/>
  </sheetPr>
  <dimension ref="A1:K47"/>
  <sheetViews>
    <sheetView tabSelected="1" workbookViewId="0">
      <selection activeCell="H44" sqref="H44"/>
    </sheetView>
  </sheetViews>
  <sheetFormatPr defaultRowHeight="15" x14ac:dyDescent="0.25"/>
  <cols>
    <col min="1" max="1" width="9.85546875" customWidth="1"/>
    <col min="2" max="2" width="41.85546875" customWidth="1"/>
    <col min="3" max="5" width="14.5703125" customWidth="1"/>
    <col min="6" max="6" width="16.5703125" customWidth="1"/>
    <col min="7" max="10" width="14.5703125" customWidth="1"/>
    <col min="11" max="11" width="16.5703125" customWidth="1"/>
    <col min="12" max="12" width="4" bestFit="1" customWidth="1"/>
    <col min="13" max="19" width="2" bestFit="1" customWidth="1"/>
    <col min="20" max="20" width="4" bestFit="1" customWidth="1"/>
    <col min="21" max="21" width="3" bestFit="1" customWidth="1"/>
    <col min="22" max="22" width="5" bestFit="1" customWidth="1"/>
    <col min="23" max="26" width="3" bestFit="1" customWidth="1"/>
    <col min="27" max="27" width="5" bestFit="1" customWidth="1"/>
    <col min="28" max="30" width="3" bestFit="1" customWidth="1"/>
    <col min="31" max="31" width="5" bestFit="1" customWidth="1"/>
    <col min="32" max="32" width="10" bestFit="1" customWidth="1"/>
    <col min="33" max="46" width="3" bestFit="1" customWidth="1"/>
    <col min="47" max="47" width="10" bestFit="1" customWidth="1"/>
    <col min="48" max="50" width="3" bestFit="1" customWidth="1"/>
    <col min="51" max="51" width="5" bestFit="1" customWidth="1"/>
    <col min="52" max="59" width="3" bestFit="1" customWidth="1"/>
    <col min="60" max="60" width="10" bestFit="1" customWidth="1"/>
    <col min="61" max="70" width="3" bestFit="1" customWidth="1"/>
    <col min="71" max="71" width="4" bestFit="1" customWidth="1"/>
    <col min="72" max="72" width="7.42578125" bestFit="1" customWidth="1"/>
    <col min="73" max="73" width="11.85546875" bestFit="1" customWidth="1"/>
    <col min="74" max="125" width="4.5703125" bestFit="1" customWidth="1"/>
    <col min="126" max="316" width="5.5703125" bestFit="1" customWidth="1"/>
    <col min="317" max="332" width="6.5703125" bestFit="1" customWidth="1"/>
    <col min="333" max="333" width="11.85546875" bestFit="1" customWidth="1"/>
    <col min="334" max="345" width="5.5703125" bestFit="1" customWidth="1"/>
    <col min="346" max="347" width="6.5703125" bestFit="1" customWidth="1"/>
    <col min="348" max="348" width="7.5703125" bestFit="1" customWidth="1"/>
    <col min="349" max="349" width="4.85546875" bestFit="1" customWidth="1"/>
    <col min="350" max="350" width="7.5703125" bestFit="1" customWidth="1"/>
    <col min="351" max="351" width="4.85546875" bestFit="1" customWidth="1"/>
    <col min="352" max="352" width="5.5703125" bestFit="1" customWidth="1"/>
    <col min="353" max="353" width="7.5703125" bestFit="1" customWidth="1"/>
    <col min="354" max="354" width="4.85546875" bestFit="1" customWidth="1"/>
    <col min="355" max="355" width="7.5703125" bestFit="1" customWidth="1"/>
    <col min="356" max="362" width="5.5703125" bestFit="1" customWidth="1"/>
    <col min="363" max="363" width="7.5703125" bestFit="1" customWidth="1"/>
    <col min="364" max="364" width="4.85546875" bestFit="1" customWidth="1"/>
    <col min="365" max="365" width="4.5703125" bestFit="1" customWidth="1"/>
    <col min="366" max="368" width="5.5703125" bestFit="1" customWidth="1"/>
    <col min="369" max="369" width="7.5703125" bestFit="1" customWidth="1"/>
    <col min="370" max="370" width="4.85546875" bestFit="1" customWidth="1"/>
    <col min="371" max="371" width="7.5703125" bestFit="1" customWidth="1"/>
    <col min="372" max="372" width="11.85546875" bestFit="1" customWidth="1"/>
    <col min="373" max="373" width="14.28515625" bestFit="1" customWidth="1"/>
    <col min="374" max="375" width="5.5703125" bestFit="1" customWidth="1"/>
    <col min="376" max="376" width="7.5703125" bestFit="1" customWidth="1"/>
    <col min="377" max="377" width="5.5703125" bestFit="1" customWidth="1"/>
    <col min="378" max="378" width="7.5703125" bestFit="1" customWidth="1"/>
    <col min="379" max="381" width="5.5703125" bestFit="1" customWidth="1"/>
    <col min="382" max="382" width="7.5703125" bestFit="1" customWidth="1"/>
    <col min="383" max="383" width="6.85546875" bestFit="1" customWidth="1"/>
    <col min="385" max="385" width="5.5703125" bestFit="1" customWidth="1"/>
    <col min="386" max="386" width="7.5703125" bestFit="1" customWidth="1"/>
    <col min="387" max="387" width="4.85546875" bestFit="1" customWidth="1"/>
    <col min="388" max="388" width="7.5703125" bestFit="1" customWidth="1"/>
    <col min="389" max="390" width="5.5703125" bestFit="1" customWidth="1"/>
    <col min="391" max="391" width="6.5703125" bestFit="1" customWidth="1"/>
    <col min="392" max="392" width="7.5703125" bestFit="1" customWidth="1"/>
    <col min="393" max="393" width="5.5703125" bestFit="1" customWidth="1"/>
    <col min="394" max="394" width="7.5703125" bestFit="1" customWidth="1"/>
    <col min="395" max="395" width="6.5703125" bestFit="1" customWidth="1"/>
    <col min="396" max="396" width="7.5703125" bestFit="1" customWidth="1"/>
    <col min="397" max="398" width="5.5703125" bestFit="1" customWidth="1"/>
    <col min="399" max="399" width="6.5703125" bestFit="1" customWidth="1"/>
    <col min="400" max="400" width="7.5703125" bestFit="1" customWidth="1"/>
    <col min="401" max="401" width="5.5703125" bestFit="1" customWidth="1"/>
    <col min="402" max="402" width="7.5703125" bestFit="1" customWidth="1"/>
    <col min="403" max="403" width="4.85546875" bestFit="1" customWidth="1"/>
    <col min="404" max="404" width="7.5703125" bestFit="1" customWidth="1"/>
    <col min="405" max="405" width="11.85546875" bestFit="1" customWidth="1"/>
    <col min="406" max="406" width="14.28515625" bestFit="1" customWidth="1"/>
    <col min="407" max="408" width="6.5703125" bestFit="1" customWidth="1"/>
    <col min="409" max="409" width="7.5703125" bestFit="1" customWidth="1"/>
    <col min="410" max="410" width="4.85546875" bestFit="1" customWidth="1"/>
    <col min="411" max="411" width="5.5703125" bestFit="1" customWidth="1"/>
    <col min="412" max="412" width="7.5703125" bestFit="1" customWidth="1"/>
    <col min="413" max="413" width="5.5703125" bestFit="1" customWidth="1"/>
    <col min="414" max="414" width="7.5703125" bestFit="1" customWidth="1"/>
    <col min="415" max="415" width="5.5703125" bestFit="1" customWidth="1"/>
    <col min="416" max="416" width="7.5703125" bestFit="1" customWidth="1"/>
    <col min="417" max="417" width="5.5703125" bestFit="1" customWidth="1"/>
    <col min="418" max="418" width="7.5703125" bestFit="1" customWidth="1"/>
    <col min="419" max="420" width="5.5703125" bestFit="1" customWidth="1"/>
    <col min="421" max="421" width="7.5703125" bestFit="1" customWidth="1"/>
    <col min="422" max="422" width="5.5703125" bestFit="1" customWidth="1"/>
    <col min="423" max="423" width="7.5703125" bestFit="1" customWidth="1"/>
    <col min="424" max="424" width="5.5703125" bestFit="1" customWidth="1"/>
    <col min="425" max="425" width="7.5703125" bestFit="1" customWidth="1"/>
    <col min="426" max="426" width="6.5703125" bestFit="1" customWidth="1"/>
    <col min="427" max="427" width="7.5703125" bestFit="1" customWidth="1"/>
    <col min="428" max="428" width="5.5703125" bestFit="1" customWidth="1"/>
    <col min="429" max="429" width="7.5703125" bestFit="1" customWidth="1"/>
    <col min="430" max="430" width="5.85546875" bestFit="1" customWidth="1"/>
    <col min="431" max="431" width="8.5703125" bestFit="1" customWidth="1"/>
    <col min="432" max="432" width="9.28515625" bestFit="1" customWidth="1"/>
    <col min="433" max="433" width="12" bestFit="1" customWidth="1"/>
    <col min="434" max="434" width="11.85546875" bestFit="1" customWidth="1"/>
  </cols>
  <sheetData>
    <row r="1" spans="1:11" ht="18.75" x14ac:dyDescent="0.3">
      <c r="B1" s="25" t="s">
        <v>1</v>
      </c>
      <c r="K1" s="2">
        <v>0.2</v>
      </c>
    </row>
    <row r="3" spans="1:11" x14ac:dyDescent="0.25">
      <c r="A3" s="1" t="s">
        <v>49</v>
      </c>
      <c r="B3" s="1" t="s">
        <v>53</v>
      </c>
      <c r="C3" s="1" t="s">
        <v>4</v>
      </c>
      <c r="D3" s="1" t="s">
        <v>51</v>
      </c>
      <c r="E3" s="1" t="s">
        <v>37</v>
      </c>
      <c r="F3" s="1" t="s">
        <v>50</v>
      </c>
      <c r="G3" s="1" t="s">
        <v>47</v>
      </c>
      <c r="H3" s="1" t="s">
        <v>48</v>
      </c>
      <c r="I3" s="1" t="s">
        <v>3</v>
      </c>
      <c r="J3" s="1" t="s">
        <v>6</v>
      </c>
      <c r="K3" s="1" t="s">
        <v>5</v>
      </c>
    </row>
    <row r="4" spans="1:11" ht="30" customHeight="1" x14ac:dyDescent="0.25">
      <c r="A4" s="8" t="s">
        <v>8</v>
      </c>
      <c r="B4" s="3" t="s">
        <v>7</v>
      </c>
      <c r="C4" s="4">
        <v>30</v>
      </c>
      <c r="D4" s="8">
        <v>1</v>
      </c>
      <c r="E4" s="24" t="s">
        <v>31</v>
      </c>
      <c r="F4" s="5">
        <v>6592140</v>
      </c>
      <c r="G4" s="78">
        <v>44093</v>
      </c>
      <c r="H4" s="11">
        <v>44144</v>
      </c>
      <c r="I4" s="5">
        <f>Таблица467342[[#This Row],[Конец]]-Таблица467342[[#This Row],[Начало]]+1</f>
        <v>52</v>
      </c>
      <c r="J4" s="5">
        <f>Таблица467342[[#This Row],[Факт]]-Таблица467342[[#This Row],[План]]</f>
        <v>22</v>
      </c>
      <c r="K4" s="5">
        <f>IF(Таблица467342[[#This Row],[Факт - План]]&gt;10,Таблица467342[[#This Row],[Акт, грн]]*$K$1,0)</f>
        <v>1318428</v>
      </c>
    </row>
    <row r="5" spans="1:11" ht="30" customHeight="1" x14ac:dyDescent="0.25">
      <c r="A5" s="10"/>
      <c r="B5" s="3" t="s">
        <v>62</v>
      </c>
      <c r="C5" s="14"/>
      <c r="D5" s="8">
        <v>2</v>
      </c>
      <c r="E5" s="8" t="s">
        <v>31</v>
      </c>
      <c r="F5" s="5">
        <v>15789312</v>
      </c>
      <c r="G5" s="11">
        <v>44145</v>
      </c>
      <c r="H5" s="11">
        <v>44208</v>
      </c>
      <c r="I5" s="67">
        <f>Таблица467342[[#This Row],[Конец]]-Таблица467342[[#This Row],[Начало]]+1</f>
        <v>64</v>
      </c>
      <c r="J5" s="5"/>
      <c r="K5" s="5"/>
    </row>
    <row r="6" spans="1:11" ht="30" customHeight="1" x14ac:dyDescent="0.25">
      <c r="A6" s="8" t="s">
        <v>10</v>
      </c>
      <c r="B6" s="3" t="s">
        <v>12</v>
      </c>
      <c r="C6" s="4">
        <v>6</v>
      </c>
      <c r="D6" s="8">
        <v>3</v>
      </c>
      <c r="E6" s="8" t="s">
        <v>32</v>
      </c>
      <c r="F6" s="5">
        <v>7462315.2000000002</v>
      </c>
      <c r="G6" s="11">
        <v>44208</v>
      </c>
      <c r="H6" s="11">
        <v>44223</v>
      </c>
      <c r="I6" s="5">
        <f>Таблица467342[[#This Row],[Конец]]-Таблица467342[[#This Row],[Начало]]+1</f>
        <v>16</v>
      </c>
      <c r="J6" s="5">
        <f>Таблица467342[[#This Row],[Факт]]-Таблица467342[[#This Row],[План]]</f>
        <v>10</v>
      </c>
      <c r="K6" s="5">
        <f>IF(Таблица467342[[#This Row],[Факт - План]]&gt;10,Таблица467342[[#This Row],[Акт, грн]]*$K$1,0)</f>
        <v>0</v>
      </c>
    </row>
    <row r="7" spans="1:11" ht="30" customHeight="1" x14ac:dyDescent="0.25">
      <c r="A7" s="8" t="s">
        <v>15</v>
      </c>
      <c r="B7" s="3" t="s">
        <v>13</v>
      </c>
      <c r="C7" s="4">
        <v>52</v>
      </c>
      <c r="D7" s="8">
        <v>4</v>
      </c>
      <c r="E7" s="8" t="s">
        <v>33</v>
      </c>
      <c r="F7" s="5">
        <v>81495132</v>
      </c>
      <c r="G7" s="11">
        <v>44223</v>
      </c>
      <c r="H7" s="11">
        <v>44274</v>
      </c>
      <c r="I7" s="5">
        <f>Таблица467342[[#This Row],[Конец]]-Таблица467342[[#This Row],[Начало]]+1</f>
        <v>52</v>
      </c>
      <c r="J7" s="5">
        <f>Таблица467342[[#This Row],[Факт]]-Таблица467342[[#This Row],[План]]</f>
        <v>0</v>
      </c>
      <c r="K7" s="5">
        <f>IF(Таблица467342[[#This Row],[Факт - План]]&gt;10,Таблица467342[[#This Row],[Акт, грн]]*$K$1,0)</f>
        <v>0</v>
      </c>
    </row>
    <row r="8" spans="1:11" ht="30" customHeight="1" x14ac:dyDescent="0.25">
      <c r="A8" s="8" t="s">
        <v>16</v>
      </c>
      <c r="B8" s="3" t="s">
        <v>14</v>
      </c>
      <c r="C8" s="4">
        <v>99</v>
      </c>
      <c r="D8" s="8">
        <v>5</v>
      </c>
      <c r="E8" s="8" t="s">
        <v>34</v>
      </c>
      <c r="F8" s="5">
        <v>140602046.40000001</v>
      </c>
      <c r="G8" s="11">
        <v>44274</v>
      </c>
      <c r="H8" s="11">
        <v>44388</v>
      </c>
      <c r="I8" s="5">
        <f>Таблица467342[[#This Row],[Конец]]-Таблица467342[[#This Row],[Начало]]+1</f>
        <v>115</v>
      </c>
      <c r="J8" s="5">
        <f>Таблица467342[[#This Row],[Факт]]-Таблица467342[[#This Row],[План]]</f>
        <v>16</v>
      </c>
      <c r="K8" s="5">
        <f>IF(Таблица467342[[#This Row],[Факт - План]]&gt;10,Таблица467342[[#This Row],[Акт, грн]]*$K$1,0)</f>
        <v>28120409.280000001</v>
      </c>
    </row>
    <row r="9" spans="1:11" ht="30" customHeight="1" x14ac:dyDescent="0.25">
      <c r="A9" s="8" t="s">
        <v>18</v>
      </c>
      <c r="B9" s="3" t="s">
        <v>17</v>
      </c>
      <c r="C9" s="4">
        <v>61</v>
      </c>
      <c r="D9" s="8">
        <v>6</v>
      </c>
      <c r="E9" s="8" t="s">
        <v>35</v>
      </c>
      <c r="F9" s="5">
        <v>81960556.799999997</v>
      </c>
      <c r="G9" s="11">
        <v>44388</v>
      </c>
      <c r="H9" s="11">
        <v>44436</v>
      </c>
      <c r="I9" s="5">
        <f>Таблица467342[[#This Row],[Конец]]-Таблица467342[[#This Row],[Начало]]+1</f>
        <v>49</v>
      </c>
      <c r="J9" s="5">
        <f>Таблица467342[[#This Row],[Факт]]-Таблица467342[[#This Row],[План]]</f>
        <v>-12</v>
      </c>
      <c r="K9" s="5">
        <f>IF(Таблица467342[[#This Row],[Факт - План]]&gt;10,Таблица467342[[#This Row],[Акт, грн]]*$K$1,0)</f>
        <v>0</v>
      </c>
    </row>
    <row r="10" spans="1:11" ht="30" customHeight="1" x14ac:dyDescent="0.25">
      <c r="A10" s="8" t="s">
        <v>19</v>
      </c>
      <c r="B10" s="3" t="s">
        <v>55</v>
      </c>
      <c r="C10" s="4">
        <v>104</v>
      </c>
      <c r="D10" s="8" t="s">
        <v>52</v>
      </c>
      <c r="E10" s="24" t="s">
        <v>36</v>
      </c>
      <c r="F10" s="5">
        <v>208502928.47999999</v>
      </c>
      <c r="G10" s="11">
        <v>44436</v>
      </c>
      <c r="H10" s="11">
        <v>44551</v>
      </c>
      <c r="I10" s="5">
        <f>Таблица467342[[#This Row],[Конец]]-Таблица467342[[#This Row],[Начало]]+1</f>
        <v>116</v>
      </c>
      <c r="J10" s="5">
        <f>Таблица467342[[#This Row],[Факт]]-Таблица467342[[#This Row],[План]]</f>
        <v>12</v>
      </c>
      <c r="K10" s="5">
        <f>IF(Таблица467342[[#This Row],[Факт - План]]&gt;10,Таблица467342[[#This Row],[Акт, грн]]*$K$1,0)</f>
        <v>41700585.696000002</v>
      </c>
    </row>
    <row r="11" spans="1:11" ht="30" customHeight="1" x14ac:dyDescent="0.25">
      <c r="A11" s="8" t="s">
        <v>20</v>
      </c>
      <c r="B11" s="3" t="s">
        <v>21</v>
      </c>
      <c r="C11" s="4">
        <v>18</v>
      </c>
      <c r="D11" s="8">
        <v>11</v>
      </c>
      <c r="E11" s="10" t="s">
        <v>36</v>
      </c>
      <c r="F11" s="5">
        <v>39590618.399999999</v>
      </c>
      <c r="G11" s="11">
        <v>44551</v>
      </c>
      <c r="H11" s="26" t="s">
        <v>36</v>
      </c>
      <c r="I11" s="5">
        <f>Таблица467342[[#This Row],[Конец]]-Таблица467342[[#This Row],[Начало]]+1</f>
        <v>23</v>
      </c>
      <c r="J11" s="5">
        <f>Таблица467342[[#This Row],[Факт]]-Таблица467342[[#This Row],[План]]</f>
        <v>5</v>
      </c>
      <c r="K11" s="5">
        <f>IF(Таблица467342[[#This Row],[Факт - План]]&gt;10,Таблица467342[[#This Row],[Акт, грн]]*$K$1,0)</f>
        <v>0</v>
      </c>
    </row>
    <row r="12" spans="1:11" ht="30" customHeight="1" x14ac:dyDescent="0.25">
      <c r="A12" s="10"/>
      <c r="B12" s="3" t="s">
        <v>54</v>
      </c>
      <c r="C12" s="4"/>
      <c r="D12" s="8"/>
      <c r="E12" s="8"/>
      <c r="F12" s="5"/>
      <c r="G12" s="11">
        <v>44616</v>
      </c>
      <c r="H12" s="11">
        <v>44682</v>
      </c>
      <c r="I12" s="5">
        <f>Таблица467342[[#This Row],[Конец]]-Таблица467342[[#This Row],[Начало]]+1</f>
        <v>67</v>
      </c>
      <c r="J12" s="5"/>
      <c r="K12" s="5"/>
    </row>
    <row r="13" spans="1:11" ht="30" customHeight="1" x14ac:dyDescent="0.25">
      <c r="A13" s="8" t="s">
        <v>11</v>
      </c>
      <c r="B13" s="3" t="s">
        <v>9</v>
      </c>
      <c r="C13" s="4">
        <v>30</v>
      </c>
      <c r="D13" s="8">
        <v>12</v>
      </c>
      <c r="E13" s="27" t="s">
        <v>36</v>
      </c>
      <c r="F13" s="5">
        <v>3022908</v>
      </c>
      <c r="G13" s="79" t="s">
        <v>36</v>
      </c>
      <c r="H13" s="79" t="s">
        <v>36</v>
      </c>
      <c r="I13" s="5">
        <f>Таблица467342[[#This Row],[Конец]]-Таблица467342[[#This Row],[Начало]]+1</f>
        <v>1</v>
      </c>
      <c r="J13" s="5">
        <f>Таблица467342[[#This Row],[Факт]]-Таблица467342[[#This Row],[План]]</f>
        <v>-29</v>
      </c>
      <c r="K13" s="5">
        <f>IF(Таблица467342[[#This Row],[Факт - План]]&gt;10,Таблица467342[[#This Row],[Акт, грн]]*$K$1,0)</f>
        <v>0</v>
      </c>
    </row>
    <row r="14" spans="1:11" ht="30" customHeight="1" x14ac:dyDescent="0.25">
      <c r="A14" s="42"/>
      <c r="B14" s="42"/>
      <c r="C14" s="43">
        <f>SUBTOTAL(109,Таблица467342[План])</f>
        <v>400</v>
      </c>
      <c r="D14" s="42"/>
      <c r="E14" s="42"/>
      <c r="F14" s="44">
        <f>SUBTOTAL(109,Таблица467342[Акт, грн])</f>
        <v>585017957.27999997</v>
      </c>
      <c r="G14" s="42"/>
      <c r="H14" s="42"/>
      <c r="I14" s="44">
        <f>SUBTOTAL(109,Таблица467342[Факт])-I12-I5</f>
        <v>424</v>
      </c>
      <c r="J14" s="44">
        <f>SUBTOTAL(109,Таблица467342[Факт - План])</f>
        <v>24</v>
      </c>
      <c r="K14" s="44">
        <f>SUBTOTAL(109,Таблица467342[Штраф, грн])</f>
        <v>71139422.976000011</v>
      </c>
    </row>
    <row r="18" spans="1:11" ht="15.75" x14ac:dyDescent="0.25">
      <c r="B18" s="35" t="s">
        <v>0</v>
      </c>
    </row>
    <row r="20" spans="1:11" x14ac:dyDescent="0.25">
      <c r="A20" s="36" t="s">
        <v>49</v>
      </c>
      <c r="B20" s="37" t="s">
        <v>53</v>
      </c>
      <c r="C20" s="37" t="s">
        <v>4</v>
      </c>
      <c r="D20" s="37" t="s">
        <v>51</v>
      </c>
      <c r="E20" s="37" t="s">
        <v>37</v>
      </c>
      <c r="F20" s="37" t="s">
        <v>50</v>
      </c>
      <c r="G20" s="37" t="s">
        <v>47</v>
      </c>
      <c r="H20" s="37" t="s">
        <v>48</v>
      </c>
      <c r="I20" s="37" t="s">
        <v>3</v>
      </c>
      <c r="J20" s="37" t="s">
        <v>6</v>
      </c>
      <c r="K20" s="38" t="s">
        <v>5</v>
      </c>
    </row>
    <row r="21" spans="1:11" ht="30" customHeight="1" x14ac:dyDescent="0.25">
      <c r="A21" s="28" t="s">
        <v>8</v>
      </c>
      <c r="B21" s="29" t="s">
        <v>7</v>
      </c>
      <c r="C21" s="6">
        <v>90</v>
      </c>
      <c r="D21" s="39">
        <v>1</v>
      </c>
      <c r="E21" s="19" t="s">
        <v>38</v>
      </c>
      <c r="F21" s="7">
        <v>8918658</v>
      </c>
      <c r="G21" s="12">
        <v>43742</v>
      </c>
      <c r="H21" s="12">
        <v>43820</v>
      </c>
      <c r="I21" s="32">
        <f>Таблица63[[#This Row],[Конец]]-Таблица63[[#This Row],[Начало]]+1</f>
        <v>79</v>
      </c>
      <c r="J21" s="32">
        <f>Таблица63[[#This Row],[Факт]]-Таблица63[[#This Row],[План]]</f>
        <v>-11</v>
      </c>
      <c r="K21" s="32">
        <f>IF(Таблица63[[#This Row],[Факт - План]]&gt;10,Таблица63[[#This Row],[Акт, грн]]*$K$1,0)</f>
        <v>0</v>
      </c>
    </row>
    <row r="22" spans="1:11" ht="30" customHeight="1" x14ac:dyDescent="0.25">
      <c r="A22" s="28" t="s">
        <v>10</v>
      </c>
      <c r="B22" s="33" t="s">
        <v>26</v>
      </c>
      <c r="C22" s="6">
        <v>4</v>
      </c>
      <c r="D22" s="39">
        <v>2</v>
      </c>
      <c r="E22" s="9" t="s">
        <v>38</v>
      </c>
      <c r="F22" s="7">
        <v>6876828</v>
      </c>
      <c r="G22" s="12">
        <v>43820</v>
      </c>
      <c r="H22" s="12">
        <v>43827</v>
      </c>
      <c r="I22" s="32">
        <f>Таблица63[[#This Row],[Конец]]-Таблица63[[#This Row],[Начало]]+1</f>
        <v>8</v>
      </c>
      <c r="J22" s="32">
        <f>Таблица63[[#This Row],[Факт]]-Таблица63[[#This Row],[План]]</f>
        <v>4</v>
      </c>
      <c r="K22" s="32">
        <f>IF(Таблица63[[#This Row],[Факт - План]]&gt;10,Таблица63[[#This Row],[Акт, грн]]*$K$1,0)</f>
        <v>0</v>
      </c>
    </row>
    <row r="23" spans="1:11" ht="30" customHeight="1" x14ac:dyDescent="0.25">
      <c r="A23" s="28"/>
      <c r="B23" s="33" t="s">
        <v>61</v>
      </c>
      <c r="C23" s="31"/>
      <c r="D23" s="39">
        <v>3</v>
      </c>
      <c r="E23" s="41"/>
      <c r="F23" s="32">
        <v>6695490</v>
      </c>
      <c r="G23" s="30">
        <v>43827</v>
      </c>
      <c r="H23" s="30">
        <v>43880</v>
      </c>
      <c r="I23" s="66">
        <f>Таблица63[[#This Row],[Конец]]-Таблица63[[#This Row],[Начало]]+1</f>
        <v>54</v>
      </c>
      <c r="J23" s="32"/>
      <c r="K23" s="32"/>
    </row>
    <row r="24" spans="1:11" ht="30" customHeight="1" x14ac:dyDescent="0.25">
      <c r="A24" s="28" t="s">
        <v>15</v>
      </c>
      <c r="B24" s="33" t="s">
        <v>25</v>
      </c>
      <c r="C24" s="6">
        <v>33</v>
      </c>
      <c r="D24" s="40">
        <v>13</v>
      </c>
      <c r="E24" s="9" t="s">
        <v>39</v>
      </c>
      <c r="F24" s="7">
        <v>34059564</v>
      </c>
      <c r="G24" s="13">
        <v>43880</v>
      </c>
      <c r="H24" s="13">
        <v>43911</v>
      </c>
      <c r="I24" s="32">
        <f>Таблица63[[#This Row],[Конец]]-Таблица63[[#This Row],[Начало]]+1</f>
        <v>32</v>
      </c>
      <c r="J24" s="32">
        <f>Таблица63[[#This Row],[Факт]]-Таблица63[[#This Row],[План]]</f>
        <v>-1</v>
      </c>
      <c r="K24" s="32">
        <f>IF(Таблица63[[#This Row],[Факт - План]]&gt;10,Таблица63[[#This Row],[Акт, грн]]*$K$1,0)</f>
        <v>0</v>
      </c>
    </row>
    <row r="25" spans="1:11" ht="30" customHeight="1" x14ac:dyDescent="0.25">
      <c r="A25" s="28" t="s">
        <v>16</v>
      </c>
      <c r="B25" s="33" t="s">
        <v>24</v>
      </c>
      <c r="C25" s="6">
        <v>77</v>
      </c>
      <c r="D25" s="40">
        <v>15</v>
      </c>
      <c r="E25" s="9" t="s">
        <v>40</v>
      </c>
      <c r="F25" s="7">
        <v>79751952</v>
      </c>
      <c r="G25" s="13">
        <v>43911</v>
      </c>
      <c r="H25" s="13">
        <v>43967</v>
      </c>
      <c r="I25" s="32">
        <f>Таблица63[[#This Row],[Конец]]-Таблица63[[#This Row],[Начало]]+1</f>
        <v>57</v>
      </c>
      <c r="J25" s="32">
        <f>Таблица63[[#This Row],[Факт]]-Таблица63[[#This Row],[План]]</f>
        <v>-20</v>
      </c>
      <c r="K25" s="32">
        <f>IF(Таблица63[[#This Row],[Факт - План]]&gt;10,Таблица63[[#This Row],[Акт, грн]]*$K$1,0)</f>
        <v>0</v>
      </c>
    </row>
    <row r="26" spans="1:11" ht="30" customHeight="1" x14ac:dyDescent="0.25">
      <c r="A26" s="28" t="s">
        <v>18</v>
      </c>
      <c r="B26" s="33" t="s">
        <v>23</v>
      </c>
      <c r="C26" s="6">
        <v>40</v>
      </c>
      <c r="D26" s="40">
        <v>17</v>
      </c>
      <c r="E26" s="9" t="s">
        <v>41</v>
      </c>
      <c r="F26" s="7">
        <v>30398634</v>
      </c>
      <c r="G26" s="13">
        <v>43967</v>
      </c>
      <c r="H26" s="13">
        <v>43999</v>
      </c>
      <c r="I26" s="32">
        <f>Таблица63[[#This Row],[Конец]]-Таблица63[[#This Row],[Начало]]+1</f>
        <v>33</v>
      </c>
      <c r="J26" s="32">
        <f>Таблица63[[#This Row],[Факт]]-Таблица63[[#This Row],[План]]</f>
        <v>-7</v>
      </c>
      <c r="K26" s="32">
        <f>IF(Таблица63[[#This Row],[Факт - План]]&gt;10,Таблица63[[#This Row],[Акт, грн]]*$K$1,0)</f>
        <v>0</v>
      </c>
    </row>
    <row r="27" spans="1:11" ht="30" customHeight="1" x14ac:dyDescent="0.25">
      <c r="A27" s="28" t="s">
        <v>19</v>
      </c>
      <c r="B27" s="33" t="s">
        <v>22</v>
      </c>
      <c r="C27" s="6">
        <v>97</v>
      </c>
      <c r="D27" s="40">
        <v>19</v>
      </c>
      <c r="E27" s="9" t="s">
        <v>42</v>
      </c>
      <c r="F27" s="7">
        <v>292928580</v>
      </c>
      <c r="G27" s="13">
        <v>43999</v>
      </c>
      <c r="H27" s="13">
        <v>44430</v>
      </c>
      <c r="I27" s="32">
        <f>Таблица63[[#This Row],[Конец]]-Таблица63[[#This Row],[Начало]]+1</f>
        <v>432</v>
      </c>
      <c r="J27" s="32">
        <f>Таблица63[[#This Row],[Факт]]-Таблица63[[#This Row],[План]]</f>
        <v>335</v>
      </c>
      <c r="K27" s="32">
        <f>IF(Таблица63[[#This Row],[Факт - План]]&gt;10,Таблица63[[#This Row],[Акт, грн]]*$K$1,0)</f>
        <v>58585716</v>
      </c>
    </row>
    <row r="28" spans="1:11" ht="30" customHeight="1" x14ac:dyDescent="0.25">
      <c r="A28" s="28"/>
      <c r="B28" s="33" t="s">
        <v>58</v>
      </c>
      <c r="C28" s="31"/>
      <c r="D28" s="40"/>
      <c r="E28" s="41"/>
      <c r="F28" s="32"/>
      <c r="G28" s="34">
        <v>44129</v>
      </c>
      <c r="H28" s="34">
        <v>44233</v>
      </c>
      <c r="I28" s="66">
        <f>Таблица63[[#This Row],[Конец]]-Таблица63[[#This Row],[Начало]]+1</f>
        <v>105</v>
      </c>
      <c r="J28" s="32"/>
      <c r="K28" s="32"/>
    </row>
    <row r="29" spans="1:11" ht="30" customHeight="1" x14ac:dyDescent="0.25">
      <c r="A29" s="28" t="s">
        <v>20</v>
      </c>
      <c r="B29" s="29" t="s">
        <v>9</v>
      </c>
      <c r="C29" s="6">
        <v>40</v>
      </c>
      <c r="D29" s="40">
        <v>34</v>
      </c>
      <c r="E29" s="19" t="s">
        <v>42</v>
      </c>
      <c r="F29" s="7">
        <v>4515588</v>
      </c>
      <c r="G29" s="13">
        <v>44430</v>
      </c>
      <c r="H29" s="12">
        <v>44443</v>
      </c>
      <c r="I29" s="32">
        <f>Таблица63[[#This Row],[Конец]]-Таблица63[[#This Row],[Начало]]+1</f>
        <v>14</v>
      </c>
      <c r="J29" s="32">
        <f>Таблица63[[#This Row],[Факт]]-Таблица63[[#This Row],[План]]</f>
        <v>-26</v>
      </c>
      <c r="K29" s="32">
        <f>IF(Таблица63[[#This Row],[Факт - План]]&gt;10,Таблица63[[#This Row],[Акт, грн]]*$K$1,0)</f>
        <v>0</v>
      </c>
    </row>
    <row r="30" spans="1:11" ht="30" customHeight="1" x14ac:dyDescent="0.25">
      <c r="A30" s="45"/>
      <c r="B30" s="46"/>
      <c r="C30" s="47">
        <f>SUBTOTAL(109,Таблица63[План])</f>
        <v>381</v>
      </c>
      <c r="D30" s="46"/>
      <c r="E30" s="46"/>
      <c r="F30" s="48">
        <f>SUBTOTAL(109,Таблица63[Акт, грн])</f>
        <v>464145294</v>
      </c>
      <c r="G30" s="46"/>
      <c r="H30" s="46"/>
      <c r="I30" s="48">
        <f>SUBTOTAL(109,Таблица63[Факт])-I28</f>
        <v>709</v>
      </c>
      <c r="J30" s="48">
        <f>SUBTOTAL(109,Таблица63[Факт - План])</f>
        <v>274</v>
      </c>
      <c r="K30" s="48">
        <f>SUBTOTAL(109,Таблица63[Штраф, грн])</f>
        <v>58585716</v>
      </c>
    </row>
    <row r="31" spans="1:11" x14ac:dyDescent="0.25">
      <c r="A31" s="72" t="s">
        <v>56</v>
      </c>
      <c r="B31" s="73" t="s">
        <v>57</v>
      </c>
      <c r="C31" s="73"/>
      <c r="D31" s="73"/>
      <c r="E31" s="73"/>
      <c r="F31" s="74">
        <v>344753198.84799993</v>
      </c>
    </row>
    <row r="35" spans="1:11" ht="15.75" x14ac:dyDescent="0.25">
      <c r="B35" s="49" t="s">
        <v>2</v>
      </c>
    </row>
    <row r="37" spans="1:11" x14ac:dyDescent="0.25">
      <c r="A37" s="36" t="s">
        <v>49</v>
      </c>
      <c r="B37" s="37" t="s">
        <v>53</v>
      </c>
      <c r="C37" s="37" t="s">
        <v>4</v>
      </c>
      <c r="D37" s="37" t="s">
        <v>51</v>
      </c>
      <c r="E37" s="37" t="s">
        <v>37</v>
      </c>
      <c r="F37" s="37" t="s">
        <v>50</v>
      </c>
      <c r="G37" s="37" t="s">
        <v>47</v>
      </c>
      <c r="H37" s="37" t="s">
        <v>48</v>
      </c>
      <c r="I37" s="37" t="s">
        <v>3</v>
      </c>
      <c r="J37" s="37" t="s">
        <v>6</v>
      </c>
      <c r="K37" s="38" t="s">
        <v>5</v>
      </c>
    </row>
    <row r="38" spans="1:11" ht="30" customHeight="1" x14ac:dyDescent="0.25">
      <c r="A38" s="50" t="s">
        <v>8</v>
      </c>
      <c r="B38" s="51" t="s">
        <v>7</v>
      </c>
      <c r="C38" s="18">
        <v>30</v>
      </c>
      <c r="D38" s="52">
        <v>1</v>
      </c>
      <c r="E38" s="53" t="s">
        <v>43</v>
      </c>
      <c r="F38" s="17">
        <v>50988960</v>
      </c>
      <c r="G38" s="54">
        <v>44385</v>
      </c>
      <c r="H38" s="54">
        <v>44486</v>
      </c>
      <c r="I38" s="55">
        <f>Таблица685[[#This Row],[Конец]]-Таблица685[[#This Row],[Начало]]+1</f>
        <v>102</v>
      </c>
      <c r="J38" s="55">
        <f>Таблица685[[#This Row],[Факт]]-Таблица685[[#This Row],[План]]</f>
        <v>72</v>
      </c>
      <c r="K38" s="55">
        <f>IF(Таблица685[[#This Row],[Факт - План]]&gt;10,Таблица685[[#This Row],[Акт, грн]]*$K$1,0)</f>
        <v>10197792</v>
      </c>
    </row>
    <row r="39" spans="1:11" ht="30" customHeight="1" x14ac:dyDescent="0.25">
      <c r="A39" s="50" t="s">
        <v>10</v>
      </c>
      <c r="B39" s="56" t="s">
        <v>27</v>
      </c>
      <c r="C39" s="18">
        <v>5</v>
      </c>
      <c r="D39" s="52">
        <v>3</v>
      </c>
      <c r="E39" s="15" t="s">
        <v>43</v>
      </c>
      <c r="F39" s="17">
        <v>10349640</v>
      </c>
      <c r="G39" s="54">
        <v>44486</v>
      </c>
      <c r="H39" s="54">
        <v>44493</v>
      </c>
      <c r="I39" s="55">
        <f>Таблица685[[#This Row],[Конец]]-Таблица685[[#This Row],[Начало]]+1</f>
        <v>8</v>
      </c>
      <c r="J39" s="55">
        <f>Таблица685[[#This Row],[Факт]]-Таблица685[[#This Row],[План]]</f>
        <v>3</v>
      </c>
      <c r="K39" s="55">
        <f>IF(Таблица685[[#This Row],[Факт - План]]&gt;10,Таблица685[[#This Row],[Акт, грн]]*$K$1,0)</f>
        <v>0</v>
      </c>
    </row>
    <row r="40" spans="1:11" ht="30" customHeight="1" x14ac:dyDescent="0.25">
      <c r="A40" s="50" t="s">
        <v>15</v>
      </c>
      <c r="B40" s="56" t="s">
        <v>28</v>
      </c>
      <c r="C40" s="57">
        <v>39</v>
      </c>
      <c r="D40" s="52">
        <v>6</v>
      </c>
      <c r="E40" s="58" t="s">
        <v>44</v>
      </c>
      <c r="F40" s="55">
        <v>64029240</v>
      </c>
      <c r="G40" s="59">
        <v>44493</v>
      </c>
      <c r="H40" s="59">
        <v>44561</v>
      </c>
      <c r="I40" s="55">
        <f>Таблица685[[#This Row],[Конец]]-Таблица685[[#This Row],[Начало]]</f>
        <v>68</v>
      </c>
      <c r="J40" s="55">
        <f>Таблица685[[#This Row],[Факт]]-Таблица685[[#This Row],[План]]</f>
        <v>29</v>
      </c>
      <c r="K40" s="55">
        <f>IF(Таблица685[[#This Row],[Факт - План]]&gt;10,Таблица685[[#This Row],[Акт, грн]]*$K$1,0)</f>
        <v>12805848</v>
      </c>
    </row>
    <row r="41" spans="1:11" ht="30" customHeight="1" x14ac:dyDescent="0.25">
      <c r="A41" s="50" t="s">
        <v>16</v>
      </c>
      <c r="B41" s="56" t="s">
        <v>29</v>
      </c>
      <c r="C41" s="18">
        <v>82</v>
      </c>
      <c r="D41" s="60">
        <v>15</v>
      </c>
      <c r="E41" s="15" t="s">
        <v>45</v>
      </c>
      <c r="F41" s="17">
        <v>142097760</v>
      </c>
      <c r="G41" s="16">
        <v>44561</v>
      </c>
      <c r="H41" s="65" t="s">
        <v>45</v>
      </c>
      <c r="I41" s="55">
        <f>Таблица685[[#This Row],[Конец]]-Таблица685[[#This Row],[Начало]]-I42</f>
        <v>93</v>
      </c>
      <c r="J41" s="55">
        <f>Таблица685[[#This Row],[Факт]]-Таблица685[[#This Row],[План]]</f>
        <v>11</v>
      </c>
      <c r="K41" s="55">
        <f>IF(Таблица685[[#This Row],[Факт - План]]&gt;10,Таблица685[[#This Row],[Акт, грн]]*$K$1,0)</f>
        <v>28419552</v>
      </c>
    </row>
    <row r="42" spans="1:11" ht="30" customHeight="1" x14ac:dyDescent="0.25">
      <c r="A42" s="50"/>
      <c r="B42" s="68" t="s">
        <v>60</v>
      </c>
      <c r="C42" s="23"/>
      <c r="D42" s="69">
        <v>14</v>
      </c>
      <c r="E42" s="20" t="s">
        <v>59</v>
      </c>
      <c r="F42" s="22">
        <v>49001172</v>
      </c>
      <c r="G42" s="21">
        <v>44616</v>
      </c>
      <c r="H42" s="21">
        <v>44744</v>
      </c>
      <c r="I42" s="70">
        <f>Таблица685[[#This Row],[Конец]]-Таблица685[[#This Row],[Начало]]</f>
        <v>128</v>
      </c>
      <c r="J42" s="71"/>
      <c r="K42" s="71"/>
    </row>
    <row r="43" spans="1:11" ht="30" customHeight="1" x14ac:dyDescent="0.25">
      <c r="A43" s="50" t="s">
        <v>18</v>
      </c>
      <c r="B43" s="56" t="s">
        <v>30</v>
      </c>
      <c r="C43" s="18">
        <v>48</v>
      </c>
      <c r="D43" s="60"/>
      <c r="E43" s="15"/>
      <c r="F43" s="17"/>
      <c r="G43" s="16"/>
      <c r="H43" s="16"/>
      <c r="I43" s="55"/>
      <c r="J43" s="55"/>
      <c r="K43" s="55"/>
    </row>
    <row r="44" spans="1:11" ht="30" customHeight="1" x14ac:dyDescent="0.25">
      <c r="A44" s="50" t="s">
        <v>19</v>
      </c>
      <c r="B44" s="56" t="s">
        <v>22</v>
      </c>
      <c r="C44" s="18">
        <v>110</v>
      </c>
      <c r="D44" s="60"/>
      <c r="E44" s="15"/>
      <c r="F44" s="17"/>
      <c r="G44" s="16"/>
      <c r="H44" s="16"/>
      <c r="I44" s="55"/>
      <c r="J44" s="55"/>
      <c r="K44" s="55"/>
    </row>
    <row r="45" spans="1:11" ht="30" customHeight="1" x14ac:dyDescent="0.25">
      <c r="A45" s="50" t="s">
        <v>20</v>
      </c>
      <c r="B45" s="51" t="s">
        <v>9</v>
      </c>
      <c r="C45" s="18">
        <v>30</v>
      </c>
      <c r="D45" s="60">
        <v>18</v>
      </c>
      <c r="E45" s="53" t="s">
        <v>46</v>
      </c>
      <c r="F45" s="17">
        <v>12760560</v>
      </c>
      <c r="G45" s="16">
        <v>44786</v>
      </c>
      <c r="H45" s="65" t="s">
        <v>46</v>
      </c>
      <c r="I45" s="55">
        <f>Таблица685[[#This Row],[Конец]]-Таблица685[[#This Row],[Начало]]+1</f>
        <v>19</v>
      </c>
      <c r="J45" s="55">
        <f>Таблица685[[#This Row],[Факт]]-Таблица685[[#This Row],[План]]</f>
        <v>-11</v>
      </c>
      <c r="K45" s="55">
        <f>IF(Таблица685[[#This Row],[Факт - План]]&gt;10,Таблица685[[#This Row],[Акт, грн]]*$K$1,0)</f>
        <v>0</v>
      </c>
    </row>
    <row r="46" spans="1:11" ht="30" customHeight="1" x14ac:dyDescent="0.25">
      <c r="A46" s="61"/>
      <c r="B46" s="62"/>
      <c r="C46" s="63">
        <f>SUBTOTAL(109,Таблица685[План])</f>
        <v>344</v>
      </c>
      <c r="D46" s="62"/>
      <c r="E46" s="62"/>
      <c r="F46" s="64">
        <f>SUBTOTAL(109,Таблица685[Акт, грн])</f>
        <v>329227332</v>
      </c>
      <c r="G46" s="62"/>
      <c r="H46" s="62"/>
      <c r="I46" s="64">
        <f>SUBTOTAL(109,Таблица685[Факт])-I42</f>
        <v>290</v>
      </c>
      <c r="J46" s="64">
        <f>SUBTOTAL(109,Таблица685[Факт - План])</f>
        <v>104</v>
      </c>
      <c r="K46" s="64">
        <f>SUBTOTAL(109,Таблица685[Штраф, грн])</f>
        <v>51423192</v>
      </c>
    </row>
    <row r="47" spans="1:11" x14ac:dyDescent="0.25">
      <c r="A47" s="75" t="s">
        <v>56</v>
      </c>
      <c r="B47" s="76" t="s">
        <v>57</v>
      </c>
      <c r="C47" s="76"/>
      <c r="D47" s="76"/>
      <c r="E47" s="76"/>
      <c r="F47" s="77">
        <v>115861342.89000002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6" fitToHeight="4" orientation="landscape" horizontalDpi="300" verticalDpi="300" r:id="rId1"/>
  <ignoredErrors>
    <ignoredError sqref="K4:K13" calculatedColumn="1"/>
  </ignoredErrors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6682-1E92-42D2-BCC8-45CFF1119141}">
  <sheetPr>
    <pageSetUpPr fitToPage="1"/>
  </sheetPr>
  <dimension ref="A1:K47"/>
  <sheetViews>
    <sheetView topLeftCell="A31" workbookViewId="0">
      <selection activeCell="I41" sqref="I41"/>
    </sheetView>
  </sheetViews>
  <sheetFormatPr defaultRowHeight="15" x14ac:dyDescent="0.25"/>
  <cols>
    <col min="1" max="1" width="9.85546875" customWidth="1"/>
    <col min="2" max="2" width="41.85546875" customWidth="1"/>
    <col min="3" max="3" width="14.5703125" customWidth="1"/>
    <col min="4" max="5" width="14.5703125" hidden="1" customWidth="1"/>
    <col min="6" max="6" width="16.5703125" customWidth="1"/>
    <col min="7" max="10" width="14.5703125" customWidth="1"/>
    <col min="11" max="11" width="16.5703125" customWidth="1"/>
    <col min="12" max="12" width="4" bestFit="1" customWidth="1"/>
    <col min="13" max="19" width="2" bestFit="1" customWidth="1"/>
    <col min="20" max="20" width="4" bestFit="1" customWidth="1"/>
    <col min="21" max="21" width="3" bestFit="1" customWidth="1"/>
    <col min="22" max="22" width="5" bestFit="1" customWidth="1"/>
    <col min="23" max="26" width="3" bestFit="1" customWidth="1"/>
    <col min="27" max="27" width="5" bestFit="1" customWidth="1"/>
    <col min="28" max="30" width="3" bestFit="1" customWidth="1"/>
    <col min="31" max="31" width="5" bestFit="1" customWidth="1"/>
    <col min="32" max="32" width="10" bestFit="1" customWidth="1"/>
    <col min="33" max="46" width="3" bestFit="1" customWidth="1"/>
    <col min="47" max="47" width="10" bestFit="1" customWidth="1"/>
    <col min="48" max="50" width="3" bestFit="1" customWidth="1"/>
    <col min="51" max="51" width="5" bestFit="1" customWidth="1"/>
    <col min="52" max="59" width="3" bestFit="1" customWidth="1"/>
    <col min="60" max="60" width="10" bestFit="1" customWidth="1"/>
    <col min="61" max="70" width="3" bestFit="1" customWidth="1"/>
    <col min="71" max="71" width="4" bestFit="1" customWidth="1"/>
    <col min="72" max="72" width="7.42578125" bestFit="1" customWidth="1"/>
    <col min="73" max="73" width="11.85546875" bestFit="1" customWidth="1"/>
    <col min="74" max="125" width="4.5703125" bestFit="1" customWidth="1"/>
    <col min="126" max="316" width="5.5703125" bestFit="1" customWidth="1"/>
    <col min="317" max="332" width="6.5703125" bestFit="1" customWidth="1"/>
    <col min="333" max="333" width="11.85546875" bestFit="1" customWidth="1"/>
    <col min="334" max="345" width="5.5703125" bestFit="1" customWidth="1"/>
    <col min="346" max="347" width="6.5703125" bestFit="1" customWidth="1"/>
    <col min="348" max="348" width="7.5703125" bestFit="1" customWidth="1"/>
    <col min="349" max="349" width="4.85546875" bestFit="1" customWidth="1"/>
    <col min="350" max="350" width="7.5703125" bestFit="1" customWidth="1"/>
    <col min="351" max="351" width="4.85546875" bestFit="1" customWidth="1"/>
    <col min="352" max="352" width="5.5703125" bestFit="1" customWidth="1"/>
    <col min="353" max="353" width="7.5703125" bestFit="1" customWidth="1"/>
    <col min="354" max="354" width="4.85546875" bestFit="1" customWidth="1"/>
    <col min="355" max="355" width="7.5703125" bestFit="1" customWidth="1"/>
    <col min="356" max="362" width="5.5703125" bestFit="1" customWidth="1"/>
    <col min="363" max="363" width="7.5703125" bestFit="1" customWidth="1"/>
    <col min="364" max="364" width="4.85546875" bestFit="1" customWidth="1"/>
    <col min="365" max="365" width="4.5703125" bestFit="1" customWidth="1"/>
    <col min="366" max="368" width="5.5703125" bestFit="1" customWidth="1"/>
    <col min="369" max="369" width="7.5703125" bestFit="1" customWidth="1"/>
    <col min="370" max="370" width="4.85546875" bestFit="1" customWidth="1"/>
    <col min="371" max="371" width="7.5703125" bestFit="1" customWidth="1"/>
    <col min="372" max="372" width="11.85546875" bestFit="1" customWidth="1"/>
    <col min="373" max="373" width="14.28515625" bestFit="1" customWidth="1"/>
    <col min="374" max="375" width="5.5703125" bestFit="1" customWidth="1"/>
    <col min="376" max="376" width="7.5703125" bestFit="1" customWidth="1"/>
    <col min="377" max="377" width="5.5703125" bestFit="1" customWidth="1"/>
    <col min="378" max="378" width="7.5703125" bestFit="1" customWidth="1"/>
    <col min="379" max="381" width="5.5703125" bestFit="1" customWidth="1"/>
    <col min="382" max="382" width="7.5703125" bestFit="1" customWidth="1"/>
    <col min="383" max="383" width="6.85546875" bestFit="1" customWidth="1"/>
    <col min="385" max="385" width="5.5703125" bestFit="1" customWidth="1"/>
    <col min="386" max="386" width="7.5703125" bestFit="1" customWidth="1"/>
    <col min="387" max="387" width="4.85546875" bestFit="1" customWidth="1"/>
    <col min="388" max="388" width="7.5703125" bestFit="1" customWidth="1"/>
    <col min="389" max="390" width="5.5703125" bestFit="1" customWidth="1"/>
    <col min="391" max="391" width="6.5703125" bestFit="1" customWidth="1"/>
    <col min="392" max="392" width="7.5703125" bestFit="1" customWidth="1"/>
    <col min="393" max="393" width="5.5703125" bestFit="1" customWidth="1"/>
    <col min="394" max="394" width="7.5703125" bestFit="1" customWidth="1"/>
    <col min="395" max="395" width="6.5703125" bestFit="1" customWidth="1"/>
    <col min="396" max="396" width="7.5703125" bestFit="1" customWidth="1"/>
    <col min="397" max="398" width="5.5703125" bestFit="1" customWidth="1"/>
    <col min="399" max="399" width="6.5703125" bestFit="1" customWidth="1"/>
    <col min="400" max="400" width="7.5703125" bestFit="1" customWidth="1"/>
    <col min="401" max="401" width="5.5703125" bestFit="1" customWidth="1"/>
    <col min="402" max="402" width="7.5703125" bestFit="1" customWidth="1"/>
    <col min="403" max="403" width="4.85546875" bestFit="1" customWidth="1"/>
    <col min="404" max="404" width="7.5703125" bestFit="1" customWidth="1"/>
    <col min="405" max="405" width="11.85546875" bestFit="1" customWidth="1"/>
    <col min="406" max="406" width="14.28515625" bestFit="1" customWidth="1"/>
    <col min="407" max="408" width="6.5703125" bestFit="1" customWidth="1"/>
    <col min="409" max="409" width="7.5703125" bestFit="1" customWidth="1"/>
    <col min="410" max="410" width="4.85546875" bestFit="1" customWidth="1"/>
    <col min="411" max="411" width="5.5703125" bestFit="1" customWidth="1"/>
    <col min="412" max="412" width="7.5703125" bestFit="1" customWidth="1"/>
    <col min="413" max="413" width="5.5703125" bestFit="1" customWidth="1"/>
    <col min="414" max="414" width="7.5703125" bestFit="1" customWidth="1"/>
    <col min="415" max="415" width="5.5703125" bestFit="1" customWidth="1"/>
    <col min="416" max="416" width="7.5703125" bestFit="1" customWidth="1"/>
    <col min="417" max="417" width="5.5703125" bestFit="1" customWidth="1"/>
    <col min="418" max="418" width="7.5703125" bestFit="1" customWidth="1"/>
    <col min="419" max="420" width="5.5703125" bestFit="1" customWidth="1"/>
    <col min="421" max="421" width="7.5703125" bestFit="1" customWidth="1"/>
    <col min="422" max="422" width="5.5703125" bestFit="1" customWidth="1"/>
    <col min="423" max="423" width="7.5703125" bestFit="1" customWidth="1"/>
    <col min="424" max="424" width="5.5703125" bestFit="1" customWidth="1"/>
    <col min="425" max="425" width="7.5703125" bestFit="1" customWidth="1"/>
    <col min="426" max="426" width="6.5703125" bestFit="1" customWidth="1"/>
    <col min="427" max="427" width="7.5703125" bestFit="1" customWidth="1"/>
    <col min="428" max="428" width="5.5703125" bestFit="1" customWidth="1"/>
    <col min="429" max="429" width="7.5703125" bestFit="1" customWidth="1"/>
    <col min="430" max="430" width="5.85546875" bestFit="1" customWidth="1"/>
    <col min="431" max="431" width="8.5703125" bestFit="1" customWidth="1"/>
    <col min="432" max="432" width="9.28515625" bestFit="1" customWidth="1"/>
    <col min="433" max="433" width="12" bestFit="1" customWidth="1"/>
    <col min="434" max="434" width="11.85546875" bestFit="1" customWidth="1"/>
  </cols>
  <sheetData>
    <row r="1" spans="1:11" ht="18.75" x14ac:dyDescent="0.3">
      <c r="B1" s="25" t="s">
        <v>1</v>
      </c>
      <c r="K1" s="2">
        <v>0.2</v>
      </c>
    </row>
    <row r="3" spans="1:11" x14ac:dyDescent="0.25">
      <c r="A3" s="1" t="s">
        <v>49</v>
      </c>
      <c r="B3" s="1" t="s">
        <v>53</v>
      </c>
      <c r="C3" s="1" t="s">
        <v>4</v>
      </c>
      <c r="D3" s="1" t="s">
        <v>51</v>
      </c>
      <c r="E3" s="1" t="s">
        <v>37</v>
      </c>
      <c r="F3" s="1" t="s">
        <v>50</v>
      </c>
      <c r="G3" s="1" t="s">
        <v>47</v>
      </c>
      <c r="H3" s="1" t="s">
        <v>48</v>
      </c>
      <c r="I3" s="1" t="s">
        <v>3</v>
      </c>
      <c r="J3" s="1" t="s">
        <v>6</v>
      </c>
      <c r="K3" s="1" t="s">
        <v>5</v>
      </c>
    </row>
    <row r="4" spans="1:11" ht="30" customHeight="1" x14ac:dyDescent="0.25">
      <c r="A4" s="8" t="s">
        <v>8</v>
      </c>
      <c r="B4" s="3" t="s">
        <v>7</v>
      </c>
      <c r="C4" s="4">
        <v>30</v>
      </c>
      <c r="D4" s="8">
        <v>1</v>
      </c>
      <c r="E4" s="24" t="s">
        <v>31</v>
      </c>
      <c r="F4" s="5">
        <v>6592140</v>
      </c>
      <c r="G4" s="78">
        <v>44093</v>
      </c>
      <c r="H4" s="11">
        <v>44144</v>
      </c>
      <c r="I4" s="5">
        <f>Таблица4673426[[#This Row],[Конец]]-Таблица4673426[[#This Row],[Начало]]+1</f>
        <v>52</v>
      </c>
      <c r="J4" s="5">
        <f>Таблица4673426[[#This Row],[Факт]]-Таблица4673426[[#This Row],[План]]</f>
        <v>22</v>
      </c>
      <c r="K4" s="5">
        <f>IF(Таблица4673426[[#This Row],[Факт - План]]&gt;10,Таблица4673426[[#This Row],[Акт, грн]]*$K$1,0)</f>
        <v>1318428</v>
      </c>
    </row>
    <row r="5" spans="1:11" ht="30" customHeight="1" x14ac:dyDescent="0.25">
      <c r="A5" s="10"/>
      <c r="B5" s="3" t="s">
        <v>62</v>
      </c>
      <c r="C5" s="14"/>
      <c r="D5" s="8">
        <v>2</v>
      </c>
      <c r="E5" s="8" t="s">
        <v>31</v>
      </c>
      <c r="F5" s="5">
        <v>15789312</v>
      </c>
      <c r="G5" s="11">
        <v>44145</v>
      </c>
      <c r="H5" s="11">
        <v>44208</v>
      </c>
      <c r="I5" s="67">
        <f>Таблица4673426[[#This Row],[Конец]]-Таблица4673426[[#This Row],[Начало]]+1</f>
        <v>64</v>
      </c>
      <c r="J5" s="5"/>
      <c r="K5" s="5"/>
    </row>
    <row r="6" spans="1:11" ht="30" customHeight="1" x14ac:dyDescent="0.25">
      <c r="A6" s="8" t="s">
        <v>10</v>
      </c>
      <c r="B6" s="3" t="s">
        <v>12</v>
      </c>
      <c r="C6" s="4">
        <v>6</v>
      </c>
      <c r="D6" s="8">
        <v>3</v>
      </c>
      <c r="E6" s="8" t="s">
        <v>32</v>
      </c>
      <c r="F6" s="5">
        <v>7462315.2000000002</v>
      </c>
      <c r="G6" s="11">
        <v>44208</v>
      </c>
      <c r="H6" s="11">
        <v>44223</v>
      </c>
      <c r="I6" s="5">
        <f>Таблица4673426[[#This Row],[Конец]]-Таблица4673426[[#This Row],[Начало]]+1</f>
        <v>16</v>
      </c>
      <c r="J6" s="5">
        <f>Таблица4673426[[#This Row],[Факт]]-Таблица4673426[[#This Row],[План]]</f>
        <v>10</v>
      </c>
      <c r="K6" s="5">
        <f>IF(Таблица4673426[[#This Row],[Факт - План]]&gt;10,Таблица4673426[[#This Row],[Акт, грн]]*$K$1,0)</f>
        <v>0</v>
      </c>
    </row>
    <row r="7" spans="1:11" ht="30" customHeight="1" x14ac:dyDescent="0.25">
      <c r="A7" s="8" t="s">
        <v>15</v>
      </c>
      <c r="B7" s="3" t="s">
        <v>13</v>
      </c>
      <c r="C7" s="4">
        <v>52</v>
      </c>
      <c r="D7" s="8">
        <v>4</v>
      </c>
      <c r="E7" s="8" t="s">
        <v>33</v>
      </c>
      <c r="F7" s="5">
        <v>81495132</v>
      </c>
      <c r="G7" s="11">
        <v>44223</v>
      </c>
      <c r="H7" s="11">
        <v>44274</v>
      </c>
      <c r="I7" s="5">
        <f>Таблица4673426[[#This Row],[Конец]]-Таблица4673426[[#This Row],[Начало]]+1</f>
        <v>52</v>
      </c>
      <c r="J7" s="5">
        <f>Таблица4673426[[#This Row],[Факт]]-Таблица4673426[[#This Row],[План]]</f>
        <v>0</v>
      </c>
      <c r="K7" s="5">
        <f>IF(Таблица4673426[[#This Row],[Факт - План]]&gt;10,Таблица4673426[[#This Row],[Акт, грн]]*$K$1,0)</f>
        <v>0</v>
      </c>
    </row>
    <row r="8" spans="1:11" ht="30" customHeight="1" x14ac:dyDescent="0.25">
      <c r="A8" s="8" t="s">
        <v>16</v>
      </c>
      <c r="B8" s="3" t="s">
        <v>14</v>
      </c>
      <c r="C8" s="4">
        <v>99</v>
      </c>
      <c r="D8" s="8">
        <v>5</v>
      </c>
      <c r="E8" s="8" t="s">
        <v>34</v>
      </c>
      <c r="F8" s="5">
        <v>140602046.40000001</v>
      </c>
      <c r="G8" s="11">
        <v>44274</v>
      </c>
      <c r="H8" s="11">
        <v>44388</v>
      </c>
      <c r="I8" s="5">
        <f>Таблица4673426[[#This Row],[Конец]]-Таблица4673426[[#This Row],[Начало]]+1</f>
        <v>115</v>
      </c>
      <c r="J8" s="5">
        <f>Таблица4673426[[#This Row],[Факт]]-Таблица4673426[[#This Row],[План]]</f>
        <v>16</v>
      </c>
      <c r="K8" s="5">
        <f>IF(Таблица4673426[[#This Row],[Факт - План]]&gt;10,Таблица4673426[[#This Row],[Акт, грн]]*$K$1,0)</f>
        <v>28120409.280000001</v>
      </c>
    </row>
    <row r="9" spans="1:11" ht="30" customHeight="1" x14ac:dyDescent="0.25">
      <c r="A9" s="8" t="s">
        <v>18</v>
      </c>
      <c r="B9" s="3" t="s">
        <v>17</v>
      </c>
      <c r="C9" s="4">
        <v>61</v>
      </c>
      <c r="D9" s="8">
        <v>6</v>
      </c>
      <c r="E9" s="8" t="s">
        <v>35</v>
      </c>
      <c r="F9" s="5">
        <v>81960556.799999997</v>
      </c>
      <c r="G9" s="11">
        <v>44388</v>
      </c>
      <c r="H9" s="11">
        <v>44436</v>
      </c>
      <c r="I9" s="5">
        <f>Таблица4673426[[#This Row],[Конец]]-Таблица4673426[[#This Row],[Начало]]+1</f>
        <v>49</v>
      </c>
      <c r="J9" s="5">
        <f>Таблица4673426[[#This Row],[Факт]]-Таблица4673426[[#This Row],[План]]</f>
        <v>-12</v>
      </c>
      <c r="K9" s="5">
        <f>IF(Таблица4673426[[#This Row],[Факт - План]]&gt;10,Таблица4673426[[#This Row],[Акт, грн]]*$K$1,0)</f>
        <v>0</v>
      </c>
    </row>
    <row r="10" spans="1:11" ht="30" customHeight="1" x14ac:dyDescent="0.25">
      <c r="A10" s="8" t="s">
        <v>19</v>
      </c>
      <c r="B10" s="3" t="s">
        <v>55</v>
      </c>
      <c r="C10" s="4">
        <v>104</v>
      </c>
      <c r="D10" s="8" t="s">
        <v>52</v>
      </c>
      <c r="E10" s="24" t="s">
        <v>36</v>
      </c>
      <c r="F10" s="5">
        <v>208502928.47999999</v>
      </c>
      <c r="G10" s="11">
        <v>44436</v>
      </c>
      <c r="H10" s="11">
        <v>44551</v>
      </c>
      <c r="I10" s="5">
        <f>Таблица4673426[[#This Row],[Конец]]-Таблица4673426[[#This Row],[Начало]]+1</f>
        <v>116</v>
      </c>
      <c r="J10" s="5">
        <f>Таблица4673426[[#This Row],[Факт]]-Таблица4673426[[#This Row],[План]]</f>
        <v>12</v>
      </c>
      <c r="K10" s="5">
        <f>IF(Таблица4673426[[#This Row],[Факт - План]]&gt;10,Таблица4673426[[#This Row],[Акт, грн]]*$K$1,0)</f>
        <v>41700585.696000002</v>
      </c>
    </row>
    <row r="11" spans="1:11" ht="30" customHeight="1" x14ac:dyDescent="0.25">
      <c r="A11" s="8" t="s">
        <v>20</v>
      </c>
      <c r="B11" s="3" t="s">
        <v>21</v>
      </c>
      <c r="C11" s="4">
        <v>18</v>
      </c>
      <c r="D11" s="8">
        <v>11</v>
      </c>
      <c r="E11" s="10" t="s">
        <v>36</v>
      </c>
      <c r="F11" s="5">
        <v>39590618.399999999</v>
      </c>
      <c r="G11" s="11">
        <v>44551</v>
      </c>
      <c r="H11" s="26" t="s">
        <v>36</v>
      </c>
      <c r="I11" s="5">
        <f>Таблица4673426[[#This Row],[Конец]]-Таблица4673426[[#This Row],[Начало]]+1</f>
        <v>23</v>
      </c>
      <c r="J11" s="5">
        <f>Таблица4673426[[#This Row],[Факт]]-Таблица4673426[[#This Row],[План]]</f>
        <v>5</v>
      </c>
      <c r="K11" s="5">
        <f>IF(Таблица4673426[[#This Row],[Факт - План]]&gt;10,Таблица4673426[[#This Row],[Акт, грн]]*$K$1,0)</f>
        <v>0</v>
      </c>
    </row>
    <row r="12" spans="1:11" ht="30" customHeight="1" x14ac:dyDescent="0.25">
      <c r="A12" s="10"/>
      <c r="B12" s="3" t="s">
        <v>54</v>
      </c>
      <c r="C12" s="4"/>
      <c r="D12" s="8"/>
      <c r="E12" s="8"/>
      <c r="F12" s="5"/>
      <c r="G12" s="11">
        <v>44616</v>
      </c>
      <c r="H12" s="11">
        <v>44682</v>
      </c>
      <c r="I12" s="5">
        <f>Таблица4673426[[#This Row],[Конец]]-Таблица4673426[[#This Row],[Начало]]+1</f>
        <v>67</v>
      </c>
      <c r="J12" s="5"/>
      <c r="K12" s="5"/>
    </row>
    <row r="13" spans="1:11" ht="30" customHeight="1" x14ac:dyDescent="0.25">
      <c r="A13" s="8" t="s">
        <v>11</v>
      </c>
      <c r="B13" s="3" t="s">
        <v>9</v>
      </c>
      <c r="C13" s="4">
        <v>30</v>
      </c>
      <c r="D13" s="8">
        <v>12</v>
      </c>
      <c r="E13" s="27" t="s">
        <v>36</v>
      </c>
      <c r="F13" s="5">
        <v>3022908</v>
      </c>
      <c r="G13" s="79" t="s">
        <v>36</v>
      </c>
      <c r="H13" s="79" t="s">
        <v>36</v>
      </c>
      <c r="I13" s="5">
        <f>Таблица4673426[[#This Row],[Конец]]-Таблица4673426[[#This Row],[Начало]]+1</f>
        <v>1</v>
      </c>
      <c r="J13" s="5">
        <f>Таблица4673426[[#This Row],[Факт]]-Таблица4673426[[#This Row],[План]]</f>
        <v>-29</v>
      </c>
      <c r="K13" s="5">
        <f>IF(Таблица4673426[[#This Row],[Факт - План]]&gt;10,Таблица4673426[[#This Row],[Акт, грн]]*$K$1,0)</f>
        <v>0</v>
      </c>
    </row>
    <row r="14" spans="1:11" ht="30" customHeight="1" x14ac:dyDescent="0.25">
      <c r="A14" s="42"/>
      <c r="B14" s="42"/>
      <c r="C14" s="43">
        <f>SUBTOTAL(109,Таблица4673426[План])</f>
        <v>400</v>
      </c>
      <c r="D14" s="42"/>
      <c r="E14" s="42"/>
      <c r="F14" s="44">
        <f>SUBTOTAL(109,Таблица4673426[Акт, грн])</f>
        <v>585017957.27999997</v>
      </c>
      <c r="G14" s="42"/>
      <c r="H14" s="42"/>
      <c r="I14" s="44">
        <f>SUBTOTAL(109,Таблица4673426[Факт])-I12-I5</f>
        <v>424</v>
      </c>
      <c r="J14" s="44">
        <f>SUBTOTAL(109,Таблица4673426[Факт - План])</f>
        <v>24</v>
      </c>
      <c r="K14" s="44">
        <f>SUBTOTAL(109,Таблица4673426[Штраф, грн])</f>
        <v>71139422.976000011</v>
      </c>
    </row>
    <row r="18" spans="1:11" ht="15.75" x14ac:dyDescent="0.25">
      <c r="B18" s="35" t="s">
        <v>0</v>
      </c>
    </row>
    <row r="20" spans="1:11" x14ac:dyDescent="0.25">
      <c r="A20" s="36" t="s">
        <v>49</v>
      </c>
      <c r="B20" s="37" t="s">
        <v>53</v>
      </c>
      <c r="C20" s="37" t="s">
        <v>4</v>
      </c>
      <c r="D20" s="37" t="s">
        <v>51</v>
      </c>
      <c r="E20" s="37" t="s">
        <v>37</v>
      </c>
      <c r="F20" s="37" t="s">
        <v>50</v>
      </c>
      <c r="G20" s="37" t="s">
        <v>47</v>
      </c>
      <c r="H20" s="37" t="s">
        <v>48</v>
      </c>
      <c r="I20" s="37" t="s">
        <v>3</v>
      </c>
      <c r="J20" s="37" t="s">
        <v>6</v>
      </c>
      <c r="K20" s="38" t="s">
        <v>5</v>
      </c>
    </row>
    <row r="21" spans="1:11" ht="30" customHeight="1" x14ac:dyDescent="0.25">
      <c r="A21" s="28" t="s">
        <v>8</v>
      </c>
      <c r="B21" s="29" t="s">
        <v>7</v>
      </c>
      <c r="C21" s="6">
        <v>90</v>
      </c>
      <c r="D21" s="39">
        <v>1</v>
      </c>
      <c r="E21" s="19" t="s">
        <v>38</v>
      </c>
      <c r="F21" s="7">
        <v>8918658</v>
      </c>
      <c r="G21" s="12">
        <v>43742</v>
      </c>
      <c r="H21" s="12">
        <v>43820</v>
      </c>
      <c r="I21" s="32">
        <f>Таблица639[[#This Row],[Конец]]-Таблица639[[#This Row],[Начало]]+1</f>
        <v>79</v>
      </c>
      <c r="J21" s="32">
        <f>Таблица639[[#This Row],[Факт]]-Таблица639[[#This Row],[План]]</f>
        <v>-11</v>
      </c>
      <c r="K21" s="32">
        <f>IF(Таблица639[[#This Row],[Факт - План]]&gt;10,Таблица639[[#This Row],[Акт, грн]]*$K$1,0)</f>
        <v>0</v>
      </c>
    </row>
    <row r="22" spans="1:11" ht="30" customHeight="1" x14ac:dyDescent="0.25">
      <c r="A22" s="28" t="s">
        <v>10</v>
      </c>
      <c r="B22" s="33" t="s">
        <v>26</v>
      </c>
      <c r="C22" s="6">
        <v>4</v>
      </c>
      <c r="D22" s="39">
        <v>2</v>
      </c>
      <c r="E22" s="9" t="s">
        <v>38</v>
      </c>
      <c r="F22" s="7">
        <v>6876828</v>
      </c>
      <c r="G22" s="12">
        <v>43820</v>
      </c>
      <c r="H22" s="12">
        <v>43827</v>
      </c>
      <c r="I22" s="32">
        <f>Таблица639[[#This Row],[Конец]]-Таблица639[[#This Row],[Начало]]+1</f>
        <v>8</v>
      </c>
      <c r="J22" s="32">
        <f>Таблица639[[#This Row],[Факт]]-Таблица639[[#This Row],[План]]</f>
        <v>4</v>
      </c>
      <c r="K22" s="32">
        <f>IF(Таблица639[[#This Row],[Факт - План]]&gt;10,Таблица639[[#This Row],[Акт, грн]]*$K$1,0)</f>
        <v>0</v>
      </c>
    </row>
    <row r="23" spans="1:11" ht="30" customHeight="1" x14ac:dyDescent="0.25">
      <c r="A23" s="28"/>
      <c r="B23" s="33" t="s">
        <v>61</v>
      </c>
      <c r="C23" s="31"/>
      <c r="D23" s="39">
        <v>3</v>
      </c>
      <c r="E23" s="41"/>
      <c r="F23" s="32">
        <v>6695490</v>
      </c>
      <c r="G23" s="30">
        <v>43827</v>
      </c>
      <c r="H23" s="30">
        <v>43880</v>
      </c>
      <c r="I23" s="66">
        <f>Таблица639[[#This Row],[Конец]]-Таблица639[[#This Row],[Начало]]+1</f>
        <v>54</v>
      </c>
      <c r="J23" s="32"/>
      <c r="K23" s="32"/>
    </row>
    <row r="24" spans="1:11" ht="30" customHeight="1" x14ac:dyDescent="0.25">
      <c r="A24" s="28" t="s">
        <v>15</v>
      </c>
      <c r="B24" s="33" t="s">
        <v>25</v>
      </c>
      <c r="C24" s="6">
        <v>33</v>
      </c>
      <c r="D24" s="40">
        <v>13</v>
      </c>
      <c r="E24" s="9" t="s">
        <v>39</v>
      </c>
      <c r="F24" s="7">
        <v>34059564</v>
      </c>
      <c r="G24" s="13">
        <v>43880</v>
      </c>
      <c r="H24" s="13">
        <v>43911</v>
      </c>
      <c r="I24" s="32">
        <f>Таблица639[[#This Row],[Конец]]-Таблица639[[#This Row],[Начало]]+1</f>
        <v>32</v>
      </c>
      <c r="J24" s="32">
        <f>Таблица639[[#This Row],[Факт]]-Таблица639[[#This Row],[План]]</f>
        <v>-1</v>
      </c>
      <c r="K24" s="32">
        <f>IF(Таблица639[[#This Row],[Факт - План]]&gt;10,Таблица639[[#This Row],[Акт, грн]]*$K$1,0)</f>
        <v>0</v>
      </c>
    </row>
    <row r="25" spans="1:11" ht="30" customHeight="1" x14ac:dyDescent="0.25">
      <c r="A25" s="28" t="s">
        <v>16</v>
      </c>
      <c r="B25" s="33" t="s">
        <v>24</v>
      </c>
      <c r="C25" s="6">
        <v>77</v>
      </c>
      <c r="D25" s="40">
        <v>15</v>
      </c>
      <c r="E25" s="9" t="s">
        <v>40</v>
      </c>
      <c r="F25" s="7">
        <v>79751952</v>
      </c>
      <c r="G25" s="13">
        <v>43911</v>
      </c>
      <c r="H25" s="13">
        <v>43967</v>
      </c>
      <c r="I25" s="32">
        <f>Таблица639[[#This Row],[Конец]]-Таблица639[[#This Row],[Начало]]+1</f>
        <v>57</v>
      </c>
      <c r="J25" s="32">
        <f>Таблица639[[#This Row],[Факт]]-Таблица639[[#This Row],[План]]</f>
        <v>-20</v>
      </c>
      <c r="K25" s="32">
        <f>IF(Таблица639[[#This Row],[Факт - План]]&gt;10,Таблица639[[#This Row],[Акт, грн]]*$K$1,0)</f>
        <v>0</v>
      </c>
    </row>
    <row r="26" spans="1:11" ht="30" customHeight="1" x14ac:dyDescent="0.25">
      <c r="A26" s="28" t="s">
        <v>18</v>
      </c>
      <c r="B26" s="33" t="s">
        <v>23</v>
      </c>
      <c r="C26" s="6">
        <v>40</v>
      </c>
      <c r="D26" s="40">
        <v>17</v>
      </c>
      <c r="E26" s="9" t="s">
        <v>41</v>
      </c>
      <c r="F26" s="7">
        <v>30398634</v>
      </c>
      <c r="G26" s="13">
        <v>43967</v>
      </c>
      <c r="H26" s="13">
        <v>43999</v>
      </c>
      <c r="I26" s="32">
        <f>Таблица639[[#This Row],[Конец]]-Таблица639[[#This Row],[Начало]]+1</f>
        <v>33</v>
      </c>
      <c r="J26" s="32">
        <f>Таблица639[[#This Row],[Факт]]-Таблица639[[#This Row],[План]]</f>
        <v>-7</v>
      </c>
      <c r="K26" s="32">
        <f>IF(Таблица639[[#This Row],[Факт - План]]&gt;10,Таблица639[[#This Row],[Акт, грн]]*$K$1,0)</f>
        <v>0</v>
      </c>
    </row>
    <row r="27" spans="1:11" ht="30" customHeight="1" x14ac:dyDescent="0.25">
      <c r="A27" s="28" t="s">
        <v>19</v>
      </c>
      <c r="B27" s="33" t="s">
        <v>22</v>
      </c>
      <c r="C27" s="6">
        <v>97</v>
      </c>
      <c r="D27" s="40">
        <v>19</v>
      </c>
      <c r="E27" s="9" t="s">
        <v>42</v>
      </c>
      <c r="F27" s="7">
        <v>292928580</v>
      </c>
      <c r="G27" s="13">
        <v>43999</v>
      </c>
      <c r="H27" s="13">
        <v>44430</v>
      </c>
      <c r="I27" s="32">
        <f>Таблица639[[#This Row],[Конец]]-Таблица639[[#This Row],[Начало]]+1</f>
        <v>432</v>
      </c>
      <c r="J27" s="32">
        <f>Таблица639[[#This Row],[Факт]]-Таблица639[[#This Row],[План]]</f>
        <v>335</v>
      </c>
      <c r="K27" s="32">
        <f>IF(Таблица639[[#This Row],[Факт - План]]&gt;10,Таблица639[[#This Row],[Акт, грн]]*$K$1,0)</f>
        <v>58585716</v>
      </c>
    </row>
    <row r="28" spans="1:11" ht="30" customHeight="1" x14ac:dyDescent="0.25">
      <c r="A28" s="28"/>
      <c r="B28" s="33" t="s">
        <v>58</v>
      </c>
      <c r="C28" s="31"/>
      <c r="D28" s="40"/>
      <c r="E28" s="41"/>
      <c r="F28" s="32"/>
      <c r="G28" s="34">
        <v>44129</v>
      </c>
      <c r="H28" s="34">
        <v>44233</v>
      </c>
      <c r="I28" s="66">
        <f>Таблица639[[#This Row],[Конец]]-Таблица639[[#This Row],[Начало]]+1</f>
        <v>105</v>
      </c>
      <c r="J28" s="32"/>
      <c r="K28" s="32"/>
    </row>
    <row r="29" spans="1:11" ht="30" customHeight="1" x14ac:dyDescent="0.25">
      <c r="A29" s="28" t="s">
        <v>20</v>
      </c>
      <c r="B29" s="29" t="s">
        <v>9</v>
      </c>
      <c r="C29" s="6">
        <v>40</v>
      </c>
      <c r="D29" s="40">
        <v>34</v>
      </c>
      <c r="E29" s="19" t="s">
        <v>42</v>
      </c>
      <c r="F29" s="7">
        <v>4515588</v>
      </c>
      <c r="G29" s="13">
        <v>44430</v>
      </c>
      <c r="H29" s="12">
        <v>44443</v>
      </c>
      <c r="I29" s="32">
        <f>Таблица639[[#This Row],[Конец]]-Таблица639[[#This Row],[Начало]]+1</f>
        <v>14</v>
      </c>
      <c r="J29" s="32">
        <f>Таблица639[[#This Row],[Факт]]-Таблица639[[#This Row],[План]]</f>
        <v>-26</v>
      </c>
      <c r="K29" s="32">
        <f>IF(Таблица639[[#This Row],[Факт - План]]&gt;10,Таблица639[[#This Row],[Акт, грн]]*$K$1,0)</f>
        <v>0</v>
      </c>
    </row>
    <row r="30" spans="1:11" ht="30" customHeight="1" x14ac:dyDescent="0.25">
      <c r="A30" s="45"/>
      <c r="B30" s="46"/>
      <c r="C30" s="47">
        <f>SUBTOTAL(109,Таблица639[План])</f>
        <v>381</v>
      </c>
      <c r="D30" s="46"/>
      <c r="E30" s="46"/>
      <c r="F30" s="48">
        <f>SUBTOTAL(109,Таблица639[Акт, грн])</f>
        <v>464145294</v>
      </c>
      <c r="G30" s="46"/>
      <c r="H30" s="46"/>
      <c r="I30" s="48">
        <f>SUBTOTAL(109,Таблица639[Факт])-I28</f>
        <v>709</v>
      </c>
      <c r="J30" s="48">
        <f>SUBTOTAL(109,Таблица639[Факт - План])</f>
        <v>274</v>
      </c>
      <c r="K30" s="48">
        <f>SUBTOTAL(109,Таблица639[Штраф, грн])</f>
        <v>58585716</v>
      </c>
    </row>
    <row r="31" spans="1:11" x14ac:dyDescent="0.25">
      <c r="A31" s="72" t="s">
        <v>56</v>
      </c>
      <c r="B31" s="73" t="s">
        <v>57</v>
      </c>
      <c r="C31" s="73"/>
      <c r="D31" s="73"/>
      <c r="E31" s="73"/>
      <c r="F31" s="74">
        <v>344753198.84799993</v>
      </c>
    </row>
    <row r="35" spans="1:11" ht="15.75" x14ac:dyDescent="0.25">
      <c r="B35" s="49" t="s">
        <v>2</v>
      </c>
    </row>
    <row r="37" spans="1:11" x14ac:dyDescent="0.25">
      <c r="A37" s="36" t="s">
        <v>49</v>
      </c>
      <c r="B37" s="37" t="s">
        <v>53</v>
      </c>
      <c r="C37" s="37" t="s">
        <v>4</v>
      </c>
      <c r="D37" s="37" t="s">
        <v>51</v>
      </c>
      <c r="E37" s="37" t="s">
        <v>37</v>
      </c>
      <c r="F37" s="37" t="s">
        <v>50</v>
      </c>
      <c r="G37" s="37" t="s">
        <v>47</v>
      </c>
      <c r="H37" s="37" t="s">
        <v>48</v>
      </c>
      <c r="I37" s="37" t="s">
        <v>3</v>
      </c>
      <c r="J37" s="37" t="s">
        <v>6</v>
      </c>
      <c r="K37" s="38" t="s">
        <v>5</v>
      </c>
    </row>
    <row r="38" spans="1:11" ht="30" customHeight="1" x14ac:dyDescent="0.25">
      <c r="A38" s="50" t="s">
        <v>8</v>
      </c>
      <c r="B38" s="51" t="s">
        <v>7</v>
      </c>
      <c r="C38" s="18">
        <v>30</v>
      </c>
      <c r="D38" s="52">
        <v>1</v>
      </c>
      <c r="E38" s="53" t="s">
        <v>43</v>
      </c>
      <c r="F38" s="17">
        <v>50988960</v>
      </c>
      <c r="G38" s="54">
        <v>44385</v>
      </c>
      <c r="H38" s="54">
        <v>44486</v>
      </c>
      <c r="I38" s="55">
        <f>Таблица68510[[#This Row],[Конец]]-Таблица68510[[#This Row],[Начало]]+1</f>
        <v>102</v>
      </c>
      <c r="J38" s="55">
        <f>Таблица68510[[#This Row],[Факт]]-Таблица68510[[#This Row],[План]]</f>
        <v>72</v>
      </c>
      <c r="K38" s="55">
        <f>IF(Таблица68510[[#This Row],[Факт - План]]&gt;10,Таблица68510[[#This Row],[Акт, грн]]*$K$1,0)</f>
        <v>10197792</v>
      </c>
    </row>
    <row r="39" spans="1:11" ht="30" customHeight="1" x14ac:dyDescent="0.25">
      <c r="A39" s="50" t="s">
        <v>10</v>
      </c>
      <c r="B39" s="56" t="s">
        <v>27</v>
      </c>
      <c r="C39" s="18">
        <v>5</v>
      </c>
      <c r="D39" s="52">
        <v>3</v>
      </c>
      <c r="E39" s="15" t="s">
        <v>43</v>
      </c>
      <c r="F39" s="17">
        <v>10349640</v>
      </c>
      <c r="G39" s="54">
        <v>44486</v>
      </c>
      <c r="H39" s="54">
        <v>44493</v>
      </c>
      <c r="I39" s="55">
        <f>Таблица68510[[#This Row],[Конец]]-Таблица68510[[#This Row],[Начало]]+1</f>
        <v>8</v>
      </c>
      <c r="J39" s="55">
        <f>Таблица68510[[#This Row],[Факт]]-Таблица68510[[#This Row],[План]]</f>
        <v>3</v>
      </c>
      <c r="K39" s="55">
        <f>IF(Таблица68510[[#This Row],[Факт - План]]&gt;10,Таблица68510[[#This Row],[Акт, грн]]*$K$1,0)</f>
        <v>0</v>
      </c>
    </row>
    <row r="40" spans="1:11" ht="30" customHeight="1" x14ac:dyDescent="0.25">
      <c r="A40" s="50" t="s">
        <v>15</v>
      </c>
      <c r="B40" s="56" t="s">
        <v>28</v>
      </c>
      <c r="C40" s="57">
        <v>39</v>
      </c>
      <c r="D40" s="52">
        <v>6</v>
      </c>
      <c r="E40" s="58" t="s">
        <v>44</v>
      </c>
      <c r="F40" s="55">
        <v>64029240</v>
      </c>
      <c r="G40" s="59">
        <v>44493</v>
      </c>
      <c r="H40" s="59">
        <v>44561</v>
      </c>
      <c r="I40" s="55">
        <f>Таблица68510[[#This Row],[Конец]]-Таблица68510[[#This Row],[Начало]]</f>
        <v>68</v>
      </c>
      <c r="J40" s="55">
        <f>Таблица68510[[#This Row],[Факт]]-Таблица68510[[#This Row],[План]]</f>
        <v>29</v>
      </c>
      <c r="K40" s="55">
        <f>IF(Таблица68510[[#This Row],[Факт - План]]&gt;10,Таблица68510[[#This Row],[Акт, грн]]*$K$1,0)</f>
        <v>12805848</v>
      </c>
    </row>
    <row r="41" spans="1:11" ht="30" customHeight="1" x14ac:dyDescent="0.25">
      <c r="A41" s="50" t="s">
        <v>16</v>
      </c>
      <c r="B41" s="56" t="s">
        <v>29</v>
      </c>
      <c r="C41" s="18">
        <v>82</v>
      </c>
      <c r="D41" s="60">
        <v>15</v>
      </c>
      <c r="E41" s="15" t="s">
        <v>45</v>
      </c>
      <c r="F41" s="17">
        <v>142097760</v>
      </c>
      <c r="G41" s="16">
        <v>44561</v>
      </c>
      <c r="H41" s="65" t="s">
        <v>45</v>
      </c>
      <c r="I41" s="55">
        <f>Таблица68510[[#This Row],[Конец]]-Таблица68510[[#This Row],[Начало]]</f>
        <v>221</v>
      </c>
      <c r="J41" s="55">
        <f>Таблица68510[[#This Row],[Факт]]-Таблица68510[[#This Row],[План]]</f>
        <v>139</v>
      </c>
      <c r="K41" s="55">
        <f>IF(Таблица68510[[#This Row],[Факт - План]]&gt;10,Таблица68510[[#This Row],[Акт, грн]]*$K$1,0)</f>
        <v>28419552</v>
      </c>
    </row>
    <row r="42" spans="1:11" ht="30" customHeight="1" x14ac:dyDescent="0.25">
      <c r="A42" s="50"/>
      <c r="B42" s="68" t="s">
        <v>60</v>
      </c>
      <c r="C42" s="23"/>
      <c r="D42" s="69">
        <v>14</v>
      </c>
      <c r="E42" s="20" t="s">
        <v>59</v>
      </c>
      <c r="F42" s="22">
        <v>49001172</v>
      </c>
      <c r="G42" s="21">
        <v>44616</v>
      </c>
      <c r="H42" s="21">
        <v>44744</v>
      </c>
      <c r="I42" s="70">
        <f>Таблица68510[[#This Row],[Конец]]-Таблица68510[[#This Row],[Начало]]</f>
        <v>128</v>
      </c>
      <c r="J42" s="71"/>
      <c r="K42" s="71"/>
    </row>
    <row r="43" spans="1:11" ht="30" customHeight="1" x14ac:dyDescent="0.25">
      <c r="A43" s="50" t="s">
        <v>18</v>
      </c>
      <c r="B43" s="56" t="s">
        <v>30</v>
      </c>
      <c r="C43" s="18">
        <v>48</v>
      </c>
      <c r="D43" s="60"/>
      <c r="E43" s="15"/>
      <c r="F43" s="17"/>
      <c r="G43" s="16"/>
      <c r="H43" s="16"/>
      <c r="I43" s="55"/>
      <c r="J43" s="55"/>
      <c r="K43" s="55"/>
    </row>
    <row r="44" spans="1:11" ht="30" customHeight="1" x14ac:dyDescent="0.25">
      <c r="A44" s="50" t="s">
        <v>19</v>
      </c>
      <c r="B44" s="56" t="s">
        <v>22</v>
      </c>
      <c r="C44" s="18">
        <v>110</v>
      </c>
      <c r="D44" s="60"/>
      <c r="E44" s="15"/>
      <c r="F44" s="17"/>
      <c r="G44" s="16"/>
      <c r="H44" s="16"/>
      <c r="I44" s="55"/>
      <c r="J44" s="55"/>
      <c r="K44" s="55"/>
    </row>
    <row r="45" spans="1:11" ht="30" customHeight="1" x14ac:dyDescent="0.25">
      <c r="A45" s="50" t="s">
        <v>20</v>
      </c>
      <c r="B45" s="51" t="s">
        <v>9</v>
      </c>
      <c r="C45" s="18">
        <v>30</v>
      </c>
      <c r="D45" s="60">
        <v>18</v>
      </c>
      <c r="E45" s="53" t="s">
        <v>46</v>
      </c>
      <c r="F45" s="17">
        <v>12760560</v>
      </c>
      <c r="G45" s="16">
        <v>44786</v>
      </c>
      <c r="H45" s="65" t="s">
        <v>46</v>
      </c>
      <c r="I45" s="55">
        <f>Таблица68510[[#This Row],[Конец]]-Таблица68510[[#This Row],[Начало]]+1</f>
        <v>19</v>
      </c>
      <c r="J45" s="55">
        <f>Таблица68510[[#This Row],[Факт]]-Таблица68510[[#This Row],[План]]</f>
        <v>-11</v>
      </c>
      <c r="K45" s="55">
        <f>IF(Таблица68510[[#This Row],[Факт - План]]&gt;10,Таблица68510[[#This Row],[Акт, грн]]*$K$1,0)</f>
        <v>0</v>
      </c>
    </row>
    <row r="46" spans="1:11" ht="30" customHeight="1" x14ac:dyDescent="0.25">
      <c r="A46" s="61"/>
      <c r="B46" s="62"/>
      <c r="C46" s="63">
        <f>SUBTOTAL(109,Таблица68510[План])</f>
        <v>344</v>
      </c>
      <c r="D46" s="62"/>
      <c r="E46" s="62"/>
      <c r="F46" s="64">
        <f>SUBTOTAL(109,Таблица68510[Акт, грн])</f>
        <v>329227332</v>
      </c>
      <c r="G46" s="62"/>
      <c r="H46" s="62"/>
      <c r="I46" s="64">
        <f>SUBTOTAL(109,Таблица68510[Факт])-I42</f>
        <v>418</v>
      </c>
      <c r="J46" s="64">
        <f>SUBTOTAL(109,Таблица68510[Факт - План])</f>
        <v>232</v>
      </c>
      <c r="K46" s="64">
        <f>SUBTOTAL(109,Таблица68510[Штраф, грн])</f>
        <v>51423192</v>
      </c>
    </row>
    <row r="47" spans="1:11" x14ac:dyDescent="0.25">
      <c r="A47" s="75" t="s">
        <v>56</v>
      </c>
      <c r="B47" s="76" t="s">
        <v>57</v>
      </c>
      <c r="C47" s="76"/>
      <c r="D47" s="76"/>
      <c r="E47" s="76"/>
      <c r="F47" s="77">
        <v>115861342.89000002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6" fitToHeight="4" orientation="landscape" horizontalDpi="300" verticalDpi="300" r:id="rId1"/>
  <legacy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</vt:lpstr>
      <vt:lpstr>лист (2)</vt:lpstr>
      <vt:lpstr>лист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Андрей Овчаренко</cp:lastModifiedBy>
  <cp:lastPrinted>2023-01-09T20:22:56Z</cp:lastPrinted>
  <dcterms:created xsi:type="dcterms:W3CDTF">2017-11-03T12:47:52Z</dcterms:created>
  <dcterms:modified xsi:type="dcterms:W3CDTF">2023-01-10T10:04:53Z</dcterms:modified>
</cp:coreProperties>
</file>