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hg\xl\"/>
    </mc:Choice>
  </mc:AlternateContent>
  <bookViews>
    <workbookView xWindow="360" yWindow="240" windowWidth="12120" windowHeight="8385"/>
  </bookViews>
  <sheets>
    <sheet name="Loop" sheetId="7" r:id="rId1"/>
  </sheets>
  <calcPr calcId="152511" iterateDelta="9.9999999999999995E-7"/>
</workbook>
</file>

<file path=xl/calcChain.xml><?xml version="1.0" encoding="utf-8"?>
<calcChain xmlns="http://schemas.openxmlformats.org/spreadsheetml/2006/main">
  <c r="B32" i="7" l="1"/>
  <c r="B5" i="7"/>
  <c r="B14" i="7"/>
  <c r="B15" i="7"/>
  <c r="B16" i="7"/>
  <c r="B17" i="7"/>
  <c r="AE19" i="7"/>
  <c r="AF19" i="7"/>
  <c r="B20" i="7"/>
  <c r="AF20" i="7"/>
  <c r="AE21" i="7"/>
  <c r="B22" i="7"/>
  <c r="AF22" i="7"/>
  <c r="B23" i="7"/>
  <c r="AE23" i="7"/>
  <c r="AF23" i="7"/>
  <c r="B24" i="7"/>
  <c r="AE24" i="7"/>
  <c r="B26" i="7"/>
  <c r="AE26" i="7"/>
  <c r="AF26" i="7"/>
  <c r="AF32" i="7"/>
  <c r="B33" i="7"/>
  <c r="AD19" i="7"/>
  <c r="AE20" i="7"/>
  <c r="AE22" i="7"/>
  <c r="AE25" i="7"/>
  <c r="AE29" i="7"/>
  <c r="AE30" i="7"/>
  <c r="B21" i="7"/>
  <c r="B25" i="7"/>
  <c r="B29" i="7"/>
  <c r="B30" i="7"/>
  <c r="AF21" i="7"/>
  <c r="AF25" i="7"/>
  <c r="AF29" i="7"/>
  <c r="AE32" i="7"/>
  <c r="AF24" i="7"/>
  <c r="AF30" i="7"/>
  <c r="AF33" i="7"/>
  <c r="AD23" i="7"/>
  <c r="AD26" i="7"/>
  <c r="AC19" i="7"/>
  <c r="AD22" i="7"/>
  <c r="AD24" i="7"/>
  <c r="AD30" i="7"/>
  <c r="AD20" i="7"/>
  <c r="AD32" i="7"/>
  <c r="AD21" i="7"/>
  <c r="AD25" i="7"/>
  <c r="AD29" i="7"/>
  <c r="AE33" i="7"/>
  <c r="AB19" i="7"/>
  <c r="AC20" i="7"/>
  <c r="AC22" i="7"/>
  <c r="AC23" i="7"/>
  <c r="AC26" i="7"/>
  <c r="AC32" i="7"/>
  <c r="AC24" i="7"/>
  <c r="AC21" i="7"/>
  <c r="AC25" i="7"/>
  <c r="AD33" i="7"/>
  <c r="AC33" i="7"/>
  <c r="AC29" i="7"/>
  <c r="AC30" i="7"/>
  <c r="AB23" i="7"/>
  <c r="AB26" i="7"/>
  <c r="AB20" i="7"/>
  <c r="AB24" i="7"/>
  <c r="AA19" i="7"/>
  <c r="AB22" i="7"/>
  <c r="AB32" i="7"/>
  <c r="AB21" i="7"/>
  <c r="AB25" i="7"/>
  <c r="AB29" i="7"/>
  <c r="AB30" i="7"/>
  <c r="Z19" i="7"/>
  <c r="AA20" i="7"/>
  <c r="AA22" i="7"/>
  <c r="AA32" i="7"/>
  <c r="AA21" i="7"/>
  <c r="AA25" i="7"/>
  <c r="AA29" i="7"/>
  <c r="AA23" i="7"/>
  <c r="AA26" i="7"/>
  <c r="AA24" i="7"/>
  <c r="AA30" i="7"/>
  <c r="AB33" i="7"/>
  <c r="Z23" i="7"/>
  <c r="Z26" i="7"/>
  <c r="Y19" i="7"/>
  <c r="Z22" i="7"/>
  <c r="Z24" i="7"/>
  <c r="Z30" i="7"/>
  <c r="Z20" i="7"/>
  <c r="Z32" i="7"/>
  <c r="Z21" i="7"/>
  <c r="Z25" i="7"/>
  <c r="Z29" i="7"/>
  <c r="AA33" i="7"/>
  <c r="X19" i="7"/>
  <c r="Y20" i="7"/>
  <c r="Y22" i="7"/>
  <c r="Y23" i="7"/>
  <c r="Y26" i="7"/>
  <c r="Y32" i="7"/>
  <c r="Y24" i="7"/>
  <c r="Y21" i="7"/>
  <c r="Y25" i="7"/>
  <c r="Z33" i="7"/>
  <c r="Y33" i="7"/>
  <c r="Y29" i="7"/>
  <c r="Y30" i="7"/>
  <c r="X23" i="7"/>
  <c r="X26" i="7"/>
  <c r="X20" i="7"/>
  <c r="X24" i="7"/>
  <c r="W19" i="7"/>
  <c r="X22" i="7"/>
  <c r="X32" i="7"/>
  <c r="X21" i="7"/>
  <c r="X25" i="7"/>
  <c r="X29" i="7"/>
  <c r="X30" i="7"/>
  <c r="V19" i="7"/>
  <c r="W20" i="7"/>
  <c r="W22" i="7"/>
  <c r="W24" i="7"/>
  <c r="W32" i="7"/>
  <c r="W21" i="7"/>
  <c r="W23" i="7"/>
  <c r="W26" i="7"/>
  <c r="X33" i="7"/>
  <c r="V23" i="7"/>
  <c r="V26" i="7"/>
  <c r="U19" i="7"/>
  <c r="V22" i="7"/>
  <c r="V20" i="7"/>
  <c r="V32" i="7"/>
  <c r="V24" i="7"/>
  <c r="V30" i="7"/>
  <c r="V21" i="7"/>
  <c r="V25" i="7"/>
  <c r="V29" i="7"/>
  <c r="W25" i="7"/>
  <c r="W29" i="7"/>
  <c r="W30" i="7"/>
  <c r="W33" i="7"/>
  <c r="V33" i="7"/>
  <c r="T19" i="7"/>
  <c r="U20" i="7"/>
  <c r="U22" i="7"/>
  <c r="U24" i="7"/>
  <c r="U23" i="7"/>
  <c r="U26" i="7"/>
  <c r="U32" i="7"/>
  <c r="U21" i="7"/>
  <c r="U25" i="7"/>
  <c r="U29" i="7"/>
  <c r="T23" i="7"/>
  <c r="T26" i="7"/>
  <c r="T20" i="7"/>
  <c r="T24" i="7"/>
  <c r="S19" i="7"/>
  <c r="T22" i="7"/>
  <c r="T32" i="7"/>
  <c r="T21" i="7"/>
  <c r="T25" i="7"/>
  <c r="T29" i="7"/>
  <c r="U30" i="7"/>
  <c r="U33" i="7"/>
  <c r="R19" i="7"/>
  <c r="S20" i="7"/>
  <c r="S22" i="7"/>
  <c r="S24" i="7"/>
  <c r="S32" i="7"/>
  <c r="S21" i="7"/>
  <c r="S25" i="7"/>
  <c r="S29" i="7"/>
  <c r="S23" i="7"/>
  <c r="S26" i="7"/>
  <c r="T33" i="7"/>
  <c r="T30" i="7"/>
  <c r="S30" i="7"/>
  <c r="S33" i="7"/>
  <c r="R23" i="7"/>
  <c r="R26" i="7"/>
  <c r="Q19" i="7"/>
  <c r="R22" i="7"/>
  <c r="R20" i="7"/>
  <c r="R24" i="7"/>
  <c r="R32" i="7"/>
  <c r="R21" i="7"/>
  <c r="R25" i="7"/>
  <c r="R29" i="7"/>
  <c r="R33" i="7"/>
  <c r="P19" i="7"/>
  <c r="Q20" i="7"/>
  <c r="Q22" i="7"/>
  <c r="Q24" i="7"/>
  <c r="Q23" i="7"/>
  <c r="Q26" i="7"/>
  <c r="Q32" i="7"/>
  <c r="Q21" i="7"/>
  <c r="Q25" i="7"/>
  <c r="Q29" i="7"/>
  <c r="R30" i="7"/>
  <c r="P23" i="7"/>
  <c r="P26" i="7"/>
  <c r="P20" i="7"/>
  <c r="P24" i="7"/>
  <c r="O19" i="7"/>
  <c r="P22" i="7"/>
  <c r="P32" i="7"/>
  <c r="P21" i="7"/>
  <c r="P25" i="7"/>
  <c r="P29" i="7"/>
  <c r="Q30" i="7"/>
  <c r="Q33" i="7"/>
  <c r="N19" i="7"/>
  <c r="O20" i="7"/>
  <c r="O22" i="7"/>
  <c r="O24" i="7"/>
  <c r="O32" i="7"/>
  <c r="O21" i="7"/>
  <c r="O25" i="7"/>
  <c r="O29" i="7"/>
  <c r="O23" i="7"/>
  <c r="O26" i="7"/>
  <c r="P33" i="7"/>
  <c r="P30" i="7"/>
  <c r="O30" i="7"/>
  <c r="O33" i="7"/>
  <c r="N23" i="7"/>
  <c r="N26" i="7"/>
  <c r="M19" i="7"/>
  <c r="N22" i="7"/>
  <c r="N20" i="7"/>
  <c r="N32" i="7"/>
  <c r="N24" i="7"/>
  <c r="N30" i="7"/>
  <c r="N21" i="7"/>
  <c r="N25" i="7"/>
  <c r="N29" i="7"/>
  <c r="N33" i="7"/>
  <c r="L19" i="7"/>
  <c r="M20" i="7"/>
  <c r="M22" i="7"/>
  <c r="M24" i="7"/>
  <c r="M23" i="7"/>
  <c r="M26" i="7"/>
  <c r="M32" i="7"/>
  <c r="M21" i="7"/>
  <c r="M25" i="7"/>
  <c r="M29" i="7"/>
  <c r="L23" i="7"/>
  <c r="L26" i="7"/>
  <c r="L20" i="7"/>
  <c r="L24" i="7"/>
  <c r="K19" i="7"/>
  <c r="L22" i="7"/>
  <c r="L32" i="7"/>
  <c r="L21" i="7"/>
  <c r="L25" i="7"/>
  <c r="L29" i="7"/>
  <c r="M30" i="7"/>
  <c r="M33" i="7"/>
  <c r="J19" i="7"/>
  <c r="K20" i="7"/>
  <c r="K22" i="7"/>
  <c r="K24" i="7"/>
  <c r="K32" i="7"/>
  <c r="K21" i="7"/>
  <c r="K25" i="7"/>
  <c r="K29" i="7"/>
  <c r="K23" i="7"/>
  <c r="K26" i="7"/>
  <c r="L33" i="7"/>
  <c r="L30" i="7"/>
  <c r="K30" i="7"/>
  <c r="K33" i="7"/>
  <c r="J23" i="7"/>
  <c r="J26" i="7"/>
  <c r="I19" i="7"/>
  <c r="J22" i="7"/>
  <c r="J20" i="7"/>
  <c r="J24" i="7"/>
  <c r="J32" i="7"/>
  <c r="J21" i="7"/>
  <c r="J25" i="7"/>
  <c r="J29" i="7"/>
  <c r="J33" i="7"/>
  <c r="H19" i="7"/>
  <c r="I20" i="7"/>
  <c r="I22" i="7"/>
  <c r="I24" i="7"/>
  <c r="I23" i="7"/>
  <c r="I26" i="7"/>
  <c r="I32" i="7"/>
  <c r="I21" i="7"/>
  <c r="I25" i="7"/>
  <c r="I29" i="7"/>
  <c r="J30" i="7"/>
  <c r="H23" i="7"/>
  <c r="H26" i="7"/>
  <c r="H20" i="7"/>
  <c r="H24" i="7"/>
  <c r="G19" i="7"/>
  <c r="H22" i="7"/>
  <c r="H32" i="7"/>
  <c r="H21" i="7"/>
  <c r="H25" i="7"/>
  <c r="H29" i="7"/>
  <c r="I30" i="7"/>
  <c r="I33" i="7"/>
  <c r="F19" i="7"/>
  <c r="G20" i="7"/>
  <c r="G22" i="7"/>
  <c r="G24" i="7"/>
  <c r="G32" i="7"/>
  <c r="G21" i="7"/>
  <c r="G25" i="7"/>
  <c r="G29" i="7"/>
  <c r="G23" i="7"/>
  <c r="G26" i="7"/>
  <c r="H33" i="7"/>
  <c r="H30" i="7"/>
  <c r="G30" i="7"/>
  <c r="G33" i="7"/>
  <c r="F23" i="7"/>
  <c r="F26" i="7"/>
  <c r="E19" i="7"/>
  <c r="F22" i="7"/>
  <c r="F20" i="7"/>
  <c r="F32" i="7"/>
  <c r="F24" i="7"/>
  <c r="F30" i="7"/>
  <c r="F21" i="7"/>
  <c r="F25" i="7"/>
  <c r="F29" i="7"/>
  <c r="F33" i="7"/>
  <c r="D19" i="7"/>
  <c r="E20" i="7"/>
  <c r="E22" i="7"/>
  <c r="E24" i="7"/>
  <c r="E23" i="7"/>
  <c r="E26" i="7"/>
  <c r="E32" i="7"/>
  <c r="E21" i="7"/>
  <c r="E25" i="7"/>
  <c r="E29" i="7"/>
  <c r="D23" i="7"/>
  <c r="D26" i="7"/>
  <c r="D20" i="7"/>
  <c r="D24" i="7"/>
  <c r="C19" i="7"/>
  <c r="D22" i="7"/>
  <c r="D32" i="7"/>
  <c r="D21" i="7"/>
  <c r="D25" i="7"/>
  <c r="D29" i="7"/>
  <c r="E30" i="7"/>
  <c r="E33" i="7"/>
  <c r="C20" i="7"/>
  <c r="C22" i="7"/>
  <c r="C24" i="7"/>
  <c r="C32" i="7"/>
  <c r="C21" i="7"/>
  <c r="C23" i="7"/>
  <c r="C26" i="7"/>
  <c r="D33" i="7"/>
  <c r="D30" i="7"/>
  <c r="C25" i="7"/>
  <c r="C29" i="7"/>
  <c r="C30" i="7"/>
  <c r="C33" i="7"/>
</calcChain>
</file>

<file path=xl/sharedStrings.xml><?xml version="1.0" encoding="utf-8"?>
<sst xmlns="http://schemas.openxmlformats.org/spreadsheetml/2006/main" count="28" uniqueCount="28">
  <si>
    <t>Copper conductance</t>
  </si>
  <si>
    <t>Permeability of free space</t>
  </si>
  <si>
    <t>RG58C/U k1</t>
  </si>
  <si>
    <t>RG58C/U k2</t>
  </si>
  <si>
    <t>RG58C/U line length (m)</t>
  </si>
  <si>
    <t>Loop side (m)</t>
  </si>
  <si>
    <t>Loop wire diameter (m)</t>
  </si>
  <si>
    <t>Loop area (m^2)</t>
  </si>
  <si>
    <t>Frequency step</t>
  </si>
  <si>
    <t>Frequency (MHz)</t>
  </si>
  <si>
    <t>Radiation resistance</t>
  </si>
  <si>
    <t>Loss resistance</t>
  </si>
  <si>
    <t>Inductance of loop</t>
  </si>
  <si>
    <t>Loop reactance</t>
  </si>
  <si>
    <t>Loop R</t>
  </si>
  <si>
    <t>Loop X</t>
  </si>
  <si>
    <t>Receiver R</t>
  </si>
  <si>
    <t>Receiver X</t>
  </si>
  <si>
    <t>Gain (dBi)</t>
  </si>
  <si>
    <t>Isotropic 50 ohms Antenna Factor (dB)</t>
  </si>
  <si>
    <t>Single turn square loop antenna calibration calculations</t>
  </si>
  <si>
    <t>fmax (MHz</t>
  </si>
  <si>
    <t>Voc/Vl (dB)</t>
  </si>
  <si>
    <t>Balun loss (dB)</t>
  </si>
  <si>
    <t>E/Voc (dB/m)</t>
  </si>
  <si>
    <t>Antenna Factor (dB/m)</t>
  </si>
  <si>
    <t>Transmission line loss (dB)</t>
  </si>
  <si>
    <t>Copyright: Owen Duffy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</si>
</sst>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000"/>
    <numFmt numFmtId="174" formatCode="0.0"/>
    <numFmt numFmtId="182" formatCode="0.00000E+00"/>
  </numFmts>
  <fonts count="3" x14ac:knownFonts="1">
    <font>
      <sz val="10"/>
      <name val="Arial"/>
    </font>
    <font>
      <b/>
      <sz val="24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72" fontId="0" fillId="0" borderId="0" xfId="0" applyNumberFormat="1"/>
    <xf numFmtId="2" fontId="0" fillId="0" borderId="0" xfId="0" applyNumberFormat="1" applyFill="1"/>
    <xf numFmtId="0" fontId="0" fillId="0" borderId="0" xfId="0" applyFill="1"/>
    <xf numFmtId="182" fontId="0" fillId="0" borderId="0" xfId="0" applyNumberFormat="1"/>
    <xf numFmtId="174" fontId="0" fillId="0" borderId="0" xfId="0" applyNumberFormat="1"/>
    <xf numFmtId="0" fontId="0" fillId="2" borderId="0" xfId="0" applyFill="1" applyProtection="1">
      <protection locked="0"/>
    </xf>
    <xf numFmtId="2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Single turn small square loop antenna system</a:t>
            </a:r>
          </a:p>
        </c:rich>
      </c:tx>
      <c:layout>
        <c:manualLayout>
          <c:xMode val="edge"/>
          <c:yMode val="edge"/>
          <c:x val="0.14016186655913293"/>
          <c:y val="2.835538752362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85456184625711"/>
          <c:y val="0.18714573039650506"/>
          <c:w val="0.70215679629379812"/>
          <c:h val="0.5822311612335712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Loop!$A$30</c:f>
              <c:strCache>
                <c:ptCount val="1"/>
                <c:pt idx="0">
                  <c:v>Antenna Factor (dB/m)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Loop!$C$19:$AF$19</c:f>
              <c:numCache>
                <c:formatCode>0.00</c:formatCode>
                <c:ptCount val="30"/>
                <c:pt idx="0">
                  <c:v>0.29563709995417836</c:v>
                </c:pt>
                <c:pt idx="1">
                  <c:v>0.3385037594658275</c:v>
                </c:pt>
                <c:pt idx="2">
                  <c:v>0.38758598021107171</c:v>
                </c:pt>
                <c:pt idx="3">
                  <c:v>0.44378500343167543</c:v>
                </c:pt>
                <c:pt idx="4">
                  <c:v>0.50813274815461518</c:v>
                </c:pt>
                <c:pt idx="5">
                  <c:v>0.58181075915268854</c:v>
                </c:pt>
                <c:pt idx="6">
                  <c:v>0.66617190231326606</c:v>
                </c:pt>
                <c:pt idx="7">
                  <c:v>0.76276520578267648</c:v>
                </c:pt>
                <c:pt idx="8">
                  <c:v>0.87336430301603063</c:v>
                </c:pt>
                <c:pt idx="9">
                  <c:v>1.0000000000000007</c:v>
                </c:pt>
                <c:pt idx="10">
                  <c:v>1.1449975646435897</c:v>
                </c:pt>
                <c:pt idx="11">
                  <c:v>1.3110194230397505</c:v>
                </c:pt>
                <c:pt idx="12">
                  <c:v>1.5011140465809576</c:v>
                </c:pt>
                <c:pt idx="13">
                  <c:v>1.7187719275874795</c:v>
                </c:pt>
                <c:pt idx="14">
                  <c:v>1.9679896712654312</c:v>
                </c:pt>
                <c:pt idx="15">
                  <c:v>2.2533433808426562</c:v>
                </c:pt>
                <c:pt idx="16">
                  <c:v>2.5800726833705929</c:v>
                </c:pt>
                <c:pt idx="17">
                  <c:v>2.9541769390627786</c:v>
                </c:pt>
                <c:pt idx="18">
                  <c:v>3.3825254007531336</c:v>
                </c:pt>
                <c:pt idx="19">
                  <c:v>3.8729833462074179</c:v>
                </c:pt>
                <c:pt idx="20">
                  <c:v>4.4345564993126718</c:v>
                </c:pt>
                <c:pt idx="21">
                  <c:v>5.0775563919874092</c:v>
                </c:pt>
                <c:pt idx="22">
                  <c:v>5.8137897031660719</c:v>
                </c:pt>
                <c:pt idx="23">
                  <c:v>6.6567750514751269</c:v>
                </c:pt>
                <c:pt idx="24">
                  <c:v>7.6219912223192221</c:v>
                </c:pt>
                <c:pt idx="25">
                  <c:v>8.7271613872903213</c:v>
                </c:pt>
                <c:pt idx="26">
                  <c:v>9.9925785346989837</c:v>
                </c:pt>
                <c:pt idx="27">
                  <c:v>11.44147808674014</c:v>
                </c:pt>
                <c:pt idx="28">
                  <c:v>13.100464545240451</c:v>
                </c:pt>
                <c:pt idx="29">
                  <c:v>15</c:v>
                </c:pt>
              </c:numCache>
            </c:numRef>
          </c:xVal>
          <c:yVal>
            <c:numRef>
              <c:f>Loop!$C$30:$AF$30</c:f>
              <c:numCache>
                <c:formatCode>0.00</c:formatCode>
                <c:ptCount val="30"/>
                <c:pt idx="0">
                  <c:v>53.357459529193257</c:v>
                </c:pt>
                <c:pt idx="1">
                  <c:v>52.201485274225405</c:v>
                </c:pt>
                <c:pt idx="2">
                  <c:v>51.050481177579925</c:v>
                </c:pt>
                <c:pt idx="3">
                  <c:v>49.90584985536929</c:v>
                </c:pt>
                <c:pt idx="4">
                  <c:v>48.769384798336318</c:v>
                </c:pt>
                <c:pt idx="5">
                  <c:v>47.643365480684615</c:v>
                </c:pt>
                <c:pt idx="6">
                  <c:v>46.530665611660822</c:v>
                </c:pt>
                <c:pt idx="7">
                  <c:v>45.43486928075626</c:v>
                </c:pt>
                <c:pt idx="8">
                  <c:v>44.360383927894887</c:v>
                </c:pt>
                <c:pt idx="9">
                  <c:v>43.312530757571309</c:v>
                </c:pt>
                <c:pt idx="10">
                  <c:v>42.297582854688287</c:v>
                </c:pt>
                <c:pt idx="11">
                  <c:v>41.322710932410097</c:v>
                </c:pt>
                <c:pt idx="12">
                  <c:v>40.395790998809126</c:v>
                </c:pt>
                <c:pt idx="13">
                  <c:v>39.525034657503603</c:v>
                </c:pt>
                <c:pt idx="14">
                  <c:v>38.718429324505493</c:v>
                </c:pt>
                <c:pt idx="15">
                  <c:v>37.983025580415287</c:v>
                </c:pt>
                <c:pt idx="16">
                  <c:v>37.324172954995873</c:v>
                </c:pt>
                <c:pt idx="17">
                  <c:v>36.744858313072903</c:v>
                </c:pt>
                <c:pt idx="18">
                  <c:v>36.245309791351744</c:v>
                </c:pt>
                <c:pt idx="19">
                  <c:v>35.822975045493514</c:v>
                </c:pt>
                <c:pt idx="20">
                  <c:v>35.472880167969194</c:v>
                </c:pt>
                <c:pt idx="21">
                  <c:v>35.188270295533172</c:v>
                </c:pt>
                <c:pt idx="22">
                  <c:v>34.961371863203986</c:v>
                </c:pt>
                <c:pt idx="23">
                  <c:v>34.784118591850422</c:v>
                </c:pt>
                <c:pt idx="24">
                  <c:v>34.648732808589905</c:v>
                </c:pt>
                <c:pt idx="25">
                  <c:v>34.548118055912298</c:v>
                </c:pt>
                <c:pt idx="26">
                  <c:v>34.476071236671636</c:v>
                </c:pt>
                <c:pt idx="27">
                  <c:v>34.427351746355626</c:v>
                </c:pt>
                <c:pt idx="28">
                  <c:v>34.397653368787054</c:v>
                </c:pt>
                <c:pt idx="29">
                  <c:v>34.383520020532593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67248"/>
        <c:axId val="572862936"/>
      </c:scatterChart>
      <c:valAx>
        <c:axId val="572867248"/>
        <c:scaling>
          <c:logBase val="10"/>
          <c:orientation val="minMax"/>
          <c:max val="100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Frequency (MHz)</a:t>
                </a:r>
              </a:p>
            </c:rich>
          </c:tx>
          <c:layout>
            <c:manualLayout>
              <c:xMode val="edge"/>
              <c:yMode val="edge"/>
              <c:x val="0.35175230454683731"/>
              <c:y val="0.90926355377600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862936"/>
        <c:crossesAt val="-80"/>
        <c:crossBetween val="midCat"/>
      </c:valAx>
      <c:valAx>
        <c:axId val="572862936"/>
        <c:scaling>
          <c:orientation val="minMax"/>
          <c:max val="6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Antenna Factor (dB)</a:t>
                </a:r>
              </a:p>
            </c:rich>
          </c:tx>
          <c:layout>
            <c:manualLayout>
              <c:xMode val="edge"/>
              <c:yMode val="edge"/>
              <c:x val="6.7385444743935314E-3"/>
              <c:y val="0.247637249502602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867248"/>
        <c:crossesAt val="0.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85725</xdr:rowOff>
    </xdr:from>
    <xdr:to>
      <xdr:col>9</xdr:col>
      <xdr:colOff>66675</xdr:colOff>
      <xdr:row>32</xdr:row>
      <xdr:rowOff>152400</xdr:rowOff>
    </xdr:to>
    <xdr:graphicFrame macro="">
      <xdr:nvGraphicFramePr>
        <xdr:cNvPr id="10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C37"/>
  <sheetViews>
    <sheetView tabSelected="1" workbookViewId="0">
      <selection activeCell="B9" sqref="B9"/>
    </sheetView>
  </sheetViews>
  <sheetFormatPr defaultRowHeight="12.75" x14ac:dyDescent="0.2"/>
  <cols>
    <col min="1" max="1" width="34.140625" customWidth="1"/>
    <col min="2" max="30" width="15.42578125" customWidth="1"/>
    <col min="31" max="32" width="15.5703125" customWidth="1"/>
  </cols>
  <sheetData>
    <row r="2" spans="1:4" ht="30" x14ac:dyDescent="0.4">
      <c r="A2" s="1" t="s">
        <v>20</v>
      </c>
      <c r="B2" s="2"/>
    </row>
    <row r="3" spans="1:4" x14ac:dyDescent="0.2">
      <c r="B3" s="2"/>
    </row>
    <row r="4" spans="1:4" x14ac:dyDescent="0.2">
      <c r="A4" t="s">
        <v>0</v>
      </c>
      <c r="B4" s="3">
        <v>57000000</v>
      </c>
    </row>
    <row r="5" spans="1:4" x14ac:dyDescent="0.2">
      <c r="A5" t="s">
        <v>1</v>
      </c>
      <c r="B5">
        <f>4*PI()*0.0000001</f>
        <v>1.2566370614359173E-6</v>
      </c>
    </row>
    <row r="7" spans="1:4" ht="15" x14ac:dyDescent="0.3">
      <c r="A7" t="s">
        <v>2</v>
      </c>
      <c r="B7" s="4">
        <v>1.3025715112683601E-5</v>
      </c>
    </row>
    <row r="8" spans="1:4" ht="15" x14ac:dyDescent="0.3">
      <c r="A8" t="s">
        <v>3</v>
      </c>
      <c r="B8" s="4">
        <v>2.95286139867866E-10</v>
      </c>
    </row>
    <row r="9" spans="1:4" ht="15" x14ac:dyDescent="0.3">
      <c r="A9" t="s">
        <v>23</v>
      </c>
      <c r="B9" s="10">
        <v>0.2</v>
      </c>
      <c r="D9" s="4"/>
    </row>
    <row r="10" spans="1:4" ht="15" x14ac:dyDescent="0.3">
      <c r="A10" t="s">
        <v>4</v>
      </c>
      <c r="B10" s="10">
        <v>8</v>
      </c>
      <c r="D10" s="4"/>
    </row>
    <row r="11" spans="1:4" x14ac:dyDescent="0.2">
      <c r="A11" t="s">
        <v>5</v>
      </c>
      <c r="B11" s="11">
        <v>0.6</v>
      </c>
    </row>
    <row r="12" spans="1:4" x14ac:dyDescent="0.2">
      <c r="A12" t="s">
        <v>6</v>
      </c>
      <c r="B12" s="10">
        <v>1.4E-3</v>
      </c>
    </row>
    <row r="14" spans="1:4" x14ac:dyDescent="0.2">
      <c r="A14" t="s">
        <v>7</v>
      </c>
      <c r="B14">
        <f>B11^2</f>
        <v>0.36</v>
      </c>
    </row>
    <row r="15" spans="1:4" x14ac:dyDescent="0.2">
      <c r="A15" t="s">
        <v>12</v>
      </c>
      <c r="B15">
        <f>2*$B$5*$B$11/PI()*(LN($B$11/$B$12*2)-0.774)</f>
        <v>2.8702102075943422E-6</v>
      </c>
    </row>
    <row r="16" spans="1:4" x14ac:dyDescent="0.2">
      <c r="A16" t="s">
        <v>8</v>
      </c>
      <c r="B16" s="5">
        <f>B17^(1/20)</f>
        <v>1.144997564643589</v>
      </c>
    </row>
    <row r="17" spans="1:55" x14ac:dyDescent="0.2">
      <c r="A17" t="s">
        <v>21</v>
      </c>
      <c r="B17" s="9">
        <f>300000000/B11*0.03/1000000</f>
        <v>15</v>
      </c>
    </row>
    <row r="19" spans="1:55" x14ac:dyDescent="0.2">
      <c r="A19" t="s">
        <v>9</v>
      </c>
      <c r="B19" s="11">
        <v>7.1</v>
      </c>
      <c r="C19" s="6">
        <f t="shared" ref="C19:AD19" si="0">D19/$B$16</f>
        <v>0.29563709995417836</v>
      </c>
      <c r="D19" s="6">
        <f t="shared" si="0"/>
        <v>0.3385037594658275</v>
      </c>
      <c r="E19" s="6">
        <f t="shared" si="0"/>
        <v>0.38758598021107171</v>
      </c>
      <c r="F19" s="6">
        <f t="shared" si="0"/>
        <v>0.44378500343167543</v>
      </c>
      <c r="G19" s="6">
        <f t="shared" si="0"/>
        <v>0.50813274815461518</v>
      </c>
      <c r="H19" s="6">
        <f t="shared" si="0"/>
        <v>0.58181075915268854</v>
      </c>
      <c r="I19" s="6">
        <f t="shared" si="0"/>
        <v>0.66617190231326606</v>
      </c>
      <c r="J19" s="6">
        <f t="shared" si="0"/>
        <v>0.76276520578267648</v>
      </c>
      <c r="K19" s="6">
        <f t="shared" si="0"/>
        <v>0.87336430301603063</v>
      </c>
      <c r="L19" s="6">
        <f t="shared" si="0"/>
        <v>1.0000000000000007</v>
      </c>
      <c r="M19" s="6">
        <f t="shared" si="0"/>
        <v>1.1449975646435897</v>
      </c>
      <c r="N19" s="6">
        <f t="shared" si="0"/>
        <v>1.3110194230397505</v>
      </c>
      <c r="O19" s="6">
        <f t="shared" si="0"/>
        <v>1.5011140465809576</v>
      </c>
      <c r="P19" s="6">
        <f t="shared" si="0"/>
        <v>1.7187719275874795</v>
      </c>
      <c r="Q19" s="6">
        <f t="shared" si="0"/>
        <v>1.9679896712654312</v>
      </c>
      <c r="R19" s="6">
        <f t="shared" si="0"/>
        <v>2.2533433808426562</v>
      </c>
      <c r="S19" s="6">
        <f t="shared" si="0"/>
        <v>2.5800726833705929</v>
      </c>
      <c r="T19" s="6">
        <f t="shared" si="0"/>
        <v>2.9541769390627786</v>
      </c>
      <c r="U19" s="6">
        <f t="shared" si="0"/>
        <v>3.3825254007531336</v>
      </c>
      <c r="V19" s="6">
        <f t="shared" si="0"/>
        <v>3.8729833462074179</v>
      </c>
      <c r="W19" s="6">
        <f t="shared" si="0"/>
        <v>4.4345564993126718</v>
      </c>
      <c r="X19" s="6">
        <f t="shared" si="0"/>
        <v>5.0775563919874092</v>
      </c>
      <c r="Y19" s="6">
        <f t="shared" si="0"/>
        <v>5.8137897031660719</v>
      </c>
      <c r="Z19" s="6">
        <f t="shared" si="0"/>
        <v>6.6567750514751269</v>
      </c>
      <c r="AA19" s="6">
        <f t="shared" si="0"/>
        <v>7.6219912223192221</v>
      </c>
      <c r="AB19" s="6">
        <f t="shared" si="0"/>
        <v>8.7271613872903213</v>
      </c>
      <c r="AC19" s="6">
        <f t="shared" si="0"/>
        <v>9.9925785346989837</v>
      </c>
      <c r="AD19" s="6">
        <f t="shared" si="0"/>
        <v>11.44147808674014</v>
      </c>
      <c r="AE19" s="6">
        <f>AF19/$B$16</f>
        <v>13.100464545240451</v>
      </c>
      <c r="AF19" s="6">
        <f>$B$17</f>
        <v>15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pans="1:55" x14ac:dyDescent="0.2">
      <c r="A20" t="s">
        <v>26</v>
      </c>
      <c r="B20" s="6">
        <f>($B$7*(B19*1000000)^0.5+$B$8*B19*1000000)*$B$10</f>
        <v>0.2944369950273838</v>
      </c>
      <c r="C20" s="6">
        <f t="shared" ref="C20:AF20" si="1">($B$7*(C19*1000000)^0.5+$B$8*C19*1000000)*$B$10</f>
        <v>5.7357657398038282E-2</v>
      </c>
      <c r="D20" s="6">
        <f t="shared" si="1"/>
        <v>6.1427653333444125E-2</v>
      </c>
      <c r="E20" s="6">
        <f t="shared" si="1"/>
        <v>6.5790324430415215E-2</v>
      </c>
      <c r="F20" s="6">
        <f t="shared" si="1"/>
        <v>7.0467271809613416E-2</v>
      </c>
      <c r="G20" s="6">
        <f t="shared" si="1"/>
        <v>7.5481769227124559E-2</v>
      </c>
      <c r="H20" s="6">
        <f t="shared" si="1"/>
        <v>8.0858903372771296E-2</v>
      </c>
      <c r="I20" s="6">
        <f t="shared" si="1"/>
        <v>8.6625727350596843E-2</v>
      </c>
      <c r="J20" s="6">
        <f t="shared" si="1"/>
        <v>9.2811428751322964E-2</v>
      </c>
      <c r="K20" s="6">
        <f t="shared" si="1"/>
        <v>9.9447513895872169E-2</v>
      </c>
      <c r="L20" s="6">
        <f t="shared" si="1"/>
        <v>0.10656801002041177</v>
      </c>
      <c r="M20" s="6">
        <f t="shared" si="1"/>
        <v>0.11420968738986391</v>
      </c>
      <c r="N20" s="6">
        <f t="shared" si="1"/>
        <v>0.122412303571881</v>
      </c>
      <c r="O20" s="6">
        <f t="shared" si="1"/>
        <v>0.13121887238086072</v>
      </c>
      <c r="P20" s="6">
        <f t="shared" si="1"/>
        <v>0.14067596031616936</v>
      </c>
      <c r="Q20" s="6">
        <f t="shared" si="1"/>
        <v>0.15083401367550137</v>
      </c>
      <c r="R20" s="6">
        <f t="shared" si="1"/>
        <v>0.16174771992909634</v>
      </c>
      <c r="S20" s="6">
        <f t="shared" si="1"/>
        <v>0.17347640740006845</v>
      </c>
      <c r="T20" s="6">
        <f t="shared" si="1"/>
        <v>0.18608448781804052</v>
      </c>
      <c r="U20" s="6">
        <f t="shared" si="1"/>
        <v>0.1996419469063645</v>
      </c>
      <c r="V20" s="6">
        <f t="shared" si="1"/>
        <v>0.21422488883745175</v>
      </c>
      <c r="W20" s="6">
        <f t="shared" si="1"/>
        <v>0.22991614115756306</v>
      </c>
      <c r="X20" s="6">
        <f t="shared" si="1"/>
        <v>0.24680592765487289</v>
      </c>
      <c r="Y20" s="6">
        <f t="shared" si="1"/>
        <v>0.26499261763766202</v>
      </c>
      <c r="Z20" s="6">
        <f t="shared" si="1"/>
        <v>0.28458356122017009</v>
      </c>
      <c r="AA20" s="6">
        <f t="shared" si="1"/>
        <v>0.30569602150146558</v>
      </c>
      <c r="AB20" s="6">
        <f t="shared" si="1"/>
        <v>0.32845821598998598</v>
      </c>
      <c r="AC20" s="6">
        <f t="shared" si="1"/>
        <v>0.35301048129865958</v>
      </c>
      <c r="AD20" s="6">
        <f t="shared" si="1"/>
        <v>0.37950657704194002</v>
      </c>
      <c r="AE20" s="6">
        <f t="shared" si="1"/>
        <v>0.40811514704001539</v>
      </c>
      <c r="AF20" s="6">
        <f t="shared" si="1"/>
        <v>0.43902135841507078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</row>
    <row r="21" spans="1:55" x14ac:dyDescent="0.2">
      <c r="A21" t="s">
        <v>10</v>
      </c>
      <c r="B21" s="8">
        <f>120*PI()*8/3*PI()^3*($B$14/(300/B19)^2)^2</f>
        <v>1.2673683189022866E-3</v>
      </c>
      <c r="C21" s="8">
        <f t="shared" ref="C21:AF21" si="2">120*PI()*8/3*PI()^3*($B$14/(300/C19)^2)^2</f>
        <v>3.8098263873093909E-9</v>
      </c>
      <c r="D21" s="8">
        <f t="shared" si="2"/>
        <v>6.5482226434893987E-9</v>
      </c>
      <c r="E21" s="8">
        <f t="shared" si="2"/>
        <v>1.1254901255222244E-8</v>
      </c>
      <c r="F21" s="8">
        <f t="shared" si="2"/>
        <v>1.9344608325245071E-8</v>
      </c>
      <c r="G21" s="8">
        <f t="shared" si="2"/>
        <v>3.3248969739606275E-8</v>
      </c>
      <c r="H21" s="8">
        <f t="shared" si="2"/>
        <v>5.7147395809640829E-8</v>
      </c>
      <c r="I21" s="8">
        <f t="shared" si="2"/>
        <v>9.822333965234092E-8</v>
      </c>
      <c r="J21" s="8">
        <f t="shared" si="2"/>
        <v>1.6882351882833361E-7</v>
      </c>
      <c r="K21" s="8">
        <f t="shared" si="2"/>
        <v>2.9016912487867594E-7</v>
      </c>
      <c r="L21" s="8">
        <f t="shared" si="2"/>
        <v>4.9873454609409376E-7</v>
      </c>
      <c r="M21" s="8">
        <f t="shared" si="2"/>
        <v>8.5721093714461118E-7</v>
      </c>
      <c r="N21" s="8">
        <f t="shared" si="2"/>
        <v>1.4733500947851118E-6</v>
      </c>
      <c r="O21" s="8">
        <f t="shared" si="2"/>
        <v>2.532352782425001E-6</v>
      </c>
      <c r="P21" s="8">
        <f t="shared" si="2"/>
        <v>4.3525368731801331E-6</v>
      </c>
      <c r="Q21" s="8">
        <f t="shared" si="2"/>
        <v>7.4810181914113951E-6</v>
      </c>
      <c r="R21" s="8">
        <f t="shared" si="2"/>
        <v>1.2858164057169162E-5</v>
      </c>
      <c r="S21" s="8">
        <f t="shared" si="2"/>
        <v>2.210025142177669E-5</v>
      </c>
      <c r="T21" s="8">
        <f t="shared" si="2"/>
        <v>3.798529173637501E-5</v>
      </c>
      <c r="U21" s="8">
        <f t="shared" si="2"/>
        <v>6.5288053097701992E-5</v>
      </c>
      <c r="V21" s="8">
        <f t="shared" si="2"/>
        <v>1.1221527287117086E-4</v>
      </c>
      <c r="W21" s="8">
        <f t="shared" si="2"/>
        <v>1.9287246085753735E-4</v>
      </c>
      <c r="X21" s="8">
        <f t="shared" si="2"/>
        <v>3.3150377132664999E-4</v>
      </c>
      <c r="Y21" s="8">
        <f t="shared" si="2"/>
        <v>5.6977937604562473E-4</v>
      </c>
      <c r="Z21" s="8">
        <f t="shared" si="2"/>
        <v>9.7932079646552948E-4</v>
      </c>
      <c r="AA21" s="8">
        <f t="shared" si="2"/>
        <v>1.6832290930675626E-3</v>
      </c>
      <c r="AB21" s="8">
        <f t="shared" si="2"/>
        <v>2.8930869128630569E-3</v>
      </c>
      <c r="AC21" s="8">
        <f t="shared" si="2"/>
        <v>4.972556569899745E-3</v>
      </c>
      <c r="AD21" s="8">
        <f t="shared" si="2"/>
        <v>8.5466906406843676E-3</v>
      </c>
      <c r="AE21" s="8">
        <f t="shared" si="2"/>
        <v>1.4689811946982925E-2</v>
      </c>
      <c r="AF21" s="8">
        <f t="shared" si="2"/>
        <v>2.5248436396013426E-2</v>
      </c>
    </row>
    <row r="22" spans="1:55" x14ac:dyDescent="0.2">
      <c r="A22" t="s">
        <v>11</v>
      </c>
      <c r="B22" s="8">
        <f>4*$B$11/$B$12*(B19*1000000*$B$5/PI()/$B$4)^0.5</f>
        <v>0.38265284640165825</v>
      </c>
      <c r="C22" s="8">
        <f t="shared" ref="C22:AF22" si="3">4*$B$11/$B$12*(C19*1000000*$B$5/PI()/$B$4)^0.5</f>
        <v>7.8082775208314997E-2</v>
      </c>
      <c r="D22" s="8">
        <f t="shared" si="3"/>
        <v>8.3552129265346928E-2</v>
      </c>
      <c r="E22" s="8">
        <f t="shared" si="3"/>
        <v>8.9404587454133461E-2</v>
      </c>
      <c r="F22" s="8">
        <f t="shared" si="3"/>
        <v>9.5666984529608576E-2</v>
      </c>
      <c r="G22" s="8">
        <f t="shared" si="3"/>
        <v>0.10236803490294759</v>
      </c>
      <c r="H22" s="8">
        <f t="shared" si="3"/>
        <v>0.10953846430319772</v>
      </c>
      <c r="I22" s="8">
        <f t="shared" si="3"/>
        <v>0.11721115066122491</v>
      </c>
      <c r="J22" s="8">
        <f t="shared" si="3"/>
        <v>0.12542127486196009</v>
      </c>
      <c r="K22" s="8">
        <f t="shared" si="3"/>
        <v>0.1342064820561753</v>
      </c>
      <c r="L22" s="8">
        <f t="shared" si="3"/>
        <v>0.14360705427143852</v>
      </c>
      <c r="M22" s="8">
        <f t="shared" si="3"/>
        <v>0.15366609511370427</v>
      </c>
      <c r="N22" s="8">
        <f t="shared" si="3"/>
        <v>0.1644297274064368</v>
      </c>
      <c r="O22" s="8">
        <f t="shared" si="3"/>
        <v>0.17594730467348152</v>
      </c>
      <c r="P22" s="8">
        <f t="shared" si="3"/>
        <v>0.18827163743537934</v>
      </c>
      <c r="Q22" s="8">
        <f t="shared" si="3"/>
        <v>0.20145923535673987</v>
      </c>
      <c r="R22" s="8">
        <f t="shared" si="3"/>
        <v>0.21557056635497016</v>
      </c>
      <c r="S22" s="8">
        <f t="shared" si="3"/>
        <v>0.23067033385842686</v>
      </c>
      <c r="T22" s="8">
        <f t="shared" si="3"/>
        <v>0.24682777348527998</v>
      </c>
      <c r="U22" s="8">
        <f t="shared" si="3"/>
        <v>0.26411697050342231</v>
      </c>
      <c r="V22" s="8">
        <f t="shared" si="3"/>
        <v>0.28261719952704506</v>
      </c>
      <c r="W22" s="8">
        <f t="shared" si="3"/>
        <v>0.3024132880074612</v>
      </c>
      <c r="X22" s="8">
        <f t="shared" si="3"/>
        <v>0.32359600518485787</v>
      </c>
      <c r="Y22" s="8">
        <f t="shared" si="3"/>
        <v>0.34626247828440337</v>
      </c>
      <c r="Z22" s="8">
        <f t="shared" si="3"/>
        <v>0.37051663786505645</v>
      </c>
      <c r="AA22" s="8">
        <f t="shared" si="3"/>
        <v>0.39646969436309548</v>
      </c>
      <c r="AB22" s="8">
        <f t="shared" si="3"/>
        <v>0.42424064801542022</v>
      </c>
      <c r="AC22" s="8">
        <f t="shared" si="3"/>
        <v>0.45395683450073238</v>
      </c>
      <c r="AD22" s="8">
        <f t="shared" si="3"/>
        <v>0.48575450880047427</v>
      </c>
      <c r="AE22" s="8">
        <f t="shared" si="3"/>
        <v>0.51977946995665136</v>
      </c>
      <c r="AF22" s="8">
        <f t="shared" si="3"/>
        <v>0.5561877295911859</v>
      </c>
    </row>
    <row r="23" spans="1:55" x14ac:dyDescent="0.2">
      <c r="A23" t="s">
        <v>13</v>
      </c>
      <c r="B23" s="2">
        <f>2*PI()*B19*1000000*$B$15</f>
        <v>128.04184449460283</v>
      </c>
      <c r="C23" s="2">
        <f t="shared" ref="C23:AF23" si="4">2*PI()*C19*1000000*$B$15</f>
        <v>5.3315379688969387</v>
      </c>
      <c r="D23" s="2">
        <f t="shared" si="4"/>
        <v>6.1045979901918219</v>
      </c>
      <c r="E23" s="2">
        <f t="shared" si="4"/>
        <v>6.9897498318977842</v>
      </c>
      <c r="F23" s="2">
        <f t="shared" si="4"/>
        <v>8.0032465349908986</v>
      </c>
      <c r="G23" s="2">
        <f t="shared" si="4"/>
        <v>9.1636977918068219</v>
      </c>
      <c r="H23" s="2">
        <f t="shared" si="4"/>
        <v>10.492411654748645</v>
      </c>
      <c r="I23" s="2">
        <f t="shared" si="4"/>
        <v>12.013785791925208</v>
      </c>
      <c r="J23" s="2">
        <f t="shared" si="4"/>
        <v>13.755755473904113</v>
      </c>
      <c r="K23" s="2">
        <f t="shared" si="4"/>
        <v>15.750306517452929</v>
      </c>
      <c r="L23" s="2">
        <f t="shared" si="4"/>
        <v>18.034062604873654</v>
      </c>
      <c r="M23" s="2">
        <f t="shared" si="4"/>
        <v>20.648957763210348</v>
      </c>
      <c r="N23" s="2">
        <f t="shared" si="4"/>
        <v>23.643006351304177</v>
      </c>
      <c r="O23" s="2">
        <f t="shared" si="4"/>
        <v>27.071184693096193</v>
      </c>
      <c r="P23" s="2">
        <f t="shared" si="4"/>
        <v>30.996440545611947</v>
      </c>
      <c r="Q23" s="2">
        <f t="shared" si="4"/>
        <v>35.490848937345483</v>
      </c>
      <c r="R23" s="2">
        <f t="shared" si="4"/>
        <v>40.636935600394089</v>
      </c>
      <c r="S23" s="2">
        <f t="shared" si="4"/>
        <v>46.529192297029596</v>
      </c>
      <c r="T23" s="2">
        <f t="shared" si="4"/>
        <v>53.275811864932123</v>
      </c>
      <c r="U23" s="2">
        <f t="shared" si="4"/>
        <v>61.000674839757309</v>
      </c>
      <c r="V23" s="2">
        <f t="shared" si="4"/>
        <v>69.845624133137576</v>
      </c>
      <c r="W23" s="2">
        <f t="shared" si="4"/>
        <v>79.973069533454009</v>
      </c>
      <c r="X23" s="2">
        <f t="shared" si="4"/>
        <v>91.56896985287726</v>
      </c>
      <c r="Y23" s="2">
        <f t="shared" si="4"/>
        <v>104.84624747846671</v>
      </c>
      <c r="Z23" s="2">
        <f t="shared" si="4"/>
        <v>120.0486980248634</v>
      </c>
      <c r="AA23" s="2">
        <f t="shared" si="4"/>
        <v>137.4554668771022</v>
      </c>
      <c r="AB23" s="2">
        <f t="shared" si="4"/>
        <v>157.38617482122956</v>
      </c>
      <c r="AC23" s="2">
        <f t="shared" si="4"/>
        <v>180.20678687887798</v>
      </c>
      <c r="AD23" s="2">
        <f t="shared" si="4"/>
        <v>206.33633210856158</v>
      </c>
      <c r="AE23" s="2">
        <f t="shared" si="4"/>
        <v>236.25459776179378</v>
      </c>
      <c r="AF23" s="2">
        <f t="shared" si="4"/>
        <v>270.51093907310462</v>
      </c>
    </row>
    <row r="24" spans="1:55" x14ac:dyDescent="0.2">
      <c r="A24" t="s">
        <v>24</v>
      </c>
      <c r="B24" s="2">
        <f>-20*LOG(2*PI()*B19*1000000*$B$5*(1/(120*PI()))*$B$14)</f>
        <v>25.427610737503699</v>
      </c>
      <c r="C24" s="2">
        <f t="shared" ref="C24:AF24" si="5">-20*LOG(2*PI()*C19*1000000*$B$5*(1/(120*PI()))*$B$14)</f>
        <v>53.037599043386329</v>
      </c>
      <c r="D24" s="2">
        <f t="shared" si="5"/>
        <v>51.861507784330641</v>
      </c>
      <c r="E24" s="2">
        <f t="shared" si="5"/>
        <v>50.685416525274967</v>
      </c>
      <c r="F24" s="2">
        <f t="shared" si="5"/>
        <v>49.509325266219278</v>
      </c>
      <c r="G24" s="2">
        <f t="shared" si="5"/>
        <v>48.333234007163597</v>
      </c>
      <c r="H24" s="2">
        <f t="shared" si="5"/>
        <v>47.157142748107923</v>
      </c>
      <c r="I24" s="2">
        <f t="shared" si="5"/>
        <v>45.981051489052234</v>
      </c>
      <c r="J24" s="2">
        <f t="shared" si="5"/>
        <v>44.80496022999656</v>
      </c>
      <c r="K24" s="2">
        <f t="shared" si="5"/>
        <v>43.628868970940871</v>
      </c>
      <c r="L24" s="2">
        <f t="shared" si="5"/>
        <v>42.452777711885197</v>
      </c>
      <c r="M24" s="2">
        <f t="shared" si="5"/>
        <v>41.276686452829516</v>
      </c>
      <c r="N24" s="2">
        <f t="shared" si="5"/>
        <v>40.100595193773842</v>
      </c>
      <c r="O24" s="2">
        <f t="shared" si="5"/>
        <v>38.924503934718153</v>
      </c>
      <c r="P24" s="2">
        <f t="shared" si="5"/>
        <v>37.748412675662479</v>
      </c>
      <c r="Q24" s="2">
        <f t="shared" si="5"/>
        <v>36.57232141660679</v>
      </c>
      <c r="R24" s="2">
        <f t="shared" si="5"/>
        <v>35.396230157551109</v>
      </c>
      <c r="S24" s="2">
        <f t="shared" si="5"/>
        <v>34.220138898495435</v>
      </c>
      <c r="T24" s="2">
        <f t="shared" si="5"/>
        <v>33.044047639439754</v>
      </c>
      <c r="U24" s="2">
        <f t="shared" si="5"/>
        <v>31.867956380384072</v>
      </c>
      <c r="V24" s="2">
        <f t="shared" si="5"/>
        <v>30.691865121328384</v>
      </c>
      <c r="W24" s="2">
        <f t="shared" si="5"/>
        <v>29.515773862272706</v>
      </c>
      <c r="X24" s="2">
        <f t="shared" si="5"/>
        <v>28.339682603217025</v>
      </c>
      <c r="Y24" s="2">
        <f t="shared" si="5"/>
        <v>27.163591344161343</v>
      </c>
      <c r="Z24" s="2">
        <f t="shared" si="5"/>
        <v>25.987500085105665</v>
      </c>
      <c r="AA24" s="2">
        <f t="shared" si="5"/>
        <v>24.811408826049984</v>
      </c>
      <c r="AB24" s="2">
        <f t="shared" si="5"/>
        <v>23.635317566994303</v>
      </c>
      <c r="AC24" s="2">
        <f t="shared" si="5"/>
        <v>22.459226307938621</v>
      </c>
      <c r="AD24" s="2">
        <f t="shared" si="5"/>
        <v>21.283135048882937</v>
      </c>
      <c r="AE24" s="2">
        <f t="shared" si="5"/>
        <v>20.107043789827259</v>
      </c>
      <c r="AF24" s="2">
        <f t="shared" si="5"/>
        <v>18.930952530771577</v>
      </c>
    </row>
    <row r="25" spans="1:55" x14ac:dyDescent="0.2">
      <c r="A25" t="s">
        <v>14</v>
      </c>
      <c r="B25" s="2">
        <f>B21+B22</f>
        <v>0.38392021472056054</v>
      </c>
      <c r="C25" s="2">
        <f t="shared" ref="C25:AF25" si="6">C21+C22</f>
        <v>7.8082779018141382E-2</v>
      </c>
      <c r="D25" s="2">
        <f t="shared" si="6"/>
        <v>8.3552135813569572E-2</v>
      </c>
      <c r="E25" s="2">
        <f t="shared" si="6"/>
        <v>8.9404598709034722E-2</v>
      </c>
      <c r="F25" s="2">
        <f t="shared" si="6"/>
        <v>9.5667003874216908E-2</v>
      </c>
      <c r="G25" s="2">
        <f t="shared" si="6"/>
        <v>0.10236806815191733</v>
      </c>
      <c r="H25" s="2">
        <f t="shared" si="6"/>
        <v>0.10953852145059353</v>
      </c>
      <c r="I25" s="2">
        <f t="shared" si="6"/>
        <v>0.11721124888456456</v>
      </c>
      <c r="J25" s="2">
        <f t="shared" si="6"/>
        <v>0.12542144368547892</v>
      </c>
      <c r="K25" s="2">
        <f t="shared" si="6"/>
        <v>0.13420677222530017</v>
      </c>
      <c r="L25" s="2">
        <f t="shared" si="6"/>
        <v>0.14360755300598463</v>
      </c>
      <c r="M25" s="2">
        <f t="shared" si="6"/>
        <v>0.15366695232464142</v>
      </c>
      <c r="N25" s="2">
        <f t="shared" si="6"/>
        <v>0.16443120075653159</v>
      </c>
      <c r="O25" s="2">
        <f t="shared" si="6"/>
        <v>0.17594983702626393</v>
      </c>
      <c r="P25" s="2">
        <f t="shared" si="6"/>
        <v>0.18827598997225251</v>
      </c>
      <c r="Q25" s="2">
        <f t="shared" si="6"/>
        <v>0.2014667163749313</v>
      </c>
      <c r="R25" s="2">
        <f t="shared" si="6"/>
        <v>0.21558342451902732</v>
      </c>
      <c r="S25" s="2">
        <f t="shared" si="6"/>
        <v>0.23069243410984863</v>
      </c>
      <c r="T25" s="2">
        <f t="shared" si="6"/>
        <v>0.24686575877701636</v>
      </c>
      <c r="U25" s="2">
        <f t="shared" si="6"/>
        <v>0.26418225855652</v>
      </c>
      <c r="V25" s="2">
        <f t="shared" si="6"/>
        <v>0.28272941479991626</v>
      </c>
      <c r="W25" s="2">
        <f t="shared" si="6"/>
        <v>0.30260616046831873</v>
      </c>
      <c r="X25" s="2">
        <f t="shared" si="6"/>
        <v>0.3239275089561845</v>
      </c>
      <c r="Y25" s="2">
        <f t="shared" si="6"/>
        <v>0.34683225766044901</v>
      </c>
      <c r="Z25" s="2">
        <f t="shared" si="6"/>
        <v>0.37149595866152196</v>
      </c>
      <c r="AA25" s="2">
        <f t="shared" si="6"/>
        <v>0.39815292345616304</v>
      </c>
      <c r="AB25" s="2">
        <f t="shared" si="6"/>
        <v>0.42713373492828327</v>
      </c>
      <c r="AC25" s="2">
        <f t="shared" si="6"/>
        <v>0.45892939107063213</v>
      </c>
      <c r="AD25" s="2">
        <f t="shared" si="6"/>
        <v>0.49430119944115863</v>
      </c>
      <c r="AE25" s="2">
        <f t="shared" si="6"/>
        <v>0.5344692819036343</v>
      </c>
      <c r="AF25" s="2">
        <f t="shared" si="6"/>
        <v>0.58143616598719927</v>
      </c>
    </row>
    <row r="26" spans="1:55" x14ac:dyDescent="0.2">
      <c r="A26" t="s">
        <v>15</v>
      </c>
      <c r="B26" s="2">
        <f>B23</f>
        <v>128.04184449460283</v>
      </c>
      <c r="C26" s="2">
        <f t="shared" ref="C26:AF26" si="7">C23</f>
        <v>5.3315379688969387</v>
      </c>
      <c r="D26" s="2">
        <f t="shared" si="7"/>
        <v>6.1045979901918219</v>
      </c>
      <c r="E26" s="2">
        <f t="shared" si="7"/>
        <v>6.9897498318977842</v>
      </c>
      <c r="F26" s="2">
        <f t="shared" si="7"/>
        <v>8.0032465349908986</v>
      </c>
      <c r="G26" s="2">
        <f t="shared" si="7"/>
        <v>9.1636977918068219</v>
      </c>
      <c r="H26" s="2">
        <f t="shared" si="7"/>
        <v>10.492411654748645</v>
      </c>
      <c r="I26" s="2">
        <f t="shared" si="7"/>
        <v>12.013785791925208</v>
      </c>
      <c r="J26" s="2">
        <f t="shared" si="7"/>
        <v>13.755755473904113</v>
      </c>
      <c r="K26" s="2">
        <f t="shared" si="7"/>
        <v>15.750306517452929</v>
      </c>
      <c r="L26" s="2">
        <f t="shared" si="7"/>
        <v>18.034062604873654</v>
      </c>
      <c r="M26" s="2">
        <f t="shared" si="7"/>
        <v>20.648957763210348</v>
      </c>
      <c r="N26" s="2">
        <f t="shared" si="7"/>
        <v>23.643006351304177</v>
      </c>
      <c r="O26" s="2">
        <f t="shared" si="7"/>
        <v>27.071184693096193</v>
      </c>
      <c r="P26" s="2">
        <f t="shared" si="7"/>
        <v>30.996440545611947</v>
      </c>
      <c r="Q26" s="2">
        <f t="shared" si="7"/>
        <v>35.490848937345483</v>
      </c>
      <c r="R26" s="2">
        <f t="shared" si="7"/>
        <v>40.636935600394089</v>
      </c>
      <c r="S26" s="2">
        <f t="shared" si="7"/>
        <v>46.529192297029596</v>
      </c>
      <c r="T26" s="2">
        <f t="shared" si="7"/>
        <v>53.275811864932123</v>
      </c>
      <c r="U26" s="2">
        <f t="shared" si="7"/>
        <v>61.000674839757309</v>
      </c>
      <c r="V26" s="2">
        <f t="shared" si="7"/>
        <v>69.845624133137576</v>
      </c>
      <c r="W26" s="2">
        <f t="shared" si="7"/>
        <v>79.973069533454009</v>
      </c>
      <c r="X26" s="2">
        <f t="shared" si="7"/>
        <v>91.56896985287726</v>
      </c>
      <c r="Y26" s="2">
        <f t="shared" si="7"/>
        <v>104.84624747846671</v>
      </c>
      <c r="Z26" s="2">
        <f t="shared" si="7"/>
        <v>120.0486980248634</v>
      </c>
      <c r="AA26" s="2">
        <f t="shared" si="7"/>
        <v>137.4554668771022</v>
      </c>
      <c r="AB26" s="2">
        <f t="shared" si="7"/>
        <v>157.38617482122956</v>
      </c>
      <c r="AC26" s="2">
        <f t="shared" si="7"/>
        <v>180.20678687887798</v>
      </c>
      <c r="AD26" s="2">
        <f t="shared" si="7"/>
        <v>206.33633210856158</v>
      </c>
      <c r="AE26" s="2">
        <f t="shared" si="7"/>
        <v>236.25459776179378</v>
      </c>
      <c r="AF26" s="2">
        <f t="shared" si="7"/>
        <v>270.51093907310462</v>
      </c>
    </row>
    <row r="27" spans="1:55" x14ac:dyDescent="0.2">
      <c r="A27" t="s">
        <v>16</v>
      </c>
      <c r="B27" s="2">
        <v>50</v>
      </c>
      <c r="C27" s="2">
        <v>50</v>
      </c>
      <c r="D27" s="2">
        <v>50</v>
      </c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2">
        <v>50</v>
      </c>
      <c r="P27" s="2">
        <v>50</v>
      </c>
      <c r="Q27" s="2">
        <v>50</v>
      </c>
      <c r="R27" s="2">
        <v>50</v>
      </c>
      <c r="S27" s="2">
        <v>50</v>
      </c>
      <c r="T27" s="2">
        <v>50</v>
      </c>
      <c r="U27" s="2">
        <v>50</v>
      </c>
      <c r="V27" s="2">
        <v>50</v>
      </c>
      <c r="W27" s="2">
        <v>50</v>
      </c>
      <c r="X27" s="2">
        <v>50</v>
      </c>
      <c r="Y27" s="2">
        <v>50</v>
      </c>
      <c r="Z27" s="2">
        <v>50</v>
      </c>
      <c r="AA27" s="2">
        <v>50</v>
      </c>
      <c r="AB27" s="2">
        <v>50</v>
      </c>
      <c r="AC27" s="2">
        <v>50</v>
      </c>
      <c r="AD27" s="2">
        <v>50</v>
      </c>
      <c r="AE27" s="2">
        <v>50</v>
      </c>
      <c r="AF27" s="2">
        <v>50</v>
      </c>
    </row>
    <row r="28" spans="1:55" x14ac:dyDescent="0.2">
      <c r="A28" t="s">
        <v>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</row>
    <row r="29" spans="1:55" x14ac:dyDescent="0.2">
      <c r="A29" t="s">
        <v>22</v>
      </c>
      <c r="B29" s="2">
        <f t="shared" ref="B29:AF29" si="8">-20*LOG(IMABS(IMDIV(COMPLEX(B27,B28,"j"),IMSUM(COMPLEX(B25,B26,"j"),COMPLEX(B27,B28,"j")))))</f>
        <v>8.7928523782917747</v>
      </c>
      <c r="C29" s="2">
        <f t="shared" si="8"/>
        <v>6.250282840888953E-2</v>
      </c>
      <c r="D29" s="2">
        <f t="shared" si="8"/>
        <v>7.8549836561316019E-2</v>
      </c>
      <c r="E29" s="2">
        <f t="shared" si="8"/>
        <v>9.9274327874540894E-2</v>
      </c>
      <c r="F29" s="2">
        <f t="shared" si="8"/>
        <v>0.12605731734039732</v>
      </c>
      <c r="G29" s="2">
        <f t="shared" si="8"/>
        <v>0.16066902194559063</v>
      </c>
      <c r="H29" s="2">
        <f t="shared" si="8"/>
        <v>0.20536382920392071</v>
      </c>
      <c r="I29" s="2">
        <f t="shared" si="8"/>
        <v>0.26298839525798939</v>
      </c>
      <c r="J29" s="2">
        <f t="shared" si="8"/>
        <v>0.3370976220083744</v>
      </c>
      <c r="K29" s="2">
        <f t="shared" si="8"/>
        <v>0.43206744305814038</v>
      </c>
      <c r="L29" s="2">
        <f t="shared" si="8"/>
        <v>0.55318503566569821</v>
      </c>
      <c r="M29" s="2">
        <f t="shared" si="8"/>
        <v>0.70668671446890252</v>
      </c>
      <c r="N29" s="2">
        <f t="shared" si="8"/>
        <v>0.89970343506437789</v>
      </c>
      <c r="O29" s="2">
        <f t="shared" si="8"/>
        <v>1.1400681917101103</v>
      </c>
      <c r="P29" s="2">
        <f t="shared" si="8"/>
        <v>1.4359460215249529</v>
      </c>
      <c r="Q29" s="2">
        <f t="shared" si="8"/>
        <v>1.7952738942231981</v>
      </c>
      <c r="R29" s="2">
        <f t="shared" si="8"/>
        <v>2.2250477029350795</v>
      </c>
      <c r="S29" s="2">
        <f t="shared" si="8"/>
        <v>2.7305576491003674</v>
      </c>
      <c r="T29" s="2">
        <f t="shared" si="8"/>
        <v>3.3147261858151005</v>
      </c>
      <c r="U29" s="2">
        <f t="shared" si="8"/>
        <v>3.9777114640613052</v>
      </c>
      <c r="V29" s="2">
        <f t="shared" si="8"/>
        <v>4.7168850353276799</v>
      </c>
      <c r="W29" s="2">
        <f t="shared" si="8"/>
        <v>5.5271901645389239</v>
      </c>
      <c r="X29" s="2">
        <f t="shared" si="8"/>
        <v>6.4017817646612727</v>
      </c>
      <c r="Y29" s="2">
        <f t="shared" si="8"/>
        <v>7.3327879014049833</v>
      </c>
      <c r="Z29" s="2">
        <f t="shared" si="8"/>
        <v>8.3120349455245872</v>
      </c>
      <c r="AA29" s="2">
        <f t="shared" si="8"/>
        <v>9.3316279610384463</v>
      </c>
      <c r="AB29" s="2">
        <f t="shared" si="8"/>
        <v>10.384342272928013</v>
      </c>
      <c r="AC29" s="2">
        <f t="shared" si="8"/>
        <v>11.463834447434348</v>
      </c>
      <c r="AD29" s="2">
        <f t="shared" si="8"/>
        <v>12.564710120430751</v>
      </c>
      <c r="AE29" s="2">
        <f t="shared" si="8"/>
        <v>13.682494431919782</v>
      </c>
      <c r="AF29" s="2">
        <f t="shared" si="8"/>
        <v>14.813546131345943</v>
      </c>
    </row>
    <row r="30" spans="1:55" x14ac:dyDescent="0.2">
      <c r="A30" t="s">
        <v>25</v>
      </c>
      <c r="B30" s="2">
        <f t="shared" ref="B30:AF30" si="9">B24+B29+B20+$B$9</f>
        <v>34.71490011082286</v>
      </c>
      <c r="C30" s="2">
        <f t="shared" si="9"/>
        <v>53.357459529193257</v>
      </c>
      <c r="D30" s="2">
        <f t="shared" si="9"/>
        <v>52.201485274225405</v>
      </c>
      <c r="E30" s="2">
        <f t="shared" si="9"/>
        <v>51.050481177579925</v>
      </c>
      <c r="F30" s="2">
        <f t="shared" si="9"/>
        <v>49.90584985536929</v>
      </c>
      <c r="G30" s="2">
        <f t="shared" si="9"/>
        <v>48.769384798336318</v>
      </c>
      <c r="H30" s="2">
        <f t="shared" si="9"/>
        <v>47.643365480684615</v>
      </c>
      <c r="I30" s="2">
        <f t="shared" si="9"/>
        <v>46.530665611660822</v>
      </c>
      <c r="J30" s="2">
        <f t="shared" si="9"/>
        <v>45.43486928075626</v>
      </c>
      <c r="K30" s="2">
        <f t="shared" si="9"/>
        <v>44.360383927894887</v>
      </c>
      <c r="L30" s="2">
        <f t="shared" si="9"/>
        <v>43.312530757571309</v>
      </c>
      <c r="M30" s="2">
        <f t="shared" si="9"/>
        <v>42.297582854688287</v>
      </c>
      <c r="N30" s="2">
        <f t="shared" si="9"/>
        <v>41.322710932410097</v>
      </c>
      <c r="O30" s="2">
        <f t="shared" si="9"/>
        <v>40.395790998809126</v>
      </c>
      <c r="P30" s="2">
        <f t="shared" si="9"/>
        <v>39.525034657503603</v>
      </c>
      <c r="Q30" s="2">
        <f t="shared" si="9"/>
        <v>38.718429324505493</v>
      </c>
      <c r="R30" s="2">
        <f t="shared" si="9"/>
        <v>37.983025580415287</v>
      </c>
      <c r="S30" s="2">
        <f t="shared" si="9"/>
        <v>37.324172954995873</v>
      </c>
      <c r="T30" s="2">
        <f t="shared" si="9"/>
        <v>36.744858313072903</v>
      </c>
      <c r="U30" s="2">
        <f t="shared" si="9"/>
        <v>36.245309791351744</v>
      </c>
      <c r="V30" s="2">
        <f t="shared" si="9"/>
        <v>35.822975045493514</v>
      </c>
      <c r="W30" s="2">
        <f t="shared" si="9"/>
        <v>35.472880167969194</v>
      </c>
      <c r="X30" s="2">
        <f t="shared" si="9"/>
        <v>35.188270295533172</v>
      </c>
      <c r="Y30" s="2">
        <f t="shared" si="9"/>
        <v>34.961371863203986</v>
      </c>
      <c r="Z30" s="2">
        <f t="shared" si="9"/>
        <v>34.784118591850422</v>
      </c>
      <c r="AA30" s="2">
        <f t="shared" si="9"/>
        <v>34.648732808589905</v>
      </c>
      <c r="AB30" s="2">
        <f t="shared" si="9"/>
        <v>34.548118055912298</v>
      </c>
      <c r="AC30" s="2">
        <f t="shared" si="9"/>
        <v>34.476071236671636</v>
      </c>
      <c r="AD30" s="2">
        <f t="shared" si="9"/>
        <v>34.427351746355626</v>
      </c>
      <c r="AE30" s="2">
        <f t="shared" si="9"/>
        <v>34.397653368787054</v>
      </c>
      <c r="AF30" s="2">
        <f t="shared" si="9"/>
        <v>34.383520020532593</v>
      </c>
    </row>
    <row r="31" spans="1:55" x14ac:dyDescent="0.2">
      <c r="B31" s="2"/>
    </row>
    <row r="32" spans="1:55" x14ac:dyDescent="0.2">
      <c r="A32" t="s">
        <v>19</v>
      </c>
      <c r="B32" s="2">
        <f>20*LOG((50*(299.792458/B19)^2/4/PI()/120/PI())^0.5)</f>
        <v>12.745537299898686</v>
      </c>
      <c r="C32" s="2">
        <f t="shared" ref="C32:AF32" si="10">20*LOG((50*(300/C19)^2/4/PI()/120/PI())^0.5)</f>
        <v>40.361536641616013</v>
      </c>
      <c r="D32" s="2">
        <f t="shared" si="10"/>
        <v>39.185445382560331</v>
      </c>
      <c r="E32" s="2">
        <f t="shared" si="10"/>
        <v>38.00935412350465</v>
      </c>
      <c r="F32" s="2">
        <f t="shared" si="10"/>
        <v>36.833262864448969</v>
      </c>
      <c r="G32" s="2">
        <f t="shared" si="10"/>
        <v>35.657171605393287</v>
      </c>
      <c r="H32" s="2">
        <f t="shared" si="10"/>
        <v>34.481080346337606</v>
      </c>
      <c r="I32" s="2">
        <f t="shared" si="10"/>
        <v>33.304989087281925</v>
      </c>
      <c r="J32" s="2">
        <f t="shared" si="10"/>
        <v>32.128897828226243</v>
      </c>
      <c r="K32" s="2">
        <f t="shared" si="10"/>
        <v>30.952806569170562</v>
      </c>
      <c r="L32" s="2">
        <f t="shared" si="10"/>
        <v>29.776715310114881</v>
      </c>
      <c r="M32" s="2">
        <f t="shared" si="10"/>
        <v>28.600624051059199</v>
      </c>
      <c r="N32" s="2">
        <f t="shared" si="10"/>
        <v>27.424532792003518</v>
      </c>
      <c r="O32" s="2">
        <f t="shared" si="10"/>
        <v>26.24844153294784</v>
      </c>
      <c r="P32" s="2">
        <f t="shared" si="10"/>
        <v>25.072350273892159</v>
      </c>
      <c r="Q32" s="2">
        <f t="shared" si="10"/>
        <v>23.896259014836478</v>
      </c>
      <c r="R32" s="2">
        <f t="shared" si="10"/>
        <v>22.7201677557808</v>
      </c>
      <c r="S32" s="2">
        <f t="shared" si="10"/>
        <v>21.544076496725111</v>
      </c>
      <c r="T32" s="2">
        <f t="shared" si="10"/>
        <v>20.367985237669433</v>
      </c>
      <c r="U32" s="2">
        <f t="shared" si="10"/>
        <v>19.191893978613756</v>
      </c>
      <c r="V32" s="2">
        <f t="shared" si="10"/>
        <v>18.015802719558074</v>
      </c>
      <c r="W32" s="2">
        <f t="shared" si="10"/>
        <v>16.839711460502393</v>
      </c>
      <c r="X32" s="2">
        <f t="shared" si="10"/>
        <v>15.663620201446712</v>
      </c>
      <c r="Y32" s="2">
        <f t="shared" si="10"/>
        <v>14.48752894239103</v>
      </c>
      <c r="Z32" s="2">
        <f t="shared" si="10"/>
        <v>13.311437683335347</v>
      </c>
      <c r="AA32" s="2">
        <f t="shared" si="10"/>
        <v>12.135346424279668</v>
      </c>
      <c r="AB32" s="2">
        <f t="shared" si="10"/>
        <v>10.95925516522399</v>
      </c>
      <c r="AC32" s="2">
        <f t="shared" si="10"/>
        <v>9.7831639061683049</v>
      </c>
      <c r="AD32" s="2">
        <f t="shared" si="10"/>
        <v>8.6070726471126253</v>
      </c>
      <c r="AE32" s="2">
        <f t="shared" si="10"/>
        <v>7.4309813880569457</v>
      </c>
      <c r="AF32" s="2">
        <f t="shared" si="10"/>
        <v>6.2548901290012626</v>
      </c>
    </row>
    <row r="33" spans="1:32" x14ac:dyDescent="0.2">
      <c r="A33" t="s">
        <v>18</v>
      </c>
      <c r="B33" s="2">
        <f t="shared" ref="B33:AF33" si="11">$B$9+B20-B24-B32-B29</f>
        <v>-46.471563420666776</v>
      </c>
      <c r="C33" s="2">
        <f t="shared" si="11"/>
        <v>-93.204280856013199</v>
      </c>
      <c r="D33" s="2">
        <f t="shared" si="11"/>
        <v>-90.864075350118853</v>
      </c>
      <c r="E33" s="2">
        <f t="shared" si="11"/>
        <v>-88.528254652223737</v>
      </c>
      <c r="F33" s="2">
        <f t="shared" si="11"/>
        <v>-86.198178176199022</v>
      </c>
      <c r="G33" s="2">
        <f t="shared" si="11"/>
        <v>-83.875592865275351</v>
      </c>
      <c r="H33" s="2">
        <f t="shared" si="11"/>
        <v>-81.562728020276666</v>
      </c>
      <c r="I33" s="2">
        <f t="shared" si="11"/>
        <v>-79.262403244241554</v>
      </c>
      <c r="J33" s="2">
        <f t="shared" si="11"/>
        <v>-76.978144251479847</v>
      </c>
      <c r="K33" s="2">
        <f t="shared" si="11"/>
        <v>-74.714295469273708</v>
      </c>
      <c r="L33" s="2">
        <f t="shared" si="11"/>
        <v>-72.476110047645349</v>
      </c>
      <c r="M33" s="2">
        <f t="shared" si="11"/>
        <v>-70.269787530967761</v>
      </c>
      <c r="N33" s="2">
        <f t="shared" si="11"/>
        <v>-68.102419117269861</v>
      </c>
      <c r="O33" s="2">
        <f t="shared" si="11"/>
        <v>-65.981794786995252</v>
      </c>
      <c r="P33" s="2">
        <f t="shared" si="11"/>
        <v>-63.916033010763428</v>
      </c>
      <c r="Q33" s="2">
        <f t="shared" si="11"/>
        <v>-61.913020311990962</v>
      </c>
      <c r="R33" s="2">
        <f t="shared" si="11"/>
        <v>-59.979697896337889</v>
      </c>
      <c r="S33" s="2">
        <f t="shared" si="11"/>
        <v>-58.121296636920846</v>
      </c>
      <c r="T33" s="2">
        <f t="shared" si="11"/>
        <v>-56.340674575106249</v>
      </c>
      <c r="U33" s="2">
        <f t="shared" si="11"/>
        <v>-54.637919876152772</v>
      </c>
      <c r="V33" s="2">
        <f t="shared" si="11"/>
        <v>-53.010327987376684</v>
      </c>
      <c r="W33" s="2">
        <f t="shared" si="11"/>
        <v>-51.452759346156455</v>
      </c>
      <c r="X33" s="2">
        <f t="shared" si="11"/>
        <v>-49.958278641670141</v>
      </c>
      <c r="Y33" s="2">
        <f t="shared" si="11"/>
        <v>-48.518915570319692</v>
      </c>
      <c r="Z33" s="2">
        <f t="shared" si="11"/>
        <v>-47.126389152745432</v>
      </c>
      <c r="AA33" s="2">
        <f t="shared" si="11"/>
        <v>-45.77268718986663</v>
      </c>
      <c r="AB33" s="2">
        <f t="shared" si="11"/>
        <v>-44.45045678915632</v>
      </c>
      <c r="AC33" s="2">
        <f t="shared" si="11"/>
        <v>-43.153214180242614</v>
      </c>
      <c r="AD33" s="2">
        <f t="shared" si="11"/>
        <v>-41.875411239384377</v>
      </c>
      <c r="AE33" s="2">
        <f t="shared" si="11"/>
        <v>-40.612404462763969</v>
      </c>
      <c r="AF33" s="2">
        <f t="shared" si="11"/>
        <v>-39.360367432703711</v>
      </c>
    </row>
    <row r="34" spans="1:32" x14ac:dyDescent="0.2">
      <c r="B34" s="2"/>
    </row>
    <row r="37" spans="1:32" x14ac:dyDescent="0.2">
      <c r="A37" t="s">
        <v>27</v>
      </c>
    </row>
  </sheetData>
  <sheetProtection sheet="1"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</vt:lpstr>
    </vt:vector>
  </TitlesOfParts>
  <Company>_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owen</cp:lastModifiedBy>
  <dcterms:created xsi:type="dcterms:W3CDTF">2004-11-22T21:40:26Z</dcterms:created>
  <dcterms:modified xsi:type="dcterms:W3CDTF">2014-06-10T22:24:20Z</dcterms:modified>
</cp:coreProperties>
</file>