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os vrednosti" sheetId="1" r:id="rId3"/>
    <sheet state="visible" name="Izvestaj za novi period" sheetId="2" r:id="rId4"/>
    <sheet state="visible" name="Proizvodna cena" sheetId="3" r:id="rId5"/>
    <sheet state="visible" name="Grafik proizvodne cene" sheetId="4" r:id="rId6"/>
  </sheets>
  <definedNames/>
  <calcPr/>
</workbook>
</file>

<file path=xl/sharedStrings.xml><?xml version="1.0" encoding="utf-8"?>
<sst xmlns="http://schemas.openxmlformats.org/spreadsheetml/2006/main" count="112" uniqueCount="84">
  <si>
    <t>Za prodaju ima</t>
  </si>
  <si>
    <t>minimum</t>
  </si>
  <si>
    <r>
      <rPr/>
      <t xml:space="preserve">pocetni kapacitet </t>
    </r>
    <r>
      <rPr>
        <rFont val="Arial"/>
        <b/>
        <sz val="10.0"/>
      </rPr>
      <t>Q0</t>
    </r>
  </si>
  <si>
    <t>maksimum</t>
  </si>
  <si>
    <t>kreditni limit</t>
  </si>
  <si>
    <t>Prodaja - procena</t>
  </si>
  <si>
    <t>cena</t>
  </si>
  <si>
    <t>kapacitet</t>
  </si>
  <si>
    <t>k</t>
  </si>
  <si>
    <t>proizvodnja</t>
  </si>
  <si>
    <t>kamata</t>
  </si>
  <si>
    <t>marketing</t>
  </si>
  <si>
    <t>Income Statement</t>
  </si>
  <si>
    <t>Production Report</t>
  </si>
  <si>
    <t>Sales</t>
  </si>
  <si>
    <t>porez</t>
  </si>
  <si>
    <t>investicije</t>
  </si>
  <si>
    <t>vrednost zaliha</t>
  </si>
  <si>
    <t>R &amp; D</t>
  </si>
  <si>
    <t>izdvajanje za radnike</t>
  </si>
  <si>
    <t>Production</t>
  </si>
  <si>
    <t>dobrotvorne svrhe</t>
  </si>
  <si>
    <t>Podaci iz izvestaja</t>
  </si>
  <si>
    <t>Odluka</t>
  </si>
  <si>
    <t>Units</t>
  </si>
  <si>
    <t>Inventory - units</t>
  </si>
  <si>
    <t>Cost of Goods Sold</t>
  </si>
  <si>
    <t>Inventory - $</t>
  </si>
  <si>
    <t>Factory Capacity</t>
  </si>
  <si>
    <t>Gross Margin</t>
  </si>
  <si>
    <t>Loans</t>
  </si>
  <si>
    <t>Ending Cash</t>
  </si>
  <si>
    <t>Capacity Utilization</t>
  </si>
  <si>
    <t>Employees</t>
  </si>
  <si>
    <t>Size Next Qtr. [$]</t>
  </si>
  <si>
    <t>Marketing</t>
  </si>
  <si>
    <t>Size Next Qtr. [units]</t>
  </si>
  <si>
    <t>Production Cost/Unit - procena</t>
  </si>
  <si>
    <t>slobodan kredit</t>
  </si>
  <si>
    <t>Production Cost/Unit</t>
  </si>
  <si>
    <t>Depreciation</t>
  </si>
  <si>
    <t>Invertory</t>
  </si>
  <si>
    <t>Ret. Earnings</t>
  </si>
  <si>
    <t>za prodaju ima</t>
  </si>
  <si>
    <t>Workers</t>
  </si>
  <si>
    <t>Charitable Giving</t>
  </si>
  <si>
    <t>Layoff Charge</t>
  </si>
  <si>
    <t>Invertory Charge</t>
  </si>
  <si>
    <t>Marketing Report</t>
  </si>
  <si>
    <t>Interest</t>
  </si>
  <si>
    <t>Orders Received</t>
  </si>
  <si>
    <t>nepoznato</t>
  </si>
  <si>
    <t>Profit Before Tax</t>
  </si>
  <si>
    <t>prodaja - procena</t>
  </si>
  <si>
    <t>Sales Made</t>
  </si>
  <si>
    <t>Tax</t>
  </si>
  <si>
    <t>Neto profit</t>
  </si>
  <si>
    <t>Unfilled Orders</t>
  </si>
  <si>
    <t>Net Profit</t>
  </si>
  <si>
    <t>Price/Unit Sold</t>
  </si>
  <si>
    <t>Total Cost/Unit Sold</t>
  </si>
  <si>
    <t>Balance Sheet</t>
  </si>
  <si>
    <t>Margin/Unit Sold</t>
  </si>
  <si>
    <t>Total Assets</t>
  </si>
  <si>
    <t>Cash</t>
  </si>
  <si>
    <t>Cash Flow</t>
  </si>
  <si>
    <t>Inventory</t>
  </si>
  <si>
    <t>Begining Cash</t>
  </si>
  <si>
    <t>Capital Investment</t>
  </si>
  <si>
    <t>Liabilities+Equity</t>
  </si>
  <si>
    <t>Retained Earnings</t>
  </si>
  <si>
    <t>Invertory Change</t>
  </si>
  <si>
    <t>Capital</t>
  </si>
  <si>
    <t>New Loan</t>
  </si>
  <si>
    <t>Investment Report</t>
  </si>
  <si>
    <t>$</t>
  </si>
  <si>
    <t>Size Next Qtr.</t>
  </si>
  <si>
    <t>Available Cash</t>
  </si>
  <si>
    <t>Factory Size</t>
  </si>
  <si>
    <t>+ Credit Line</t>
  </si>
  <si>
    <t>Net Investment</t>
  </si>
  <si>
    <t>Funds Available</t>
  </si>
  <si>
    <t>Plan</t>
  </si>
  <si>
    <t>Unit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</si>
</sst>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%"/>
  </numFmts>
  <fonts count="7">
    <font>
      <sz val="10.0"/>
      <color rgb="FF000000"/>
      <name val="Arial"/>
    </font>
    <font>
      <sz val="10.0"/>
      <name val="Arial"/>
    </font>
    <font>
      <b/>
      <sz val="10.0"/>
      <name val="Arial"/>
    </font>
    <font>
      <sz val="8.0"/>
      <name val="Arial"/>
    </font>
    <font>
      <b/>
      <sz val="8.0"/>
      <name val="Arial"/>
    </font>
    <font>
      <b/>
      <sz val="12.0"/>
      <name val="Arial"/>
    </font>
    <font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2" fontId="2" numFmtId="0" xfId="0" applyAlignment="1" applyBorder="1" applyFill="1" applyFont="1">
      <alignment horizontal="center" shrinkToFit="0" vertical="center" wrapText="0"/>
    </xf>
    <xf borderId="2" fillId="2" fontId="2" numFmtId="4" xfId="0" applyAlignment="1" applyBorder="1" applyFont="1" applyNumberFormat="1">
      <alignment shrinkToFit="0" vertical="center" wrapText="0"/>
    </xf>
    <xf borderId="6" fillId="2" fontId="2" numFmtId="164" xfId="0" applyAlignment="1" applyBorder="1" applyFont="1" applyNumberFormat="1">
      <alignment shrinkToFit="0" vertical="center" wrapText="0"/>
    </xf>
    <xf borderId="0" fillId="0" fontId="3" numFmtId="165" xfId="0" applyAlignment="1" applyFont="1" applyNumberFormat="1">
      <alignment horizontal="center" shrinkToFit="0" wrapText="0"/>
    </xf>
    <xf borderId="7" fillId="2" fontId="2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2" fontId="2" numFmtId="9" xfId="0" applyAlignment="1" applyBorder="1" applyFont="1" applyNumberFormat="1">
      <alignment shrinkToFit="0" vertical="center" wrapText="0"/>
    </xf>
    <xf borderId="0" fillId="0" fontId="1" numFmtId="1" xfId="0" applyAlignment="1" applyFont="1" applyNumberFormat="1">
      <alignment horizontal="center" shrinkToFit="0" wrapText="0"/>
    </xf>
    <xf borderId="10" fillId="2" fontId="2" numFmtId="4" xfId="0" applyAlignment="1" applyBorder="1" applyFont="1" applyNumberFormat="1">
      <alignment shrinkToFit="0" vertical="center" wrapText="0"/>
    </xf>
    <xf borderId="11" fillId="2" fontId="1" numFmtId="0" xfId="0" applyAlignment="1" applyBorder="1" applyFont="1">
      <alignment shrinkToFit="0" wrapText="0"/>
    </xf>
    <xf borderId="12" fillId="2" fontId="2" numFmtId="4" xfId="0" applyAlignment="1" applyBorder="1" applyFont="1" applyNumberFormat="1">
      <alignment shrinkToFit="0" vertical="center" wrapText="0"/>
    </xf>
    <xf borderId="0" fillId="0" fontId="1" numFmtId="2" xfId="0" applyAlignment="1" applyFont="1" applyNumberFormat="1">
      <alignment horizontal="center" shrinkToFit="0" wrapText="0"/>
    </xf>
    <xf borderId="0" fillId="0" fontId="2" numFmtId="0" xfId="0" applyAlignment="1" applyFont="1">
      <alignment shrinkToFit="0" wrapText="0"/>
    </xf>
    <xf borderId="9" fillId="2" fontId="2" numFmtId="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3" fillId="2" fontId="2" numFmtId="4" xfId="0" applyAlignment="1" applyBorder="1" applyFont="1" applyNumberFormat="1">
      <alignment shrinkToFit="0" vertical="center" wrapText="0"/>
    </xf>
    <xf borderId="0" fillId="0" fontId="2" numFmtId="4" xfId="0" applyAlignment="1" applyFont="1" applyNumberFormat="1">
      <alignment shrinkToFit="0" wrapText="0"/>
    </xf>
    <xf borderId="14" fillId="2" fontId="2" numFmtId="4" xfId="0" applyAlignment="1" applyBorder="1" applyFont="1" applyNumberFormat="1">
      <alignment shrinkToFit="0" vertical="center" wrapText="0"/>
    </xf>
    <xf borderId="0" fillId="0" fontId="4" numFmtId="9" xfId="0" applyAlignment="1" applyFont="1" applyNumberFormat="1">
      <alignment shrinkToFit="0" wrapText="0"/>
    </xf>
    <xf borderId="15" fillId="0" fontId="1" numFmtId="0" xfId="0" applyAlignment="1" applyBorder="1" applyFont="1">
      <alignment shrinkToFit="0" vertical="center" wrapText="0"/>
    </xf>
    <xf borderId="5" fillId="2" fontId="2" numFmtId="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6" fillId="2" fontId="2" numFmtId="4" xfId="0" applyAlignment="1" applyBorder="1" applyFont="1" applyNumberFormat="1">
      <alignment shrinkToFit="0" vertical="center" wrapText="0"/>
    </xf>
    <xf borderId="17" fillId="2" fontId="2" numFmtId="4" xfId="0" applyAlignment="1" applyBorder="1" applyFont="1" applyNumberFormat="1">
      <alignment shrinkToFit="0" vertical="center" wrapText="0"/>
    </xf>
    <xf borderId="11" fillId="2" fontId="2" numFmtId="0" xfId="0" applyAlignment="1" applyBorder="1" applyFont="1">
      <alignment horizontal="center" shrinkToFit="0" wrapText="0"/>
    </xf>
    <xf borderId="0" fillId="0" fontId="2" numFmtId="0" xfId="0" applyAlignment="1" applyFont="1">
      <alignment shrinkToFit="0" vertical="center" wrapText="0"/>
    </xf>
    <xf borderId="0" fillId="0" fontId="1" numFmtId="0" xfId="0" applyAlignment="1" applyFont="1">
      <alignment horizontal="left" shrinkToFit="0" wrapText="0"/>
    </xf>
    <xf borderId="2" fillId="2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2" fillId="2" fontId="2" numFmtId="164" xfId="0" applyAlignment="1" applyBorder="1" applyFont="1" applyNumberFormat="1">
      <alignment shrinkToFit="0" vertical="center" wrapText="0"/>
    </xf>
    <xf borderId="18" fillId="0" fontId="1" numFmtId="4" xfId="0" applyAlignment="1" applyBorder="1" applyFont="1" applyNumberFormat="1">
      <alignment shrinkToFit="0" wrapText="0"/>
    </xf>
    <xf borderId="8" fillId="0" fontId="2" numFmtId="0" xfId="0" applyAlignment="1" applyBorder="1" applyFont="1">
      <alignment shrinkToFit="0" vertical="center" wrapText="0"/>
    </xf>
    <xf borderId="9" fillId="2" fontId="2" numFmtId="0" xfId="0" applyAlignment="1" applyBorder="1" applyFont="1">
      <alignment shrinkToFit="0" vertical="center" wrapText="0"/>
    </xf>
    <xf borderId="0" fillId="0" fontId="3" numFmtId="9" xfId="0" applyAlignment="1" applyFont="1" applyNumberFormat="1">
      <alignment shrinkToFit="0" wrapText="0"/>
    </xf>
    <xf borderId="0" fillId="0" fontId="1" numFmtId="4" xfId="0" applyAlignment="1" applyFont="1" applyNumberFormat="1">
      <alignment shrinkToFit="0" wrapText="0"/>
    </xf>
    <xf borderId="0" fillId="0" fontId="1" numFmtId="9" xfId="0" applyAlignment="1" applyFont="1" applyNumberFormat="1">
      <alignment shrinkToFit="0" wrapText="0"/>
    </xf>
    <xf borderId="9" fillId="2" fontId="2" numFmtId="2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9" fillId="2" fontId="2" numFmtId="164" xfId="0" applyAlignment="1" applyBorder="1" applyFont="1" applyNumberFormat="1">
      <alignment shrinkToFit="0" vertical="center" wrapText="0"/>
    </xf>
    <xf borderId="19" fillId="0" fontId="2" numFmtId="0" xfId="0" applyAlignment="1" applyBorder="1" applyFont="1">
      <alignment shrinkToFit="0" vertical="center" wrapText="0"/>
    </xf>
    <xf borderId="0" fillId="0" fontId="1" numFmtId="164" xfId="0" applyAlignment="1" applyFont="1" applyNumberFormat="1">
      <alignment shrinkToFit="0" wrapText="0"/>
    </xf>
    <xf borderId="19" fillId="0" fontId="5" numFmtId="4" xfId="0" applyAlignment="1" applyBorder="1" applyFont="1" applyNumberFormat="1">
      <alignment shrinkToFit="0" vertical="center" wrapText="0"/>
    </xf>
    <xf borderId="0" fillId="0" fontId="6" numFmtId="0" xfId="0" applyAlignment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right" shrinkToFit="0" wrapText="0"/>
    </xf>
    <xf borderId="2" fillId="0" fontId="2" numFmtId="0" xfId="0" applyAlignment="1" applyBorder="1" applyFont="1">
      <alignment shrinkToFit="0" vertical="center" wrapText="0"/>
    </xf>
    <xf borderId="5" fillId="2" fontId="2" numFmtId="0" xfId="0" applyAlignment="1" applyBorder="1" applyFont="1">
      <alignment shrinkToFit="0" vertical="center" wrapText="0"/>
    </xf>
    <xf borderId="11" fillId="2" fontId="1" numFmtId="0" xfId="0" applyAlignment="1" applyBorder="1" applyFont="1">
      <alignment horizontal="center" shrinkToFit="0" wrapText="0"/>
    </xf>
    <xf borderId="11" fillId="2" fontId="1" numFmtId="0" xfId="0" applyAlignment="1" applyBorder="1" applyFont="1">
      <alignment horizontal="right" shrinkToFit="0" wrapText="0"/>
    </xf>
    <xf borderId="18" fillId="0" fontId="1" numFmtId="0" xfId="0" applyAlignment="1" applyBorder="1" applyFont="1">
      <alignment horizontal="right" shrinkToFit="0" wrapText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alignment shrinkToFit="0" wrapText="0"/>
      <border/>
    </dxf>
    <dxf>
      <font>
        <color rgb="FFFFFFFF"/>
      </font>
      <fill>
        <patternFill patternType="none"/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Proizvodna cena po komadu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'Proizvodna cena'!$D$5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'Proizvodna cena'!$C$6:$C$76</c:f>
            </c:numRef>
          </c:xVal>
          <c:yVal>
            <c:numRef>
              <c:f>'Proizvodna cena'!$D$6:$D$76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639938"/>
        <c:axId val="1079704936"/>
      </c:scatterChart>
      <c:valAx>
        <c:axId val="149363993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Kapacitet fabrike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079704936"/>
      </c:valAx>
      <c:valAx>
        <c:axId val="10797049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493639938"/>
      </c:valAx>
      <c:spPr>
        <a:solidFill>
          <a:srgbClr val="FFFFFF"/>
        </a:solidFill>
      </c:spPr>
    </c:plotArea>
  </c:chart>
  <c:spPr>
    <a:solidFill>
      <a:srgbClr val="000000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30.71"/>
    <col customWidth="1" min="3" max="5" width="10.71"/>
    <col customWidth="1" min="6" max="6" width="18.71"/>
    <col customWidth="1" min="7" max="8" width="12.71"/>
    <col customWidth="1" min="9" max="18" width="9.14"/>
    <col customWidth="1" min="19" max="26" width="17.29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9.5" customHeight="1">
      <c r="A2" s="2"/>
      <c r="B2" s="2"/>
      <c r="C2" s="2"/>
      <c r="D2" s="2"/>
      <c r="E2" s="2"/>
      <c r="F2" s="2"/>
      <c r="G2" s="4" t="s">
        <v>1</v>
      </c>
      <c r="H2" s="6" t="s">
        <v>3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ht="19.5" customHeight="1">
      <c r="A3" s="2"/>
      <c r="B3" s="8" t="s">
        <v>4</v>
      </c>
      <c r="C3" s="10">
        <v>100000.0</v>
      </c>
      <c r="D3" s="2"/>
      <c r="E3" s="2"/>
      <c r="F3" s="8" t="s">
        <v>6</v>
      </c>
      <c r="G3" s="11">
        <v>12.0</v>
      </c>
      <c r="H3" s="13">
        <v>120.0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ht="19.5" customHeight="1">
      <c r="A4" s="2"/>
      <c r="B4" s="14" t="s">
        <v>10</v>
      </c>
      <c r="C4" s="15">
        <v>0.1</v>
      </c>
      <c r="D4" s="2"/>
      <c r="E4" s="2"/>
      <c r="F4" s="14" t="s">
        <v>11</v>
      </c>
      <c r="G4" s="17">
        <v>0.0</v>
      </c>
      <c r="H4" s="19">
        <v>12000.0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ht="19.5" customHeight="1">
      <c r="A5" s="2"/>
      <c r="B5" s="14" t="s">
        <v>15</v>
      </c>
      <c r="C5" s="15">
        <v>0.25</v>
      </c>
      <c r="D5" s="2"/>
      <c r="E5" s="2"/>
      <c r="F5" s="14" t="s">
        <v>16</v>
      </c>
      <c r="G5" s="17">
        <v>0.0</v>
      </c>
      <c r="H5" s="19">
        <v>12000.0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ht="19.5" customHeight="1">
      <c r="A6" s="2"/>
      <c r="B6" s="14" t="s">
        <v>17</v>
      </c>
      <c r="C6" s="22">
        <v>0.0</v>
      </c>
      <c r="D6" s="2"/>
      <c r="E6" s="2"/>
      <c r="F6" s="23" t="s">
        <v>18</v>
      </c>
      <c r="G6" s="24">
        <v>0.0</v>
      </c>
      <c r="H6" s="26">
        <v>12000.0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ht="19.5" customHeight="1">
      <c r="A7" s="2"/>
      <c r="B7" s="28" t="s">
        <v>19</v>
      </c>
      <c r="C7" s="29">
        <v>10.0</v>
      </c>
      <c r="D7" s="2"/>
      <c r="E7" s="2"/>
      <c r="F7" s="30" t="s">
        <v>21</v>
      </c>
      <c r="G7" s="31">
        <v>0.0</v>
      </c>
      <c r="H7" s="32">
        <v>12000.0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ht="19.5" customHeight="1">
      <c r="A9" s="2"/>
      <c r="B9" s="2" t="s">
        <v>22</v>
      </c>
      <c r="C9" s="2"/>
      <c r="D9" s="2"/>
      <c r="E9" s="2"/>
      <c r="F9" s="34" t="s">
        <v>23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ht="19.5" customHeight="1">
      <c r="A10" s="2"/>
      <c r="B10" s="8" t="s">
        <v>25</v>
      </c>
      <c r="C10" s="36">
        <v>0.0</v>
      </c>
      <c r="D10" s="2"/>
      <c r="E10" s="2"/>
      <c r="F10" s="37" t="s">
        <v>6</v>
      </c>
      <c r="G10" s="38">
        <v>65.99</v>
      </c>
      <c r="H10" s="7" t="str">
        <f>IF(G10&lt;G3," Greska!",IF(G10&gt;H3,"Greska!",""))</f>
        <v/>
      </c>
      <c r="I10" s="2"/>
      <c r="J10" s="2"/>
      <c r="K10" s="2"/>
      <c r="L10" s="2"/>
      <c r="M10" s="2"/>
      <c r="N10" s="2"/>
      <c r="O10" s="2"/>
      <c r="P10" s="2"/>
      <c r="Q10" s="2"/>
      <c r="R10" s="2"/>
    </row>
    <row r="11" ht="19.5" customHeight="1">
      <c r="A11" s="2"/>
      <c r="B11" s="23" t="s">
        <v>27</v>
      </c>
      <c r="C11" s="22">
        <v>0.0</v>
      </c>
      <c r="D11" s="2"/>
      <c r="E11" s="2"/>
      <c r="F11" s="40" t="s">
        <v>9</v>
      </c>
      <c r="G11" s="41">
        <v>1134.0</v>
      </c>
      <c r="H11" s="7" t="str">
        <f>IF(G11&lt;0," Greska!",IF(G11&gt;C16,"Greska!",""))</f>
        <v/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ht="19.5" customHeight="1">
      <c r="A12" s="2"/>
      <c r="B12" s="14" t="s">
        <v>30</v>
      </c>
      <c r="C12" s="22">
        <v>11569.0</v>
      </c>
      <c r="D12" s="2"/>
      <c r="E12" s="2"/>
      <c r="F12" s="40" t="s">
        <v>11</v>
      </c>
      <c r="G12" s="22">
        <v>10000.0</v>
      </c>
      <c r="H12" s="7" t="str">
        <f t="shared" ref="H12:H15" si="1">IF(G12&lt;G4," Greska!",IF(G12&gt;H4,"Greska!",""))</f>
        <v/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ht="19.5" customHeight="1">
      <c r="A13" s="2"/>
      <c r="B13" s="14" t="s">
        <v>31</v>
      </c>
      <c r="C13" s="22">
        <v>15878.0</v>
      </c>
      <c r="D13" s="2"/>
      <c r="E13" s="2"/>
      <c r="F13" s="40" t="s">
        <v>16</v>
      </c>
      <c r="G13" s="22">
        <v>12000.0</v>
      </c>
      <c r="H13" s="7" t="str">
        <f t="shared" si="1"/>
        <v/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ht="19.5" customHeight="1">
      <c r="A14" s="2"/>
      <c r="B14" s="14" t="s">
        <v>33</v>
      </c>
      <c r="C14" s="41">
        <v>105.0</v>
      </c>
      <c r="D14" s="2"/>
      <c r="E14" s="2"/>
      <c r="F14" s="40" t="s">
        <v>18</v>
      </c>
      <c r="G14" s="22">
        <v>12000.0</v>
      </c>
      <c r="H14" s="7" t="str">
        <f t="shared" si="1"/>
        <v/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ht="19.5" customHeight="1">
      <c r="A15" s="2"/>
      <c r="B15" s="14" t="s">
        <v>34</v>
      </c>
      <c r="C15" s="45">
        <v>28000.0</v>
      </c>
      <c r="D15" s="2"/>
      <c r="E15" s="2"/>
      <c r="F15" s="46" t="s">
        <v>21</v>
      </c>
      <c r="G15" s="29">
        <v>12000.0</v>
      </c>
      <c r="H15" s="7" t="str">
        <f t="shared" si="1"/>
        <v/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ht="19.5" customHeight="1">
      <c r="A16" s="2"/>
      <c r="B16" s="14" t="s">
        <v>36</v>
      </c>
      <c r="C16" s="41">
        <v>1409.0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19.5" customHeight="1">
      <c r="A17" s="2"/>
      <c r="B17" s="23" t="s">
        <v>37</v>
      </c>
      <c r="C17" s="47">
        <v>8.59</v>
      </c>
      <c r="D17" s="2"/>
      <c r="E17" s="2"/>
      <c r="F17" s="48" t="s">
        <v>38</v>
      </c>
      <c r="G17" s="50">
        <f>ROUNDDOWN(C3-'Izvestaj za novi period'!C27-'Izvestaj za novi period'!G26,0)</f>
        <v>60567</v>
      </c>
      <c r="H17" s="51" t="str">
        <f>IF(G17&lt;0,"Premasen limit"," ")</f>
        <v> 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ht="19.5" customHeight="1">
      <c r="A18" s="2"/>
      <c r="B18" s="30" t="s">
        <v>42</v>
      </c>
      <c r="C18" s="29">
        <v>1859.0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ht="19.5" customHeight="1">
      <c r="A19" s="2"/>
      <c r="B19" s="2"/>
      <c r="C19" s="2"/>
      <c r="D19" s="2"/>
      <c r="E19" s="2"/>
      <c r="F19" s="52" t="s">
        <v>43</v>
      </c>
      <c r="G19" s="54">
        <f>C10+G11</f>
        <v>1134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ht="19.5" customHeight="1">
      <c r="A20" s="2"/>
      <c r="B20" s="2"/>
      <c r="C20" s="2"/>
      <c r="D20" s="2"/>
      <c r="E20" s="2"/>
      <c r="F20" s="30" t="s">
        <v>53</v>
      </c>
      <c r="G20" s="55">
        <v>1134.0</v>
      </c>
      <c r="H20" s="7" t="str">
        <f>IF(G20&lt;0," Greska!",IF(G20&gt;G19,"Greska!",""))</f>
        <v/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19.5" customHeight="1">
      <c r="A22" s="2"/>
      <c r="B22" s="2"/>
      <c r="C22" s="2"/>
      <c r="D22" s="2"/>
      <c r="E22" s="2"/>
      <c r="F22" s="48" t="s">
        <v>56</v>
      </c>
      <c r="G22" s="50">
        <f>'Izvestaj za novi period'!$C$19</f>
        <v>30483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</sheetData>
  <conditionalFormatting sqref="G17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20.71"/>
    <col customWidth="1" min="3" max="3" width="12.71"/>
    <col customWidth="1" min="4" max="5" width="9.14"/>
    <col customWidth="1" min="6" max="6" width="20.71"/>
    <col customWidth="1" min="7" max="7" width="12.71"/>
    <col customWidth="1" min="8" max="8" width="10.71"/>
    <col customWidth="1" min="9" max="18" width="9.14"/>
    <col customWidth="1" min="19" max="26" width="17.29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2.75" customHeight="1">
      <c r="A2" s="1"/>
      <c r="B2" s="1" t="s">
        <v>0</v>
      </c>
      <c r="C2" s="1">
        <f>'Unos vrednosti'!G11+'Unos vrednosti'!C10</f>
        <v>1134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ht="12.75" customHeight="1">
      <c r="A3" s="1"/>
      <c r="B3" s="1" t="s">
        <v>5</v>
      </c>
      <c r="C3" s="1">
        <f>'Unos vrednosti'!$G$20</f>
        <v>1134</v>
      </c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ht="12.75" customHeight="1">
      <c r="A6" s="1"/>
      <c r="B6" s="18" t="s">
        <v>12</v>
      </c>
      <c r="C6" s="18"/>
      <c r="D6" s="18"/>
      <c r="E6" s="1"/>
      <c r="F6" s="18" t="s">
        <v>13</v>
      </c>
      <c r="G6" s="18"/>
      <c r="H6" s="18"/>
      <c r="I6" s="1"/>
      <c r="J6" s="1"/>
      <c r="K6" s="1"/>
      <c r="L6" s="1"/>
      <c r="M6" s="1"/>
      <c r="N6" s="1"/>
      <c r="O6" s="1"/>
      <c r="P6" s="1"/>
      <c r="Q6" s="1"/>
      <c r="R6" s="1"/>
    </row>
    <row r="7" ht="12.75" customHeight="1">
      <c r="A7" s="1"/>
      <c r="B7" s="21" t="s">
        <v>14</v>
      </c>
      <c r="C7" s="25">
        <f>ROUNDUP(C3*C38,0)</f>
        <v>74833</v>
      </c>
      <c r="D7" s="27">
        <v>1.0</v>
      </c>
      <c r="E7" s="1"/>
      <c r="F7" s="1" t="s">
        <v>20</v>
      </c>
      <c r="G7" s="1">
        <f>'Unos vrednosti'!$G$11</f>
        <v>1134</v>
      </c>
      <c r="H7" s="35" t="s">
        <v>24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ht="13.5" customHeight="1">
      <c r="A8" s="1"/>
      <c r="B8" s="35" t="s">
        <v>26</v>
      </c>
      <c r="C8" s="39">
        <f>ROUNDUP((C39*G10+C24)/(C39+G11)*G17,0)</f>
        <v>9742</v>
      </c>
      <c r="D8" s="42">
        <f t="shared" ref="D8:D19" si="1">ABS(C8/C$7)</f>
        <v>0.1301832079</v>
      </c>
      <c r="E8" s="1"/>
      <c r="F8" s="1" t="s">
        <v>28</v>
      </c>
      <c r="G8" s="1">
        <f>'Unos vrednosti'!$C$16</f>
        <v>1409</v>
      </c>
      <c r="H8" s="35" t="s">
        <v>24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ht="12.75" customHeight="1">
      <c r="A9" s="1"/>
      <c r="B9" s="1" t="s">
        <v>29</v>
      </c>
      <c r="C9" s="43">
        <f>C7-C8</f>
        <v>65091</v>
      </c>
      <c r="D9" s="42">
        <f t="shared" si="1"/>
        <v>0.8698167921</v>
      </c>
      <c r="E9" s="1"/>
      <c r="F9" s="1" t="s">
        <v>32</v>
      </c>
      <c r="G9" s="44">
        <f>G7/G8</f>
        <v>0.8048261178</v>
      </c>
      <c r="H9" s="35"/>
      <c r="I9" s="1"/>
      <c r="J9" s="1"/>
      <c r="K9" s="1"/>
      <c r="L9" s="1"/>
      <c r="M9" s="1"/>
      <c r="N9" s="1"/>
      <c r="O9" s="1"/>
      <c r="P9" s="1"/>
      <c r="Q9" s="1"/>
      <c r="R9" s="1"/>
    </row>
    <row r="10" ht="12.75" customHeight="1">
      <c r="A10" s="1"/>
      <c r="B10" s="35" t="s">
        <v>35</v>
      </c>
      <c r="C10" s="43">
        <f>-C40</f>
        <v>-10000</v>
      </c>
      <c r="D10" s="42">
        <f t="shared" si="1"/>
        <v>0.1336308848</v>
      </c>
      <c r="E10" s="1"/>
      <c r="F10" s="1" t="s">
        <v>39</v>
      </c>
      <c r="G10" s="49">
        <f>'Unos vrednosti'!$C$17</f>
        <v>8.59</v>
      </c>
      <c r="H10" s="35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ht="12.75" customHeight="1">
      <c r="A11" s="1"/>
      <c r="B11" s="35" t="s">
        <v>40</v>
      </c>
      <c r="C11" s="43">
        <f>-G26</f>
        <v>-1400</v>
      </c>
      <c r="D11" s="42">
        <f t="shared" si="1"/>
        <v>0.01870832387</v>
      </c>
      <c r="E11" s="1"/>
      <c r="F11" s="1" t="s">
        <v>41</v>
      </c>
      <c r="G11" s="1">
        <f>C2-C3</f>
        <v>0</v>
      </c>
      <c r="H11" s="35" t="s">
        <v>24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ht="12.75" customHeight="1">
      <c r="A12" s="1"/>
      <c r="B12" s="35" t="s">
        <v>18</v>
      </c>
      <c r="C12" s="43">
        <f t="shared" ref="C12:C13" si="2">-C42</f>
        <v>-12000</v>
      </c>
      <c r="D12" s="42">
        <f t="shared" si="1"/>
        <v>0.1603570617</v>
      </c>
      <c r="E12" s="1"/>
      <c r="F12" s="1" t="s">
        <v>33</v>
      </c>
      <c r="G12" s="1">
        <f>'Unos vrednosti'!$C$14</f>
        <v>105</v>
      </c>
      <c r="H12" s="35" t="s">
        <v>44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ht="12.75" customHeight="1">
      <c r="A13" s="1"/>
      <c r="B13" s="35" t="s">
        <v>45</v>
      </c>
      <c r="C13" s="43">
        <f t="shared" si="2"/>
        <v>-12000</v>
      </c>
      <c r="D13" s="42">
        <f t="shared" si="1"/>
        <v>0.1603570617</v>
      </c>
      <c r="E13" s="1"/>
      <c r="F13" s="1"/>
      <c r="G13" s="1"/>
      <c r="H13" s="35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ht="12.75" customHeight="1">
      <c r="A14" s="1"/>
      <c r="B14" s="35" t="s">
        <v>46</v>
      </c>
      <c r="C14" s="43">
        <f>IF(G7=0,G12*1.05*'Unos vrednosti'!C7,0)</f>
        <v>0</v>
      </c>
      <c r="D14" s="42">
        <f t="shared" si="1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ht="12.75" customHeight="1">
      <c r="A15" s="1"/>
      <c r="B15" s="35" t="s">
        <v>47</v>
      </c>
      <c r="C15" s="43">
        <f>-'Unos vrednosti'!C10*'Unos vrednosti'!C6</f>
        <v>0</v>
      </c>
      <c r="D15" s="42">
        <f t="shared" si="1"/>
        <v>0</v>
      </c>
      <c r="E15" s="1"/>
      <c r="F15" s="18" t="s">
        <v>48</v>
      </c>
      <c r="G15" s="18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ht="13.5" customHeight="1">
      <c r="A16" s="1"/>
      <c r="B16" s="35" t="s">
        <v>49</v>
      </c>
      <c r="C16" s="39">
        <f>-ROUNDUP(('Unos vrednosti'!C4+0.01)*'Izvestaj za novi period'!C27/4,0)</f>
        <v>-1046</v>
      </c>
      <c r="D16" s="42">
        <f t="shared" si="1"/>
        <v>0.01397779055</v>
      </c>
      <c r="E16" s="1"/>
      <c r="F16" s="1" t="s">
        <v>50</v>
      </c>
      <c r="G16" s="53" t="s">
        <v>51</v>
      </c>
      <c r="H16" s="35" t="s">
        <v>24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ht="12.75" customHeight="1">
      <c r="A17" s="1"/>
      <c r="B17" s="1" t="s">
        <v>52</v>
      </c>
      <c r="C17" s="43">
        <f>SUM(C9:C12)+SUM(C14:C16)</f>
        <v>40645</v>
      </c>
      <c r="D17" s="42">
        <f t="shared" si="1"/>
        <v>0.5431427311</v>
      </c>
      <c r="E17" s="1"/>
      <c r="F17" s="1" t="s">
        <v>54</v>
      </c>
      <c r="G17" s="1">
        <f>$C$3</f>
        <v>1134</v>
      </c>
      <c r="H17" s="35" t="s">
        <v>24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ht="13.5" customHeight="1">
      <c r="A18" s="1"/>
      <c r="B18" s="35" t="s">
        <v>55</v>
      </c>
      <c r="C18" s="39">
        <f>IF(C17&gt;0,-ROUNDUP(C17*'Unos vrednosti'!C5,0),0)</f>
        <v>-10162</v>
      </c>
      <c r="D18" s="42">
        <f t="shared" si="1"/>
        <v>0.1357957051</v>
      </c>
      <c r="E18" s="1"/>
      <c r="F18" s="1" t="s">
        <v>57</v>
      </c>
      <c r="G18" s="53" t="s">
        <v>51</v>
      </c>
      <c r="H18" s="35" t="s">
        <v>24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ht="12.75" customHeight="1">
      <c r="A19" s="1"/>
      <c r="B19" s="21" t="s">
        <v>58</v>
      </c>
      <c r="C19" s="25">
        <f>C17+C18</f>
        <v>30483</v>
      </c>
      <c r="D19" s="42">
        <f t="shared" si="1"/>
        <v>0.407347026</v>
      </c>
      <c r="E19" s="1"/>
      <c r="F19" s="1" t="s">
        <v>59</v>
      </c>
      <c r="G19" s="49">
        <f>C38</f>
        <v>65.99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ht="12.75" customHeight="1">
      <c r="A20" s="1"/>
      <c r="B20" s="1"/>
      <c r="C20" s="1"/>
      <c r="D20" s="1"/>
      <c r="E20" s="1"/>
      <c r="F20" s="1" t="s">
        <v>60</v>
      </c>
      <c r="G20" s="49">
        <f>(C8-C10-C11-C12-C14-C15-C16)/C3</f>
        <v>30.14814815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ht="12.75" customHeight="1">
      <c r="A21" s="1"/>
      <c r="B21" s="18" t="s">
        <v>61</v>
      </c>
      <c r="C21" s="18"/>
      <c r="D21" s="18"/>
      <c r="E21" s="1"/>
      <c r="F21" s="1" t="s">
        <v>62</v>
      </c>
      <c r="G21" s="49">
        <f>G19-G20</f>
        <v>35.84185185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ht="12.75" customHeight="1">
      <c r="A22" s="1"/>
      <c r="B22" s="21" t="s">
        <v>63</v>
      </c>
      <c r="C22" s="25">
        <f>SUM(C23:C25)</f>
        <v>100825</v>
      </c>
      <c r="D22" s="27">
        <v>1.0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12.75" customHeight="1">
      <c r="A23" s="1"/>
      <c r="B23" s="35" t="s">
        <v>64</v>
      </c>
      <c r="C23" s="43">
        <f>G30</f>
        <v>62225</v>
      </c>
      <c r="D23" s="42">
        <f t="shared" ref="D23:D25" si="3">C23/C$22</f>
        <v>0.6171584428</v>
      </c>
      <c r="E23" s="1"/>
      <c r="F23" s="18" t="s">
        <v>65</v>
      </c>
      <c r="G23" s="18"/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ht="12.75" customHeight="1">
      <c r="A24" s="1"/>
      <c r="B24" s="35" t="s">
        <v>66</v>
      </c>
      <c r="C24" s="43">
        <f>ROUNDUP(IF(G11&gt;'Unos vrednosti'!C10,'Unos vrednosti'!C11+('Izvestaj za novi period'!G11-'Unos vrednosti'!C10)*'Unos vrednosti'!C17,IF('Unos vrednosti'!C10=0,0,'Izvestaj za novi period'!G11/'Unos vrednosti'!C10*'Unos vrednosti'!C11)),0)</f>
        <v>0</v>
      </c>
      <c r="D24" s="42">
        <f t="shared" si="3"/>
        <v>0</v>
      </c>
      <c r="E24" s="1"/>
      <c r="F24" s="1" t="s">
        <v>67</v>
      </c>
      <c r="G24" s="43">
        <f>'Unos vrednosti'!C13</f>
        <v>15878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ht="12.75" customHeight="1">
      <c r="A25" s="1"/>
      <c r="B25" s="35" t="s">
        <v>68</v>
      </c>
      <c r="C25" s="43">
        <f>C32</f>
        <v>38600</v>
      </c>
      <c r="D25" s="42">
        <f t="shared" si="3"/>
        <v>0.3828415572</v>
      </c>
      <c r="E25" s="1"/>
      <c r="F25" s="35" t="s">
        <v>58</v>
      </c>
      <c r="G25" s="43">
        <f>C19</f>
        <v>30483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12.75" customHeight="1">
      <c r="A26" s="1"/>
      <c r="B26" s="21" t="s">
        <v>69</v>
      </c>
      <c r="C26" s="25">
        <f>C22</f>
        <v>100825</v>
      </c>
      <c r="D26" s="27">
        <v>1.0</v>
      </c>
      <c r="E26" s="1"/>
      <c r="F26" s="35" t="s">
        <v>40</v>
      </c>
      <c r="G26" s="43">
        <f>ROUNDUP(0.05*'Unos vrednosti'!C15,0)</f>
        <v>1400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ht="12.75" customHeight="1">
      <c r="A27" s="1"/>
      <c r="B27" s="35" t="s">
        <v>30</v>
      </c>
      <c r="C27" s="43">
        <f>ROUNDUP('Unos vrednosti'!G11*'Unos vrednosti'!C17+'Unos vrednosti'!G12+'Unos vrednosti'!G13+'Unos vrednosti'!G14-'Unos vrednosti'!C13+'Unos vrednosti'!C12-G26,0)</f>
        <v>38033</v>
      </c>
      <c r="D27" s="42">
        <f t="shared" ref="D27:D29" si="4">C27/C$26</f>
        <v>0.3772179519</v>
      </c>
      <c r="E27" s="1"/>
      <c r="F27" s="35" t="s">
        <v>68</v>
      </c>
      <c r="G27" s="43">
        <f>-C41</f>
        <v>-12000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ht="12.75" customHeight="1">
      <c r="A28" s="1"/>
      <c r="B28" s="35" t="s">
        <v>70</v>
      </c>
      <c r="C28" s="43">
        <f>'Unos vrednosti'!C18+'Izvestaj za novi period'!C19</f>
        <v>32342</v>
      </c>
      <c r="D28" s="42">
        <f t="shared" si="4"/>
        <v>0.3207736177</v>
      </c>
      <c r="E28" s="1"/>
      <c r="F28" s="35" t="s">
        <v>71</v>
      </c>
      <c r="G28" s="43">
        <f>'Unos vrednosti'!C11-'Izvestaj za novi period'!C24</f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ht="13.5" customHeight="1">
      <c r="A29" s="1"/>
      <c r="B29" s="35" t="s">
        <v>72</v>
      </c>
      <c r="C29" s="43">
        <f>C26-C27-C28</f>
        <v>30450</v>
      </c>
      <c r="D29" s="42">
        <f t="shared" si="4"/>
        <v>0.3020084304</v>
      </c>
      <c r="E29" s="1"/>
      <c r="F29" s="35" t="s">
        <v>73</v>
      </c>
      <c r="G29" s="39">
        <f>ROUNDUP('Unos vrednosti'!G11*'Unos vrednosti'!C17+'Unos vrednosti'!G12+'Unos vrednosti'!G13+'Unos vrednosti'!G14-'Unos vrednosti'!C13-G26,0)</f>
        <v>26464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ht="12.75" customHeight="1">
      <c r="A30" s="1"/>
      <c r="B30" s="1"/>
      <c r="C30" s="1"/>
      <c r="D30" s="1"/>
      <c r="E30" s="1"/>
      <c r="F30" s="21" t="s">
        <v>31</v>
      </c>
      <c r="G30" s="25">
        <f>SUM(G24:G29)</f>
        <v>62225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12.75" customHeight="1">
      <c r="A31" s="1"/>
      <c r="B31" s="18" t="s">
        <v>74</v>
      </c>
      <c r="C31" s="56" t="s">
        <v>75</v>
      </c>
      <c r="D31" s="57" t="s">
        <v>24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12.75" customHeight="1">
      <c r="A32" s="1"/>
      <c r="B32" s="21" t="s">
        <v>76</v>
      </c>
      <c r="C32" s="25">
        <f>C33+C34</f>
        <v>38600</v>
      </c>
      <c r="D32" s="21">
        <f>ROUNDDOWN(C32/40+0.5,0)</f>
        <v>965</v>
      </c>
      <c r="E32" s="1"/>
      <c r="F32" s="53" t="s">
        <v>77</v>
      </c>
      <c r="G32" s="43">
        <f>G30</f>
        <v>62225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13.5" customHeight="1">
      <c r="A33" s="1"/>
      <c r="B33" s="35" t="s">
        <v>78</v>
      </c>
      <c r="C33" s="43">
        <f>'Unos vrednosti'!$C$15</f>
        <v>28000</v>
      </c>
      <c r="D33" s="1">
        <f>'Unos vrednosti'!$C$16</f>
        <v>1409</v>
      </c>
      <c r="E33" s="1"/>
      <c r="F33" s="58" t="s">
        <v>79</v>
      </c>
      <c r="G33" s="39">
        <f>'Unos vrednosti'!C3-'Izvestaj za novi period'!C27</f>
        <v>61967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12.75" customHeight="1">
      <c r="A34" s="1"/>
      <c r="B34" s="35" t="s">
        <v>80</v>
      </c>
      <c r="C34" s="43">
        <f>C41+C11</f>
        <v>10600</v>
      </c>
      <c r="D34" s="1">
        <f>ROUNDUP(D32-D33,0)</f>
        <v>-444</v>
      </c>
      <c r="E34" s="1"/>
      <c r="F34" s="53" t="s">
        <v>81</v>
      </c>
      <c r="G34" s="43">
        <f>G32+G33</f>
        <v>124192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12.75" customHeight="1">
      <c r="A37" s="1"/>
      <c r="B37" s="18" t="s">
        <v>82</v>
      </c>
      <c r="C37" s="1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12.75" customHeight="1">
      <c r="A38" s="1"/>
      <c r="B38" s="35" t="s">
        <v>83</v>
      </c>
      <c r="C38" s="49">
        <f>'Unos vrednosti'!$G$10</f>
        <v>65.99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12.75" customHeight="1">
      <c r="A39" s="1"/>
      <c r="B39" s="35" t="s">
        <v>20</v>
      </c>
      <c r="C39" s="1">
        <f>'Unos vrednosti'!$G$11</f>
        <v>1134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2.75" customHeight="1">
      <c r="A40" s="1"/>
      <c r="B40" s="35" t="s">
        <v>35</v>
      </c>
      <c r="C40" s="43">
        <f>'Unos vrednosti'!$G$12</f>
        <v>10000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12.75" customHeight="1">
      <c r="A41" s="1"/>
      <c r="B41" s="35" t="s">
        <v>68</v>
      </c>
      <c r="C41" s="43">
        <f>'Unos vrednosti'!$G$13</f>
        <v>12000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2.75" customHeight="1">
      <c r="A42" s="1"/>
      <c r="B42" s="35" t="s">
        <v>18</v>
      </c>
      <c r="C42" s="43">
        <f>'Unos vrednosti'!$G$14</f>
        <v>12000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12.75" customHeight="1">
      <c r="A43" s="1"/>
      <c r="B43" s="35" t="s">
        <v>45</v>
      </c>
      <c r="C43" s="43">
        <f>'Unos vrednosti'!$G$15</f>
        <v>12000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9.14"/>
    <col customWidth="1" min="3" max="3" width="10.71"/>
    <col customWidth="1" min="4" max="4" width="8.71"/>
    <col customWidth="1" min="5" max="5" width="6.71"/>
    <col customWidth="1" min="6" max="10" width="10.71"/>
    <col customWidth="1" min="11" max="20" width="9.14"/>
    <col customWidth="1" min="21" max="26" width="17.29"/>
  </cols>
  <sheetData>
    <row r="1" ht="13.5" customHeight="1">
      <c r="A1" s="3"/>
      <c r="B1" s="3"/>
      <c r="C1" s="3"/>
      <c r="D1" s="3"/>
      <c r="E1" s="1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49.5" customHeight="1">
      <c r="A2" s="3"/>
      <c r="B2" s="3"/>
      <c r="C2" s="3"/>
      <c r="D2" s="3"/>
      <c r="E2" s="1"/>
      <c r="F2" s="3"/>
      <c r="G2" s="3"/>
      <c r="H2" s="5" t="s">
        <v>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9.5" customHeight="1">
      <c r="A3" s="7"/>
      <c r="B3" s="7"/>
      <c r="C3" s="7"/>
      <c r="D3" s="7"/>
      <c r="E3" s="7"/>
      <c r="F3" s="7"/>
      <c r="G3" s="7"/>
      <c r="H3" s="9">
        <v>525.0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12.75" customHeight="1">
      <c r="A4" s="3"/>
      <c r="B4" s="3"/>
      <c r="C4" s="3"/>
      <c r="D4" s="3"/>
      <c r="E4" s="1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2.75" customHeight="1">
      <c r="A5" s="3"/>
      <c r="B5" s="3"/>
      <c r="C5" s="3" t="s">
        <v>7</v>
      </c>
      <c r="D5" s="3" t="s">
        <v>6</v>
      </c>
      <c r="E5" s="1"/>
      <c r="F5" s="3" t="s">
        <v>8</v>
      </c>
      <c r="G5" s="3"/>
      <c r="H5" s="3" t="s">
        <v>7</v>
      </c>
      <c r="I5" s="3" t="s">
        <v>6</v>
      </c>
      <c r="J5" s="3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ht="12.75" customHeight="1">
      <c r="A6" s="12">
        <v>1.0</v>
      </c>
      <c r="B6" s="12"/>
      <c r="C6" s="16">
        <f t="shared" ref="C6:C76" si="1">A6*H$3</f>
        <v>525</v>
      </c>
      <c r="D6" s="20">
        <v>18.0</v>
      </c>
      <c r="E6" s="1"/>
      <c r="F6" s="3">
        <f t="shared" ref="F6:F75" si="2">(D7-D6)/(C7-C6)</f>
        <v>-0.02818181818</v>
      </c>
      <c r="G6" s="3" t="str">
        <f t="shared" ref="G6:G75" si="3">IF(H6=0," ",IF(H6&lt;C6,"Greska!",IF(H6&gt;C7,"Greska!"," ")))</f>
        <v> </v>
      </c>
      <c r="H6" s="33"/>
      <c r="I6" s="20" t="str">
        <f t="shared" ref="I6:I75" si="4">IF(H6&gt;0,F6*(H6-C6)+D6," ")</f>
        <v> </v>
      </c>
      <c r="J6" s="21">
        <f t="shared" ref="J6:J75" si="5">ROUNDDOWN(H6*0.8049,0)</f>
        <v>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ht="12.75" customHeight="1">
      <c r="A7" s="12">
        <v>1.020952380952381</v>
      </c>
      <c r="B7" s="12"/>
      <c r="C7" s="16">
        <f t="shared" si="1"/>
        <v>536</v>
      </c>
      <c r="D7" s="20">
        <v>17.69</v>
      </c>
      <c r="E7" s="1"/>
      <c r="F7" s="3">
        <f t="shared" si="2"/>
        <v>-0.02538461538</v>
      </c>
      <c r="G7" s="3" t="str">
        <f t="shared" si="3"/>
        <v> </v>
      </c>
      <c r="H7" s="33"/>
      <c r="I7" s="20" t="str">
        <f t="shared" si="4"/>
        <v> </v>
      </c>
      <c r="J7" s="21">
        <f t="shared" si="5"/>
        <v>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ht="12.75" customHeight="1">
      <c r="A8" s="12">
        <v>1.0952380952380953</v>
      </c>
      <c r="B8" s="12"/>
      <c r="C8" s="16">
        <f t="shared" si="1"/>
        <v>575</v>
      </c>
      <c r="D8" s="20">
        <v>16.7</v>
      </c>
      <c r="E8" s="1"/>
      <c r="F8" s="3">
        <f t="shared" si="2"/>
        <v>-0.01967479675</v>
      </c>
      <c r="G8" s="3" t="str">
        <f t="shared" si="3"/>
        <v> </v>
      </c>
      <c r="H8" s="33"/>
      <c r="I8" s="20" t="str">
        <f t="shared" si="4"/>
        <v> </v>
      </c>
      <c r="J8" s="21">
        <f t="shared" si="5"/>
        <v>0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ht="12.75" customHeight="1">
      <c r="A9" s="12">
        <v>1.3295238095238096</v>
      </c>
      <c r="B9" s="12"/>
      <c r="C9" s="16">
        <f t="shared" si="1"/>
        <v>698</v>
      </c>
      <c r="D9" s="20">
        <v>14.28</v>
      </c>
      <c r="E9" s="1"/>
      <c r="F9" s="3">
        <f t="shared" si="2"/>
        <v>-0.015</v>
      </c>
      <c r="G9" s="3" t="str">
        <f t="shared" si="3"/>
        <v> </v>
      </c>
      <c r="H9" s="33"/>
      <c r="I9" s="20" t="str">
        <f t="shared" si="4"/>
        <v> </v>
      </c>
      <c r="J9" s="21">
        <f t="shared" si="5"/>
        <v>0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ht="12.75" customHeight="1">
      <c r="A10" s="12">
        <v>1.3333333333333333</v>
      </c>
      <c r="B10" s="12"/>
      <c r="C10" s="16">
        <f t="shared" si="1"/>
        <v>700</v>
      </c>
      <c r="D10" s="20">
        <v>14.25</v>
      </c>
      <c r="E10" s="1"/>
      <c r="F10" s="3">
        <f t="shared" si="2"/>
        <v>-0.01545454545</v>
      </c>
      <c r="G10" s="3" t="str">
        <f t="shared" si="3"/>
        <v> </v>
      </c>
      <c r="H10" s="33"/>
      <c r="I10" s="20" t="str">
        <f t="shared" si="4"/>
        <v> </v>
      </c>
      <c r="J10" s="21">
        <f t="shared" si="5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2.75" customHeight="1">
      <c r="A11" s="12">
        <v>1.3542857142857143</v>
      </c>
      <c r="B11" s="12"/>
      <c r="C11" s="16">
        <f t="shared" si="1"/>
        <v>711</v>
      </c>
      <c r="D11" s="20">
        <v>14.08</v>
      </c>
      <c r="E11" s="1"/>
      <c r="F11" s="3">
        <f t="shared" si="2"/>
        <v>-0.01513513514</v>
      </c>
      <c r="G11" s="3" t="str">
        <f t="shared" si="3"/>
        <v> </v>
      </c>
      <c r="H11" s="33"/>
      <c r="I11" s="20" t="str">
        <f t="shared" si="4"/>
        <v> </v>
      </c>
      <c r="J11" s="21">
        <f t="shared" si="5"/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2.75" customHeight="1">
      <c r="A12" s="12">
        <v>1.4247619047619047</v>
      </c>
      <c r="B12" s="12"/>
      <c r="C12" s="16">
        <f t="shared" si="1"/>
        <v>748</v>
      </c>
      <c r="D12" s="20">
        <v>13.52</v>
      </c>
      <c r="E12" s="1"/>
      <c r="F12" s="3">
        <f t="shared" si="2"/>
        <v>-0.01217391304</v>
      </c>
      <c r="G12" s="3" t="str">
        <f t="shared" si="3"/>
        <v> </v>
      </c>
      <c r="H12" s="33"/>
      <c r="I12" s="20" t="str">
        <f t="shared" si="4"/>
        <v> </v>
      </c>
      <c r="J12" s="21">
        <f t="shared" si="5"/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2.75" customHeight="1">
      <c r="A13" s="12">
        <v>1.6438095238095238</v>
      </c>
      <c r="B13" s="12"/>
      <c r="C13" s="16">
        <f t="shared" si="1"/>
        <v>863</v>
      </c>
      <c r="D13" s="20">
        <v>12.12</v>
      </c>
      <c r="E13" s="1"/>
      <c r="F13" s="3">
        <f t="shared" si="2"/>
        <v>-0.011</v>
      </c>
      <c r="G13" s="3" t="str">
        <f t="shared" si="3"/>
        <v> </v>
      </c>
      <c r="H13" s="33"/>
      <c r="I13" s="20" t="str">
        <f t="shared" si="4"/>
        <v> </v>
      </c>
      <c r="J13" s="21">
        <f t="shared" si="5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2.75" customHeight="1">
      <c r="A14" s="12">
        <v>1.6628571428571428</v>
      </c>
      <c r="B14" s="12"/>
      <c r="C14" s="16">
        <f t="shared" si="1"/>
        <v>873</v>
      </c>
      <c r="D14" s="20">
        <v>12.01</v>
      </c>
      <c r="E14" s="1"/>
      <c r="F14" s="3">
        <f t="shared" si="2"/>
        <v>-0.01</v>
      </c>
      <c r="G14" s="3" t="str">
        <f t="shared" si="3"/>
        <v> </v>
      </c>
      <c r="H14" s="33"/>
      <c r="I14" s="20" t="str">
        <f t="shared" si="4"/>
        <v> </v>
      </c>
      <c r="J14" s="21">
        <f t="shared" si="5"/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2.75" customHeight="1">
      <c r="A15" s="12">
        <v>1.6857142857142857</v>
      </c>
      <c r="B15" s="12"/>
      <c r="C15" s="16">
        <f t="shared" si="1"/>
        <v>885</v>
      </c>
      <c r="D15" s="20">
        <v>11.89</v>
      </c>
      <c r="E15" s="1"/>
      <c r="F15" s="3">
        <f t="shared" si="2"/>
        <v>-0.0095</v>
      </c>
      <c r="G15" s="3" t="str">
        <f t="shared" si="3"/>
        <v> </v>
      </c>
      <c r="H15" s="33"/>
      <c r="I15" s="20" t="str">
        <f t="shared" si="4"/>
        <v> </v>
      </c>
      <c r="J15" s="21">
        <f t="shared" si="5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2.75" customHeight="1">
      <c r="A16" s="12">
        <v>1.723809523809524</v>
      </c>
      <c r="B16" s="12"/>
      <c r="C16" s="16">
        <f t="shared" si="1"/>
        <v>905</v>
      </c>
      <c r="D16" s="20">
        <v>11.7</v>
      </c>
      <c r="E16" s="1"/>
      <c r="F16" s="3">
        <f t="shared" si="2"/>
        <v>-0.01</v>
      </c>
      <c r="G16" s="3" t="str">
        <f t="shared" si="3"/>
        <v> </v>
      </c>
      <c r="H16" s="33"/>
      <c r="I16" s="20" t="str">
        <f t="shared" si="4"/>
        <v> </v>
      </c>
      <c r="J16" s="21">
        <f t="shared" si="5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2.75" customHeight="1">
      <c r="A17" s="12">
        <v>1.737142857142857</v>
      </c>
      <c r="B17" s="12"/>
      <c r="C17" s="16">
        <f t="shared" si="1"/>
        <v>912</v>
      </c>
      <c r="D17" s="20">
        <v>11.63</v>
      </c>
      <c r="E17" s="1"/>
      <c r="F17" s="3">
        <f t="shared" si="2"/>
        <v>-0.009230769231</v>
      </c>
      <c r="G17" s="3" t="str">
        <f t="shared" si="3"/>
        <v> </v>
      </c>
      <c r="H17" s="33"/>
      <c r="I17" s="20" t="str">
        <f t="shared" si="4"/>
        <v> </v>
      </c>
      <c r="J17" s="21">
        <f t="shared" si="5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2.75" customHeight="1">
      <c r="A18" s="12">
        <v>1.7619047619047619</v>
      </c>
      <c r="B18" s="12"/>
      <c r="C18" s="16">
        <f t="shared" si="1"/>
        <v>925</v>
      </c>
      <c r="D18" s="20">
        <v>11.51</v>
      </c>
      <c r="E18" s="1"/>
      <c r="F18" s="3">
        <f t="shared" si="2"/>
        <v>-0.01</v>
      </c>
      <c r="G18" s="3" t="str">
        <f t="shared" si="3"/>
        <v> </v>
      </c>
      <c r="H18" s="33"/>
      <c r="I18" s="20" t="str">
        <f t="shared" si="4"/>
        <v> </v>
      </c>
      <c r="J18" s="21">
        <f t="shared" si="5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2.75" customHeight="1">
      <c r="A19" s="12">
        <v>1.7695238095238095</v>
      </c>
      <c r="B19" s="12"/>
      <c r="C19" s="16">
        <f t="shared" si="1"/>
        <v>929</v>
      </c>
      <c r="D19" s="20">
        <v>11.47</v>
      </c>
      <c r="E19" s="1"/>
      <c r="F19" s="3">
        <f t="shared" si="2"/>
        <v>-0.009</v>
      </c>
      <c r="G19" s="3" t="str">
        <f t="shared" si="3"/>
        <v> </v>
      </c>
      <c r="H19" s="33"/>
      <c r="I19" s="20" t="str">
        <f t="shared" si="4"/>
        <v> </v>
      </c>
      <c r="J19" s="21">
        <f t="shared" si="5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2.75" customHeight="1">
      <c r="A20" s="12">
        <v>1.7885714285714285</v>
      </c>
      <c r="B20" s="12"/>
      <c r="C20" s="16">
        <f t="shared" si="1"/>
        <v>939</v>
      </c>
      <c r="D20" s="20">
        <v>11.38</v>
      </c>
      <c r="E20" s="1"/>
      <c r="F20" s="3">
        <f t="shared" si="2"/>
        <v>-0.008636363636</v>
      </c>
      <c r="G20" s="3" t="str">
        <f t="shared" si="3"/>
        <v> </v>
      </c>
      <c r="H20" s="33"/>
      <c r="I20" s="20" t="str">
        <f t="shared" si="4"/>
        <v> </v>
      </c>
      <c r="J20" s="21">
        <f t="shared" si="5"/>
        <v>0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2.75" customHeight="1">
      <c r="A21" s="12">
        <v>1.8304761904761904</v>
      </c>
      <c r="B21" s="12"/>
      <c r="C21" s="16">
        <f t="shared" si="1"/>
        <v>961</v>
      </c>
      <c r="D21" s="20">
        <v>11.19</v>
      </c>
      <c r="E21" s="1"/>
      <c r="F21" s="3">
        <f t="shared" si="2"/>
        <v>-0.008571428571</v>
      </c>
      <c r="G21" s="3" t="str">
        <f t="shared" si="3"/>
        <v> </v>
      </c>
      <c r="H21" s="33"/>
      <c r="I21" s="20" t="str">
        <f t="shared" si="4"/>
        <v> </v>
      </c>
      <c r="J21" s="21">
        <f t="shared" si="5"/>
        <v>0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2.75" customHeight="1">
      <c r="A22" s="12">
        <v>1.8571428571428572</v>
      </c>
      <c r="B22" s="12"/>
      <c r="C22" s="16">
        <f t="shared" si="1"/>
        <v>975</v>
      </c>
      <c r="D22" s="20">
        <v>11.07</v>
      </c>
      <c r="E22" s="1"/>
      <c r="F22" s="3">
        <f t="shared" si="2"/>
        <v>-0.007692307692</v>
      </c>
      <c r="G22" s="3" t="str">
        <f t="shared" si="3"/>
        <v> </v>
      </c>
      <c r="H22" s="33"/>
      <c r="I22" s="20" t="str">
        <f t="shared" si="4"/>
        <v> </v>
      </c>
      <c r="J22" s="21">
        <f t="shared" si="5"/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2.75" customHeight="1">
      <c r="A23" s="12">
        <v>1.881904761904762</v>
      </c>
      <c r="B23" s="12"/>
      <c r="C23" s="16">
        <f t="shared" si="1"/>
        <v>988</v>
      </c>
      <c r="D23" s="20">
        <v>10.97</v>
      </c>
      <c r="E23" s="1"/>
      <c r="F23" s="3">
        <f t="shared" si="2"/>
        <v>-0.009</v>
      </c>
      <c r="G23" s="3" t="str">
        <f t="shared" si="3"/>
        <v> </v>
      </c>
      <c r="H23" s="33"/>
      <c r="I23" s="20" t="str">
        <f t="shared" si="4"/>
        <v> </v>
      </c>
      <c r="J23" s="21">
        <f t="shared" si="5"/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2.75" customHeight="1">
      <c r="A24" s="12">
        <v>1.900952380952381</v>
      </c>
      <c r="B24" s="12"/>
      <c r="C24" s="16">
        <f t="shared" si="1"/>
        <v>998</v>
      </c>
      <c r="D24" s="20">
        <v>10.88</v>
      </c>
      <c r="E24" s="1"/>
      <c r="F24" s="3">
        <f t="shared" si="2"/>
        <v>0</v>
      </c>
      <c r="G24" s="3" t="str">
        <f t="shared" si="3"/>
        <v> </v>
      </c>
      <c r="H24" s="33"/>
      <c r="I24" s="20" t="str">
        <f t="shared" si="4"/>
        <v> </v>
      </c>
      <c r="J24" s="21">
        <f t="shared" si="5"/>
        <v>0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2.75" customHeight="1">
      <c r="A25" s="12">
        <v>1.9028571428571428</v>
      </c>
      <c r="B25" s="12"/>
      <c r="C25" s="16">
        <f t="shared" si="1"/>
        <v>999</v>
      </c>
      <c r="D25" s="20">
        <v>10.88</v>
      </c>
      <c r="E25" s="1"/>
      <c r="F25" s="3">
        <f t="shared" si="2"/>
        <v>-0.01</v>
      </c>
      <c r="G25" s="3" t="str">
        <f t="shared" si="3"/>
        <v> </v>
      </c>
      <c r="H25" s="33"/>
      <c r="I25" s="20" t="str">
        <f t="shared" si="4"/>
        <v> </v>
      </c>
      <c r="J25" s="21">
        <f t="shared" si="5"/>
        <v>0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2.75" customHeight="1">
      <c r="A26" s="12">
        <v>1.9047619047619047</v>
      </c>
      <c r="B26" s="12"/>
      <c r="C26" s="16">
        <f t="shared" si="1"/>
        <v>1000</v>
      </c>
      <c r="D26" s="20">
        <v>10.87</v>
      </c>
      <c r="E26" s="1"/>
      <c r="F26" s="3">
        <f t="shared" si="2"/>
        <v>-0.007826086957</v>
      </c>
      <c r="G26" s="3" t="str">
        <f t="shared" si="3"/>
        <v> </v>
      </c>
      <c r="H26" s="33"/>
      <c r="I26" s="20" t="str">
        <f t="shared" si="4"/>
        <v> </v>
      </c>
      <c r="J26" s="21">
        <f t="shared" si="5"/>
        <v>0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2.75" customHeight="1">
      <c r="A27" s="12">
        <v>1.9485714285714286</v>
      </c>
      <c r="B27" s="12"/>
      <c r="C27" s="16">
        <f t="shared" si="1"/>
        <v>1023</v>
      </c>
      <c r="D27" s="20">
        <v>10.69</v>
      </c>
      <c r="E27" s="1"/>
      <c r="F27" s="3">
        <f t="shared" si="2"/>
        <v>-0.006875</v>
      </c>
      <c r="G27" s="3" t="str">
        <f t="shared" si="3"/>
        <v> </v>
      </c>
      <c r="H27" s="33"/>
      <c r="I27" s="20" t="str">
        <f t="shared" si="4"/>
        <v> </v>
      </c>
      <c r="J27" s="21">
        <f t="shared" si="5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2.75" customHeight="1">
      <c r="A28" s="12">
        <v>1.979047619047619</v>
      </c>
      <c r="B28" s="12"/>
      <c r="C28" s="16">
        <f t="shared" si="1"/>
        <v>1039</v>
      </c>
      <c r="D28" s="20">
        <v>10.58</v>
      </c>
      <c r="E28" s="1"/>
      <c r="F28" s="3">
        <f t="shared" si="2"/>
        <v>-0.00724137931</v>
      </c>
      <c r="G28" s="3" t="str">
        <f t="shared" si="3"/>
        <v> </v>
      </c>
      <c r="H28" s="33"/>
      <c r="I28" s="20" t="str">
        <f t="shared" si="4"/>
        <v> </v>
      </c>
      <c r="J28" s="21">
        <f t="shared" si="5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2.75" customHeight="1">
      <c r="A29" s="12">
        <v>2.0342857142857143</v>
      </c>
      <c r="B29" s="12"/>
      <c r="C29" s="16">
        <f t="shared" si="1"/>
        <v>1068</v>
      </c>
      <c r="D29" s="20">
        <v>10.37</v>
      </c>
      <c r="E29" s="1"/>
      <c r="F29" s="3">
        <f t="shared" si="2"/>
        <v>-0.0075</v>
      </c>
      <c r="G29" s="3" t="str">
        <f t="shared" si="3"/>
        <v> </v>
      </c>
      <c r="H29" s="33"/>
      <c r="I29" s="20" t="str">
        <f t="shared" si="4"/>
        <v> </v>
      </c>
      <c r="J29" s="21">
        <f t="shared" si="5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2.75" customHeight="1">
      <c r="A30" s="12">
        <v>2.0495238095238095</v>
      </c>
      <c r="B30" s="12"/>
      <c r="C30" s="16">
        <f t="shared" si="1"/>
        <v>1076</v>
      </c>
      <c r="D30" s="20">
        <v>10.31</v>
      </c>
      <c r="E30" s="1"/>
      <c r="F30" s="3">
        <f t="shared" si="2"/>
        <v>-0.006363636364</v>
      </c>
      <c r="G30" s="3" t="str">
        <f t="shared" si="3"/>
        <v> </v>
      </c>
      <c r="H30" s="33"/>
      <c r="I30" s="20" t="str">
        <f t="shared" si="4"/>
        <v> </v>
      </c>
      <c r="J30" s="21">
        <f t="shared" si="5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2.75" customHeight="1">
      <c r="A31" s="12">
        <v>2.0704761904761906</v>
      </c>
      <c r="B31" s="12"/>
      <c r="C31" s="16">
        <f t="shared" si="1"/>
        <v>1087</v>
      </c>
      <c r="D31" s="20">
        <v>10.24</v>
      </c>
      <c r="E31" s="1"/>
      <c r="F31" s="3">
        <f t="shared" si="2"/>
        <v>-0.0075</v>
      </c>
      <c r="G31" s="3" t="str">
        <f t="shared" si="3"/>
        <v> </v>
      </c>
      <c r="H31" s="33"/>
      <c r="I31" s="20" t="str">
        <f t="shared" si="4"/>
        <v> </v>
      </c>
      <c r="J31" s="21">
        <f t="shared" si="5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2.75" customHeight="1">
      <c r="A32" s="12">
        <v>2.078095238095238</v>
      </c>
      <c r="B32" s="12"/>
      <c r="C32" s="16">
        <f t="shared" si="1"/>
        <v>1091</v>
      </c>
      <c r="D32" s="20">
        <v>10.21</v>
      </c>
      <c r="E32" s="1"/>
      <c r="F32" s="3">
        <f t="shared" si="2"/>
        <v>-0.00625</v>
      </c>
      <c r="G32" s="3" t="str">
        <f t="shared" si="3"/>
        <v> </v>
      </c>
      <c r="H32" s="33"/>
      <c r="I32" s="20" t="str">
        <f t="shared" si="4"/>
        <v> </v>
      </c>
      <c r="J32" s="21">
        <f t="shared" si="5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2.75" customHeight="1">
      <c r="A33" s="12">
        <v>2.0933333333333333</v>
      </c>
      <c r="B33" s="12"/>
      <c r="C33" s="16">
        <f t="shared" si="1"/>
        <v>1099</v>
      </c>
      <c r="D33" s="20">
        <v>10.16</v>
      </c>
      <c r="E33" s="1"/>
      <c r="F33" s="3">
        <f t="shared" si="2"/>
        <v>0</v>
      </c>
      <c r="G33" s="3" t="str">
        <f t="shared" si="3"/>
        <v> </v>
      </c>
      <c r="H33" s="33"/>
      <c r="I33" s="20" t="str">
        <f t="shared" si="4"/>
        <v> </v>
      </c>
      <c r="J33" s="21">
        <f t="shared" si="5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2.75" customHeight="1">
      <c r="A34" s="12">
        <v>2.0952380952380953</v>
      </c>
      <c r="B34" s="12"/>
      <c r="C34" s="16">
        <f t="shared" si="1"/>
        <v>1100</v>
      </c>
      <c r="D34" s="20">
        <v>10.16</v>
      </c>
      <c r="E34" s="1"/>
      <c r="F34" s="3">
        <f t="shared" si="2"/>
        <v>-0.006666666667</v>
      </c>
      <c r="G34" s="3" t="str">
        <f t="shared" si="3"/>
        <v> </v>
      </c>
      <c r="H34" s="33"/>
      <c r="I34" s="20" t="str">
        <f t="shared" si="4"/>
        <v> </v>
      </c>
      <c r="J34" s="21">
        <f t="shared" si="5"/>
        <v>0</v>
      </c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2.75" customHeight="1">
      <c r="A35" s="12">
        <v>2.1123809523809522</v>
      </c>
      <c r="B35" s="12"/>
      <c r="C35" s="16">
        <f t="shared" si="1"/>
        <v>1109</v>
      </c>
      <c r="D35" s="20">
        <v>10.1</v>
      </c>
      <c r="E35" s="1"/>
      <c r="F35" s="3">
        <f t="shared" si="2"/>
        <v>-0.01</v>
      </c>
      <c r="G35" s="3" t="str">
        <f t="shared" si="3"/>
        <v> </v>
      </c>
      <c r="H35" s="33"/>
      <c r="I35" s="20" t="str">
        <f t="shared" si="4"/>
        <v> </v>
      </c>
      <c r="J35" s="21">
        <f t="shared" si="5"/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2.75" customHeight="1">
      <c r="A36" s="12">
        <v>2.1142857142857143</v>
      </c>
      <c r="B36" s="12"/>
      <c r="C36" s="16">
        <f t="shared" si="1"/>
        <v>1110</v>
      </c>
      <c r="D36" s="20">
        <v>10.09</v>
      </c>
      <c r="E36" s="1"/>
      <c r="F36" s="3">
        <f t="shared" si="2"/>
        <v>-0.006363636364</v>
      </c>
      <c r="G36" s="3" t="str">
        <f t="shared" si="3"/>
        <v> </v>
      </c>
      <c r="H36" s="33"/>
      <c r="I36" s="20" t="str">
        <f t="shared" si="4"/>
        <v> </v>
      </c>
      <c r="J36" s="21">
        <f t="shared" si="5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2.75" customHeight="1">
      <c r="A37" s="12">
        <v>2.1352380952380954</v>
      </c>
      <c r="B37" s="12"/>
      <c r="C37" s="16">
        <f t="shared" si="1"/>
        <v>1121</v>
      </c>
      <c r="D37" s="20">
        <v>10.02</v>
      </c>
      <c r="E37" s="1"/>
      <c r="F37" s="3">
        <f t="shared" si="2"/>
        <v>-0.006153846154</v>
      </c>
      <c r="G37" s="3" t="str">
        <f t="shared" si="3"/>
        <v> </v>
      </c>
      <c r="H37" s="33"/>
      <c r="I37" s="20" t="str">
        <f t="shared" si="4"/>
        <v> </v>
      </c>
      <c r="J37" s="21">
        <f t="shared" si="5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2.75" customHeight="1">
      <c r="A38" s="12">
        <v>2.16</v>
      </c>
      <c r="B38" s="12"/>
      <c r="C38" s="16">
        <f t="shared" si="1"/>
        <v>1134</v>
      </c>
      <c r="D38" s="20">
        <v>9.94</v>
      </c>
      <c r="E38" s="1"/>
      <c r="F38" s="3">
        <f t="shared" si="2"/>
        <v>0</v>
      </c>
      <c r="G38" s="3" t="str">
        <f t="shared" si="3"/>
        <v> </v>
      </c>
      <c r="H38" s="33"/>
      <c r="I38" s="20" t="str">
        <f t="shared" si="4"/>
        <v> </v>
      </c>
      <c r="J38" s="21">
        <f t="shared" si="5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2.75" customHeight="1">
      <c r="A39" s="12">
        <v>2.1619047619047618</v>
      </c>
      <c r="B39" s="12"/>
      <c r="C39" s="16">
        <f t="shared" si="1"/>
        <v>1135</v>
      </c>
      <c r="D39" s="20">
        <v>9.94</v>
      </c>
      <c r="E39" s="1"/>
      <c r="F39" s="3">
        <f t="shared" si="2"/>
        <v>-0.006</v>
      </c>
      <c r="G39" s="3" t="str">
        <f t="shared" si="3"/>
        <v> </v>
      </c>
      <c r="H39" s="33"/>
      <c r="I39" s="20" t="str">
        <f t="shared" si="4"/>
        <v> </v>
      </c>
      <c r="J39" s="21">
        <f t="shared" si="5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2.75" customHeight="1">
      <c r="A40" s="12">
        <v>2.2095238095238097</v>
      </c>
      <c r="B40" s="12"/>
      <c r="C40" s="16">
        <f t="shared" si="1"/>
        <v>1160</v>
      </c>
      <c r="D40" s="20">
        <v>9.79</v>
      </c>
      <c r="E40" s="1"/>
      <c r="F40" s="3">
        <f t="shared" si="2"/>
        <v>-0.006071428571</v>
      </c>
      <c r="G40" s="3" t="str">
        <f t="shared" si="3"/>
        <v> </v>
      </c>
      <c r="H40" s="33"/>
      <c r="I40" s="20" t="str">
        <f t="shared" si="4"/>
        <v> </v>
      </c>
      <c r="J40" s="21">
        <f t="shared" si="5"/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2.75" customHeight="1">
      <c r="A41" s="12">
        <v>2.262857142857143</v>
      </c>
      <c r="B41" s="12"/>
      <c r="C41" s="16">
        <f t="shared" si="1"/>
        <v>1188</v>
      </c>
      <c r="D41" s="20">
        <v>9.62</v>
      </c>
      <c r="E41" s="1"/>
      <c r="F41" s="3">
        <f t="shared" si="2"/>
        <v>-0.004</v>
      </c>
      <c r="G41" s="3" t="str">
        <f t="shared" si="3"/>
        <v> </v>
      </c>
      <c r="H41" s="33"/>
      <c r="I41" s="20" t="str">
        <f t="shared" si="4"/>
        <v> </v>
      </c>
      <c r="J41" s="21">
        <f t="shared" si="5"/>
        <v>0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2.75" customHeight="1">
      <c r="A42" s="12">
        <v>2.2723809523809524</v>
      </c>
      <c r="B42" s="12"/>
      <c r="C42" s="16">
        <f t="shared" si="1"/>
        <v>1193</v>
      </c>
      <c r="D42" s="20">
        <v>9.6</v>
      </c>
      <c r="E42" s="1"/>
      <c r="F42" s="3">
        <f t="shared" si="2"/>
        <v>-0.005714285714</v>
      </c>
      <c r="G42" s="3" t="str">
        <f t="shared" si="3"/>
        <v> </v>
      </c>
      <c r="H42" s="33"/>
      <c r="I42" s="20" t="str">
        <f t="shared" si="4"/>
        <v> </v>
      </c>
      <c r="J42" s="21">
        <f t="shared" si="5"/>
        <v>0</v>
      </c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2.75" customHeight="1">
      <c r="A43" s="12">
        <v>2.2857142857142856</v>
      </c>
      <c r="B43" s="12"/>
      <c r="C43" s="16">
        <f t="shared" si="1"/>
        <v>1200</v>
      </c>
      <c r="D43" s="20">
        <v>9.56</v>
      </c>
      <c r="E43" s="1"/>
      <c r="F43" s="3">
        <f t="shared" si="2"/>
        <v>-0.005</v>
      </c>
      <c r="G43" s="3" t="str">
        <f t="shared" si="3"/>
        <v> </v>
      </c>
      <c r="H43" s="33"/>
      <c r="I43" s="20" t="str">
        <f t="shared" si="4"/>
        <v> </v>
      </c>
      <c r="J43" s="21">
        <f t="shared" si="5"/>
        <v>0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2.75" customHeight="1">
      <c r="A44" s="12">
        <v>2.2933333333333334</v>
      </c>
      <c r="B44" s="12"/>
      <c r="C44" s="16">
        <f t="shared" si="1"/>
        <v>1204</v>
      </c>
      <c r="D44" s="20">
        <v>9.54</v>
      </c>
      <c r="E44" s="1"/>
      <c r="F44" s="3">
        <f t="shared" si="2"/>
        <v>-0.005263157895</v>
      </c>
      <c r="G44" s="3" t="str">
        <f t="shared" si="3"/>
        <v> </v>
      </c>
      <c r="H44" s="33"/>
      <c r="I44" s="20" t="str">
        <f t="shared" si="4"/>
        <v> </v>
      </c>
      <c r="J44" s="21">
        <f t="shared" si="5"/>
        <v>0</v>
      </c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2.75" customHeight="1">
      <c r="A45" s="12">
        <v>2.3295238095238093</v>
      </c>
      <c r="B45" s="12"/>
      <c r="C45" s="16">
        <f t="shared" si="1"/>
        <v>1223</v>
      </c>
      <c r="D45" s="20">
        <v>9.44</v>
      </c>
      <c r="E45" s="1"/>
      <c r="F45" s="3">
        <f t="shared" si="2"/>
        <v>-0.005294117647</v>
      </c>
      <c r="G45" s="3" t="str">
        <f t="shared" si="3"/>
        <v> </v>
      </c>
      <c r="H45" s="33"/>
      <c r="I45" s="20" t="str">
        <f t="shared" si="4"/>
        <v> </v>
      </c>
      <c r="J45" s="21">
        <f t="shared" si="5"/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2.75" customHeight="1">
      <c r="A46" s="12">
        <v>2.394285714285714</v>
      </c>
      <c r="B46" s="12"/>
      <c r="C46" s="16">
        <f t="shared" si="1"/>
        <v>1257</v>
      </c>
      <c r="D46" s="20">
        <v>9.26</v>
      </c>
      <c r="E46" s="1"/>
      <c r="F46" s="3">
        <f t="shared" si="2"/>
        <v>-0.004651162791</v>
      </c>
      <c r="G46" s="3" t="str">
        <f t="shared" si="3"/>
        <v> </v>
      </c>
      <c r="H46" s="33"/>
      <c r="I46" s="20" t="str">
        <f t="shared" si="4"/>
        <v> </v>
      </c>
      <c r="J46" s="21">
        <f t="shared" si="5"/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2.75" customHeight="1">
      <c r="A47" s="12">
        <v>2.4761904761904763</v>
      </c>
      <c r="B47" s="12"/>
      <c r="C47" s="16">
        <f t="shared" si="1"/>
        <v>1300</v>
      </c>
      <c r="D47" s="20">
        <v>9.06</v>
      </c>
      <c r="E47" s="1"/>
      <c r="F47" s="3">
        <f t="shared" si="2"/>
        <v>-0.004761904762</v>
      </c>
      <c r="G47" s="3" t="str">
        <f t="shared" si="3"/>
        <v> </v>
      </c>
      <c r="H47" s="33"/>
      <c r="I47" s="20" t="str">
        <f t="shared" si="4"/>
        <v> </v>
      </c>
      <c r="J47" s="21">
        <f t="shared" si="5"/>
        <v>0</v>
      </c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2.75" customHeight="1">
      <c r="A48" s="12">
        <v>2.5161904761904763</v>
      </c>
      <c r="B48" s="12"/>
      <c r="C48" s="16">
        <f t="shared" si="1"/>
        <v>1321</v>
      </c>
      <c r="D48" s="20">
        <v>8.96</v>
      </c>
      <c r="E48" s="1"/>
      <c r="F48" s="3">
        <f t="shared" si="2"/>
        <v>-0.005</v>
      </c>
      <c r="G48" s="3" t="str">
        <f t="shared" si="3"/>
        <v> </v>
      </c>
      <c r="H48" s="33"/>
      <c r="I48" s="20" t="str">
        <f t="shared" si="4"/>
        <v> </v>
      </c>
      <c r="J48" s="21">
        <f t="shared" si="5"/>
        <v>0</v>
      </c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2.75" customHeight="1">
      <c r="A49" s="12">
        <v>2.5276190476190474</v>
      </c>
      <c r="B49" s="12"/>
      <c r="C49" s="16">
        <f t="shared" si="1"/>
        <v>1327</v>
      </c>
      <c r="D49" s="20">
        <v>8.93</v>
      </c>
      <c r="E49" s="1"/>
      <c r="F49" s="3">
        <f t="shared" si="2"/>
        <v>-0.004444444444</v>
      </c>
      <c r="G49" s="3" t="str">
        <f t="shared" si="3"/>
        <v> </v>
      </c>
      <c r="H49" s="33"/>
      <c r="I49" s="20" t="str">
        <f t="shared" si="4"/>
        <v> </v>
      </c>
      <c r="J49" s="21">
        <f t="shared" si="5"/>
        <v>0</v>
      </c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2.75" customHeight="1">
      <c r="A50" s="12">
        <v>2.544761904761905</v>
      </c>
      <c r="B50" s="12"/>
      <c r="C50" s="16">
        <f t="shared" si="1"/>
        <v>1336</v>
      </c>
      <c r="D50" s="20">
        <v>8.89</v>
      </c>
      <c r="E50" s="1"/>
      <c r="F50" s="3">
        <f t="shared" si="2"/>
        <v>-0.004285714286</v>
      </c>
      <c r="G50" s="3" t="str">
        <f t="shared" si="3"/>
        <v> </v>
      </c>
      <c r="H50" s="33"/>
      <c r="I50" s="20" t="str">
        <f t="shared" si="4"/>
        <v> </v>
      </c>
      <c r="J50" s="21">
        <f t="shared" si="5"/>
        <v>0</v>
      </c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2.75" customHeight="1">
      <c r="A51" s="12">
        <v>2.5714285714285716</v>
      </c>
      <c r="B51" s="12"/>
      <c r="C51" s="16">
        <f t="shared" si="1"/>
        <v>1350</v>
      </c>
      <c r="D51" s="20">
        <v>8.83</v>
      </c>
      <c r="E51" s="1"/>
      <c r="F51" s="3">
        <f t="shared" si="2"/>
        <v>-0.004024390244</v>
      </c>
      <c r="G51" s="3" t="str">
        <f t="shared" si="3"/>
        <v> </v>
      </c>
      <c r="H51" s="33"/>
      <c r="I51" s="20" t="str">
        <f t="shared" si="4"/>
        <v> </v>
      </c>
      <c r="J51" s="21">
        <f t="shared" si="5"/>
        <v>0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2.75" customHeight="1">
      <c r="A52" s="12">
        <v>2.7276190476190476</v>
      </c>
      <c r="B52" s="12"/>
      <c r="C52" s="16">
        <f t="shared" si="1"/>
        <v>1432</v>
      </c>
      <c r="D52" s="20">
        <v>8.5</v>
      </c>
      <c r="E52" s="1"/>
      <c r="F52" s="3">
        <f t="shared" si="2"/>
        <v>-0.003636363636</v>
      </c>
      <c r="G52" s="3" t="str">
        <f t="shared" si="3"/>
        <v> </v>
      </c>
      <c r="H52" s="33"/>
      <c r="I52" s="20" t="str">
        <f t="shared" si="4"/>
        <v> </v>
      </c>
      <c r="J52" s="21">
        <f t="shared" si="5"/>
        <v>0</v>
      </c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2.75" customHeight="1">
      <c r="A53" s="12">
        <v>2.7485714285714287</v>
      </c>
      <c r="B53" s="12"/>
      <c r="C53" s="16">
        <f t="shared" si="1"/>
        <v>1443</v>
      </c>
      <c r="D53" s="20">
        <v>8.46</v>
      </c>
      <c r="E53" s="1"/>
      <c r="F53" s="3">
        <f t="shared" si="2"/>
        <v>-0.003846153846</v>
      </c>
      <c r="G53" s="3" t="str">
        <f t="shared" si="3"/>
        <v> </v>
      </c>
      <c r="H53" s="33"/>
      <c r="I53" s="20" t="str">
        <f t="shared" si="4"/>
        <v> </v>
      </c>
      <c r="J53" s="21">
        <f t="shared" si="5"/>
        <v>0</v>
      </c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2.75" customHeight="1">
      <c r="A54" s="12">
        <v>2.798095238095238</v>
      </c>
      <c r="B54" s="12"/>
      <c r="C54" s="16">
        <f t="shared" si="1"/>
        <v>1469</v>
      </c>
      <c r="D54" s="20">
        <v>8.36</v>
      </c>
      <c r="E54" s="1"/>
      <c r="F54" s="3">
        <f t="shared" si="2"/>
        <v>-0.004</v>
      </c>
      <c r="G54" s="3" t="str">
        <f t="shared" si="3"/>
        <v> </v>
      </c>
      <c r="H54" s="33"/>
      <c r="I54" s="20" t="str">
        <f t="shared" si="4"/>
        <v> </v>
      </c>
      <c r="J54" s="21">
        <f t="shared" si="5"/>
        <v>0</v>
      </c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2.75" customHeight="1">
      <c r="A55" s="12">
        <v>2.8076190476190477</v>
      </c>
      <c r="B55" s="12"/>
      <c r="C55" s="16">
        <f t="shared" si="1"/>
        <v>1474</v>
      </c>
      <c r="D55" s="20">
        <v>8.34</v>
      </c>
      <c r="E55" s="1"/>
      <c r="F55" s="3">
        <f t="shared" si="2"/>
        <v>-0.003461538462</v>
      </c>
      <c r="G55" s="3" t="str">
        <f t="shared" si="3"/>
        <v> </v>
      </c>
      <c r="H55" s="33"/>
      <c r="I55" s="20" t="str">
        <f t="shared" si="4"/>
        <v> </v>
      </c>
      <c r="J55" s="21">
        <f t="shared" si="5"/>
        <v>0</v>
      </c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2.75" customHeight="1">
      <c r="A56" s="12">
        <v>2.857142857142857</v>
      </c>
      <c r="B56" s="12"/>
      <c r="C56" s="16">
        <f t="shared" si="1"/>
        <v>1500</v>
      </c>
      <c r="D56" s="20">
        <v>8.25</v>
      </c>
      <c r="E56" s="1"/>
      <c r="F56" s="3">
        <f t="shared" si="2"/>
        <v>-0.00380952381</v>
      </c>
      <c r="G56" s="3" t="str">
        <f t="shared" si="3"/>
        <v> </v>
      </c>
      <c r="H56" s="33"/>
      <c r="I56" s="20" t="str">
        <f t="shared" si="4"/>
        <v> </v>
      </c>
      <c r="J56" s="21">
        <f t="shared" si="5"/>
        <v>0</v>
      </c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2.75" customHeight="1">
      <c r="A57" s="12">
        <v>2.8971428571428572</v>
      </c>
      <c r="B57" s="12"/>
      <c r="C57" s="16">
        <f t="shared" si="1"/>
        <v>1521</v>
      </c>
      <c r="D57" s="20">
        <v>8.17</v>
      </c>
      <c r="E57" s="1"/>
      <c r="F57" s="3">
        <f t="shared" si="2"/>
        <v>-0.003076923077</v>
      </c>
      <c r="G57" s="3" t="str">
        <f t="shared" si="3"/>
        <v> </v>
      </c>
      <c r="H57" s="33"/>
      <c r="I57" s="20" t="str">
        <f t="shared" si="4"/>
        <v> </v>
      </c>
      <c r="J57" s="21">
        <f t="shared" si="5"/>
        <v>0</v>
      </c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2.75" customHeight="1">
      <c r="A58" s="12">
        <v>2.9961904761904763</v>
      </c>
      <c r="B58" s="12"/>
      <c r="C58" s="16">
        <f t="shared" si="1"/>
        <v>1573</v>
      </c>
      <c r="D58" s="20">
        <v>8.01</v>
      </c>
      <c r="E58" s="1"/>
      <c r="F58" s="3">
        <f t="shared" si="2"/>
        <v>-0.0035</v>
      </c>
      <c r="G58" s="3" t="str">
        <f t="shared" si="3"/>
        <v> </v>
      </c>
      <c r="H58" s="33"/>
      <c r="I58" s="20" t="str">
        <f t="shared" si="4"/>
        <v> </v>
      </c>
      <c r="J58" s="21">
        <f t="shared" si="5"/>
        <v>0</v>
      </c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2.75" customHeight="1">
      <c r="A59" s="12">
        <v>3.0342857142857143</v>
      </c>
      <c r="B59" s="12"/>
      <c r="C59" s="16">
        <f t="shared" si="1"/>
        <v>1593</v>
      </c>
      <c r="D59" s="20">
        <v>7.94</v>
      </c>
      <c r="E59" s="1"/>
      <c r="F59" s="3">
        <f t="shared" si="2"/>
        <v>-0.002857142857</v>
      </c>
      <c r="G59" s="3" t="str">
        <f t="shared" si="3"/>
        <v> </v>
      </c>
      <c r="H59" s="33"/>
      <c r="I59" s="20" t="str">
        <f t="shared" si="4"/>
        <v> </v>
      </c>
      <c r="J59" s="21">
        <f t="shared" si="5"/>
        <v>0</v>
      </c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2.75" customHeight="1">
      <c r="A60" s="12">
        <v>3.060952380952381</v>
      </c>
      <c r="B60" s="12"/>
      <c r="C60" s="16">
        <f t="shared" si="1"/>
        <v>1607</v>
      </c>
      <c r="D60" s="20">
        <v>7.9</v>
      </c>
      <c r="E60" s="1"/>
      <c r="F60" s="3">
        <f t="shared" si="2"/>
        <v>-0.00303030303</v>
      </c>
      <c r="G60" s="3" t="str">
        <f t="shared" si="3"/>
        <v> </v>
      </c>
      <c r="H60" s="33"/>
      <c r="I60" s="20" t="str">
        <f t="shared" si="4"/>
        <v> </v>
      </c>
      <c r="J60" s="21">
        <f t="shared" si="5"/>
        <v>0</v>
      </c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2.75" customHeight="1">
      <c r="A61" s="12">
        <v>3.123809523809524</v>
      </c>
      <c r="B61" s="12"/>
      <c r="C61" s="16">
        <f t="shared" si="1"/>
        <v>1640</v>
      </c>
      <c r="D61" s="20">
        <v>7.8</v>
      </c>
      <c r="E61" s="1"/>
      <c r="F61" s="3">
        <f t="shared" si="2"/>
        <v>-0.0025</v>
      </c>
      <c r="G61" s="3" t="str">
        <f t="shared" si="3"/>
        <v> </v>
      </c>
      <c r="H61" s="33"/>
      <c r="I61" s="20" t="str">
        <f t="shared" si="4"/>
        <v> </v>
      </c>
      <c r="J61" s="21">
        <f t="shared" si="5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2.75" customHeight="1">
      <c r="A62" s="12">
        <v>3.1314285714285712</v>
      </c>
      <c r="B62" s="12"/>
      <c r="C62" s="16">
        <f t="shared" si="1"/>
        <v>1644</v>
      </c>
      <c r="D62" s="20">
        <v>7.79</v>
      </c>
      <c r="E62" s="1"/>
      <c r="F62" s="3">
        <f t="shared" si="2"/>
        <v>-0.005</v>
      </c>
      <c r="G62" s="3" t="str">
        <f t="shared" si="3"/>
        <v> </v>
      </c>
      <c r="H62" s="33"/>
      <c r="I62" s="20" t="str">
        <f t="shared" si="4"/>
        <v> </v>
      </c>
      <c r="J62" s="21">
        <f t="shared" si="5"/>
        <v>0</v>
      </c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2.75" customHeight="1">
      <c r="A63" s="12">
        <v>3.1352380952380954</v>
      </c>
      <c r="B63" s="12"/>
      <c r="C63" s="16">
        <f t="shared" si="1"/>
        <v>1646</v>
      </c>
      <c r="D63" s="20">
        <v>7.78</v>
      </c>
      <c r="E63" s="1"/>
      <c r="F63" s="3">
        <f t="shared" si="2"/>
        <v>-0.0025</v>
      </c>
      <c r="G63" s="3" t="str">
        <f t="shared" si="3"/>
        <v> </v>
      </c>
      <c r="H63" s="33"/>
      <c r="I63" s="20" t="str">
        <f t="shared" si="4"/>
        <v> </v>
      </c>
      <c r="J63" s="21">
        <f t="shared" si="5"/>
        <v>0</v>
      </c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2.75" customHeight="1">
      <c r="A64" s="12">
        <v>3.142857142857143</v>
      </c>
      <c r="B64" s="12"/>
      <c r="C64" s="16">
        <f t="shared" si="1"/>
        <v>1650</v>
      </c>
      <c r="D64" s="20">
        <v>7.77</v>
      </c>
      <c r="E64" s="1"/>
      <c r="F64" s="3">
        <f t="shared" si="2"/>
        <v>-0.002727272727</v>
      </c>
      <c r="G64" s="3" t="str">
        <f t="shared" si="3"/>
        <v> </v>
      </c>
      <c r="H64" s="33"/>
      <c r="I64" s="20" t="str">
        <f t="shared" si="4"/>
        <v> </v>
      </c>
      <c r="J64" s="21">
        <f t="shared" si="5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2.75" customHeight="1">
      <c r="A65" s="12">
        <v>3.163809523809524</v>
      </c>
      <c r="B65" s="12"/>
      <c r="C65" s="16">
        <f t="shared" si="1"/>
        <v>1661</v>
      </c>
      <c r="D65" s="20">
        <v>7.74</v>
      </c>
      <c r="E65" s="1"/>
      <c r="F65" s="3">
        <f t="shared" si="2"/>
        <v>-0.003076923077</v>
      </c>
      <c r="G65" s="3" t="str">
        <f t="shared" si="3"/>
        <v> </v>
      </c>
      <c r="H65" s="33"/>
      <c r="I65" s="20" t="str">
        <f t="shared" si="4"/>
        <v> </v>
      </c>
      <c r="J65" s="21">
        <f t="shared" si="5"/>
        <v>0</v>
      </c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2.75" customHeight="1">
      <c r="A66" s="12">
        <v>3.1885714285714286</v>
      </c>
      <c r="B66" s="12"/>
      <c r="C66" s="16">
        <f t="shared" si="1"/>
        <v>1674</v>
      </c>
      <c r="D66" s="20">
        <v>7.7</v>
      </c>
      <c r="E66" s="1"/>
      <c r="F66" s="3">
        <f t="shared" si="2"/>
        <v>-0.001666666667</v>
      </c>
      <c r="G66" s="3" t="str">
        <f t="shared" si="3"/>
        <v> </v>
      </c>
      <c r="H66" s="33"/>
      <c r="I66" s="20" t="str">
        <f t="shared" si="4"/>
        <v> </v>
      </c>
      <c r="J66" s="21">
        <f t="shared" si="5"/>
        <v>0</v>
      </c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2.75" customHeight="1">
      <c r="A67" s="12">
        <v>3.2</v>
      </c>
      <c r="B67" s="12"/>
      <c r="C67" s="16">
        <f t="shared" si="1"/>
        <v>1680</v>
      </c>
      <c r="D67" s="20">
        <v>7.69</v>
      </c>
      <c r="E67" s="1"/>
      <c r="F67" s="3">
        <f t="shared" si="2"/>
        <v>-0.005</v>
      </c>
      <c r="G67" s="3" t="str">
        <f t="shared" si="3"/>
        <v> </v>
      </c>
      <c r="H67" s="33"/>
      <c r="I67" s="20" t="str">
        <f t="shared" si="4"/>
        <v> </v>
      </c>
      <c r="J67" s="21">
        <f t="shared" si="5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2.75" customHeight="1">
      <c r="A68" s="12">
        <v>3.2076190476190476</v>
      </c>
      <c r="B68" s="12"/>
      <c r="C68" s="16">
        <f t="shared" si="1"/>
        <v>1684</v>
      </c>
      <c r="D68" s="20">
        <v>7.67</v>
      </c>
      <c r="E68" s="1"/>
      <c r="F68" s="3">
        <f t="shared" si="2"/>
        <v>-0.002631578947</v>
      </c>
      <c r="G68" s="3" t="str">
        <f t="shared" si="3"/>
        <v> </v>
      </c>
      <c r="H68" s="33"/>
      <c r="I68" s="20" t="str">
        <f t="shared" si="4"/>
        <v> </v>
      </c>
      <c r="J68" s="21">
        <f t="shared" si="5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2.75" customHeight="1">
      <c r="A69" s="12">
        <v>3.243809523809524</v>
      </c>
      <c r="B69" s="12"/>
      <c r="C69" s="16">
        <f t="shared" si="1"/>
        <v>1703</v>
      </c>
      <c r="D69" s="20">
        <v>7.62</v>
      </c>
      <c r="E69" s="1"/>
      <c r="F69" s="3">
        <f t="shared" si="2"/>
        <v>0</v>
      </c>
      <c r="G69" s="3" t="str">
        <f t="shared" si="3"/>
        <v> </v>
      </c>
      <c r="H69" s="33"/>
      <c r="I69" s="20" t="str">
        <f t="shared" si="4"/>
        <v> </v>
      </c>
      <c r="J69" s="21">
        <f t="shared" si="5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2.75" customHeight="1">
      <c r="A70" s="12">
        <v>3.2457142857142856</v>
      </c>
      <c r="B70" s="12"/>
      <c r="C70" s="16">
        <f t="shared" si="1"/>
        <v>1704</v>
      </c>
      <c r="D70" s="20">
        <v>7.62</v>
      </c>
      <c r="E70" s="1"/>
      <c r="F70" s="3">
        <f t="shared" si="2"/>
        <v>-0.002666666667</v>
      </c>
      <c r="G70" s="3" t="str">
        <f t="shared" si="3"/>
        <v> </v>
      </c>
      <c r="H70" s="33"/>
      <c r="I70" s="20" t="str">
        <f t="shared" si="4"/>
        <v> </v>
      </c>
      <c r="J70" s="21">
        <f t="shared" si="5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2.75" customHeight="1">
      <c r="A71" s="12">
        <v>3.2742857142857145</v>
      </c>
      <c r="B71" s="12"/>
      <c r="C71" s="16">
        <f t="shared" si="1"/>
        <v>1719</v>
      </c>
      <c r="D71" s="20">
        <v>7.58</v>
      </c>
      <c r="E71" s="1"/>
      <c r="F71" s="3">
        <f t="shared" si="2"/>
        <v>-0.0025</v>
      </c>
      <c r="G71" s="3" t="str">
        <f t="shared" si="3"/>
        <v> </v>
      </c>
      <c r="H71" s="33"/>
      <c r="I71" s="20" t="str">
        <f t="shared" si="4"/>
        <v> </v>
      </c>
      <c r="J71" s="21">
        <f t="shared" si="5"/>
        <v>0</v>
      </c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2.75" customHeight="1">
      <c r="A72" s="12">
        <v>3.441904761904762</v>
      </c>
      <c r="B72" s="12"/>
      <c r="C72" s="16">
        <f t="shared" si="1"/>
        <v>1807</v>
      </c>
      <c r="D72" s="20">
        <v>7.36</v>
      </c>
      <c r="E72" s="1"/>
      <c r="F72" s="3">
        <f t="shared" si="2"/>
        <v>-0.002272727273</v>
      </c>
      <c r="G72" s="3" t="str">
        <f t="shared" si="3"/>
        <v> </v>
      </c>
      <c r="H72" s="33"/>
      <c r="I72" s="20" t="str">
        <f t="shared" si="4"/>
        <v> </v>
      </c>
      <c r="J72" s="21">
        <f t="shared" si="5"/>
        <v>0</v>
      </c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2.75" customHeight="1">
      <c r="A73" s="12">
        <v>3.6933333333333334</v>
      </c>
      <c r="B73" s="12"/>
      <c r="C73" s="16">
        <f t="shared" si="1"/>
        <v>1939</v>
      </c>
      <c r="D73" s="20">
        <v>7.06</v>
      </c>
      <c r="E73" s="1"/>
      <c r="F73" s="3">
        <f t="shared" si="2"/>
        <v>-0.001967213115</v>
      </c>
      <c r="G73" s="3" t="str">
        <f t="shared" si="3"/>
        <v> </v>
      </c>
      <c r="H73" s="33"/>
      <c r="I73" s="20" t="str">
        <f t="shared" si="4"/>
        <v> </v>
      </c>
      <c r="J73" s="21">
        <f t="shared" si="5"/>
        <v>0</v>
      </c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2.75" customHeight="1">
      <c r="A74" s="12">
        <v>3.8095238095238093</v>
      </c>
      <c r="B74" s="12"/>
      <c r="C74" s="16">
        <f t="shared" si="1"/>
        <v>2000</v>
      </c>
      <c r="D74" s="20">
        <v>6.94</v>
      </c>
      <c r="E74" s="1"/>
      <c r="F74" s="3">
        <f t="shared" si="2"/>
        <v>-0.002</v>
      </c>
      <c r="G74" s="3" t="str">
        <f t="shared" si="3"/>
        <v> </v>
      </c>
      <c r="H74" s="33"/>
      <c r="I74" s="20" t="str">
        <f t="shared" si="4"/>
        <v> </v>
      </c>
      <c r="J74" s="21">
        <f t="shared" si="5"/>
        <v>0</v>
      </c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2.75" customHeight="1">
      <c r="A75" s="12">
        <v>3.8476190476190477</v>
      </c>
      <c r="B75" s="12"/>
      <c r="C75" s="16">
        <f t="shared" si="1"/>
        <v>2020</v>
      </c>
      <c r="D75" s="20">
        <v>6.9</v>
      </c>
      <c r="E75" s="1"/>
      <c r="F75" s="3">
        <f t="shared" si="2"/>
        <v>-0.001842105263</v>
      </c>
      <c r="G75" s="3" t="str">
        <f t="shared" si="3"/>
        <v> </v>
      </c>
      <c r="H75" s="33"/>
      <c r="I75" s="20" t="str">
        <f t="shared" si="4"/>
        <v> </v>
      </c>
      <c r="J75" s="21">
        <f t="shared" si="5"/>
        <v>0</v>
      </c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2.75" customHeight="1">
      <c r="A76" s="12">
        <v>3.92</v>
      </c>
      <c r="B76" s="12"/>
      <c r="C76" s="16">
        <f t="shared" si="1"/>
        <v>2058</v>
      </c>
      <c r="D76" s="20">
        <v>6.83</v>
      </c>
      <c r="E76" s="1"/>
      <c r="F76" s="3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2.75" customHeight="1">
      <c r="A77" s="3"/>
      <c r="B77" s="3"/>
      <c r="C77" s="3"/>
      <c r="D77" s="3"/>
      <c r="E77" s="1"/>
      <c r="F77" s="3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</sheetData>
  <conditionalFormatting sqref="J6:J75">
    <cfRule type="cellIs" dxfId="1" priority="1" operator="equal">
      <formula>0</formula>
    </cfRule>
  </conditionalFormatting>
  <drawing r:id="rId1"/>
</worksheet>
</file>