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eder" sheetId="1" r:id="rId1"/>
  </sheets>
  <definedNames>
    <definedName name="arrow_part_data" localSheetId="0">'Feeder'!$H$5:$L$43</definedName>
    <definedName name="BoardQty" localSheetId="0">'Feeder'!$G$1</definedName>
    <definedName name="digikey_part_data" localSheetId="0">'Feeder'!$M$5:$Q$43</definedName>
    <definedName name="farnell_part_data" localSheetId="0">'Feeder'!$R$5:$V$43</definedName>
    <definedName name="global_part_data" localSheetId="0">'Feeder'!$A$5:$G$43</definedName>
    <definedName name="lcsc_part_data" localSheetId="0">'Feeder'!$W$5:$AA$43</definedName>
    <definedName name="mouser_part_data" localSheetId="0">'Feeder'!$AB$5:$AF$43</definedName>
    <definedName name="newark_part_data" localSheetId="0">'Feeder'!$AG$5:$AK$43</definedName>
    <definedName name="PURCHASE_DESCRIPTION" localSheetId="0">'Feeder'!$G$46</definedName>
    <definedName name="rs_part_data" localSheetId="0">'Feeder'!$AL$5:$AP$43</definedName>
    <definedName name="tme_part_data" localSheetId="0">'Feeder'!$AQ$5:$AU$43</definedName>
    <definedName name="TotalCost" localSheetId="0">'Feeder'!$G$3</definedName>
    <definedName name="USD_GBP" localSheetId="0">'Feeder'!$C$46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L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Q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V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A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F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K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P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U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M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N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O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P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R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S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T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U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V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W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X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Y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Z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O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$0.76      $0.76
    10   $0.56      $5.59
    50   $0.45     $22.38
   100   $0.38     $38.36
   500   $0.30    $151.86</t>
        </r>
      </text>
    </comment>
    <comment ref="AD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$0.74      $0.74
    10   $0.44      $4.37
    50   $0.44     $21.85
   100   $0.37     $37.40
  1000   $0.29    $290.00
 10000   $0.29  $2,900.00</t>
        </r>
      </text>
    </comment>
    <comment ref="AG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$0.25      $0.25
  1000   $0.24    $240.00
  2000   $0.22    $444.00
  3000   $0.21    $621.00
  5000   $0.19    $965.00
 10000   $0.18  $1,850.00</t>
        </r>
      </text>
    </comment>
    <comment ref="AQ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S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500   £0.21    £103.00</t>
        </r>
      </text>
    </comment>
    <comment ref="O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200000   $0.01  $1,436.00</t>
        </r>
      </text>
    </comment>
    <comment ref="AD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$0.08      $0.80
    50   $0.08      $4.00
   100   $0.04      $4.30
  1000   $0.02     $24.00
 10000   $0.01    $110.00</t>
        </r>
      </text>
    </comment>
    <comment ref="J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$0.05      $0.47
    25   $0.05      $1.16</t>
        </r>
      </text>
    </comment>
    <comment ref="O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$0.43
    50   $0.02      $1.17
   100   $0.02      $1.91
   500   $0.01      $6.81
  1000   $0.01     $10.71
  4000   $0.01     $35.84
  8000   $0.01     $65.44</t>
        </r>
      </text>
    </comment>
    <comment ref="T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£0.04      £0.37
   100   £0.02      £1.70
   500   £0.01      £6.00
  1000   £0.01     £10.00
  4000   £0.01     £24.00</t>
        </r>
      </text>
    </comment>
    <comment ref="Y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$0.34
   500   $0.01      $2.70
  1500   $0.00      $6.60
  5000   $0.00     $18.50
 25000   $0.00     $87.50
 50000   $0.00    $170.00</t>
        </r>
      </text>
    </comment>
    <comment ref="AD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$0.02      $2.00
  1000   $0.01     $11.00
 10000   $0.01     $80.00</t>
        </r>
      </text>
    </comment>
    <comment ref="AI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25   $0.04      $1.07
    50   $0.02      $1.15
   100   $0.02      $1.90
   250   $0.02      $4.00
   500   $0.01      $6.50
  4000   $0.01     $36.00
  8000   $0.01     $64.00</t>
        </r>
      </text>
    </comment>
    <comment ref="AS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£0.02      £1.55
   300   £0.01      £3.12
  1000   £0.01      £6.29
  4000   £0.01     £20.84
 20000   £0.00     £99.60</t>
        </r>
      </text>
    </comment>
    <comment ref="J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$0.56      $0.56</t>
        </r>
      </text>
    </comment>
    <comment ref="O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$0.57      $0.57
    10   $0.41      $4.06
    50   $0.31     $15.34
   100   $0.27     $26.73
   500   $0.20     $99.00
  1000   $0.17    $168.30
  2000   $0.16    $316.80
  4000   $0.15    $594.00
 10000   $0.14  $1,386.00
 14000   $0.14  $1,905.82
 50000   $0.13  $6,435.00</t>
        </r>
      </text>
    </comment>
    <comment ref="R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£0.31      £1.55
    50   £0.20     £10.20
   100   £0.20     £20.40
   250   £0.19     £48.00
   500   £0.18     £90.00
  2000   £0.15    £296.00</t>
        </r>
      </text>
    </comment>
    <comment ref="AD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$0.58      $0.58
    10   $0.41      $4.07
    50   $0.41     $20.35
   100   $0.27     $26.80
  1000   $0.19    $189.00
 10000   $0.18  $1,800.00</t>
        </r>
      </text>
    </comment>
    <comment ref="AG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 5   $0.80      $3.99
    10   $0.56      $5.60
    25   $0.50     $12.40
    50   $0.43     $21.65
   100   $0.37     $36.90
  2000   $0.20    $396.00</t>
        </r>
      </text>
    </comment>
    <comment ref="AN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£0.39      £3.90
    50   £0.37     £18.35
   100   £0.34     £34.30
   250   £0.32     £80.00
   500   £0.29    £146.50
  2000   £0.21    £418.00
  4000   £0.20    £804.00
  6000   £0.19  £1,158.00</t>
        </r>
      </text>
    </comment>
    <comment ref="J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$0.27      $0.27
    10   $0.19      $1.88
    25   $0.18      $4.62
   100   $0.11     $10.63
   250   $0.11     $26.33
   500   $0.07     $37.15
  1000   $0.06     $64.90</t>
        </r>
      </text>
    </comment>
    <comment ref="O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$0.20      $1.98
    50   $0.13      $6.60
   100   $0.11     $11.22
   500   $0.08     $39.60
  1000   $0.07     $69.30
  2000   $0.07    $132.00
  4000   $0.06    $244.20</t>
        </r>
      </text>
    </comment>
    <comment ref="R1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1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2000   £0.06    £119.00
  4000   £0.06    £224.80</t>
        </r>
      </text>
    </comment>
    <comment ref="AD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$0.13      $1.32
    50   $0.13      $6.60
   100   $0.11     $11.30
  1000   $0.07     $70.00
 10000   $0.06    $610.00</t>
        </r>
      </text>
    </comment>
    <comment ref="AG1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2000   $0.07    $146.00
  4000   $0.07    $276.00</t>
        </r>
      </text>
    </comment>
    <comment ref="M1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3000   $0.04    $117.60</t>
        </r>
      </text>
    </comment>
    <comment ref="AD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10   $0.14      $1.39
    50   $0.14      $6.95
   100   $0.07      $7.00
  1000   $0.04     $42.00
 10000   $0.04    $410.00</t>
        </r>
      </text>
    </comment>
    <comment ref="M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500   $0.22    $109.25</t>
        </r>
      </text>
    </comment>
    <comment ref="AD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$0.61      $0.61
    10   $0.43      $4.29
    50   $0.43     $21.45
   100   $0.28     $28.30
  1000   $0.20    $203.00
 10000   $0.20  $2,030.00</t>
        </r>
      </text>
    </comment>
    <comment ref="AG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500   $0.19     $96.50
  1000   $0.18    $182.00
  2000   $0.18    $358.00
  3000   $0.18    $528.00
  5000   $0.17    $855.00</t>
        </r>
      </text>
    </comment>
    <comment ref="M1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4000   $0.15    $585.12</t>
        </r>
      </text>
    </comment>
    <comment ref="AD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$0.56      $0.56
    10   $0.30      $3.03
    50   $0.30     $15.15
   100   $0.26     $26.40
  1000   $0.20    $195.00
 10000   $0.20  $1,950.00</t>
        </r>
      </text>
    </comment>
    <comment ref="AG1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1500   $0.20    $292.50</t>
        </r>
      </text>
    </comment>
    <comment ref="J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$0.08      $0.08
    10   $0.04      $0.44
    25   $0.04      $1.10
   100   $0.02      $2.18
   250   $0.02      $5.42
   500   $0.02      $7.70
  1000   $0.01     $12.30
  3000   $0.01     $32.70
  6000   $0.01     $58.80
 15000   $0.01    $118.50</t>
        </r>
      </text>
    </comment>
    <comment ref="O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$0.52
    50   $0.03      $1.41
   100   $0.02      $2.30
   500   $0.02      $8.22
  1000   $0.01     $12.92
  4000   $0.01     $43.20
  8000   $0.01     $78.88</t>
        </r>
      </text>
    </comment>
    <comment ref="T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£0.04      £0.44
   100   £0.02      £2.00
   500   £0.01      £7.50
  1000   £0.01     £11.00
  4000   £0.01     £32.00</t>
        </r>
      </text>
    </comment>
    <comment ref="Y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$0.43
   500   $0.01      $3.50
  1500   $0.01      $8.70
  5000   $0.00     $24.00
 25000   $0.00    $115.00
 50000   $0.00    $230.00</t>
        </r>
      </text>
    </comment>
    <comment ref="AD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$0.29
    50   $0.03      $1.45
   100   $0.02      $2.30
  1000   $0.01     $13.00
 10000   $0.01     $90.00</t>
        </r>
      </text>
    </comment>
    <comment ref="AG1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  25   $0.05      $1.30
    50   $0.03      $1.40
   100   $0.02      $2.30
   250   $0.02      $5.00
   500   $0.02      $8.00
 40000   $0.01    $360.00</t>
        </r>
      </text>
    </comment>
    <comment ref="AN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£0.01     £44.00
 12000   £0.01    £120.00
 20000   £0.01    £180.00
 40000   £0.01    £360.00
100000   £0.01    £900.00</t>
        </r>
      </text>
    </comment>
    <comment ref="AS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£1.43
   300   £0.01      £2.91
  1000   £0.01      £6.34
  4000   £0.00     £19.32
 20000   £0.00     £92.60</t>
        </r>
      </text>
    </comment>
    <comment ref="O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$0.88      $0.88
    10   $0.65      $6.52
    50   $0.52     $26.07
   100   $0.45     $44.70
   500   $0.35    $176.92
  1000   $0.30    $297.97
  2000   $0.28    $558.70
  4000   $0.26  $1,042.88
 10000   $0.25  $2,514.10
 14000   $0.25  $3,467.66
 50000   $0.24 $11,872.00</t>
        </r>
      </text>
    </comment>
    <comment ref="AD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$0.84      $0.84
    10   $0.62      $6.22
    50   $0.62     $31.10
   100   $0.43     $42.60
  1000   $0.28    $284.00
 10000   $0.23  $2,350.00</t>
        </r>
      </text>
    </comment>
    <comment ref="AG1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2000   $0.22    $440.00
  4000   $0.22    $872.00
  8000   $0.22  $1,736.00
 12000   $0.21  $2,580.00</t>
        </r>
      </text>
    </comment>
    <comment ref="M1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18" authorId="0">
      <text>
        <r>
          <rPr>
            <sz val="8"/>
            <color indexed="81"/>
            <rFont val="Tahoma"/>
            <family val="2"/>
          </rPr>
          <t>Qty/Price Breaks (USD):
  Qty  -  Unit$  -  Ext$
================
100000   $0.01    $575.00</t>
        </r>
      </text>
    </comment>
    <comment ref="AD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$0.50
    50   $0.05      $2.50
   100   $0.02      $2.30
  1000   $0.01     $13.00
 10000   $0.01     $80.00</t>
        </r>
      </text>
    </comment>
    <comment ref="AS1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£0.04      £3.93
   300   £0.03      £7.68
  1000   £0.02     £16.55
  4000   £0.01     £44.64
 12000   £0.01    £118.68</t>
        </r>
      </text>
    </comment>
    <comment ref="M2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$0.43      $0.43
    10   $0.36      $3.65
   100   $0.27     $27.25
   500   $0.21    $107.04
  1000   $0.17    $165.42
  2000   $0.16    $321.30
  5000   $0.16    $803.25</t>
        </r>
      </text>
    </comment>
    <comment ref="R2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£0.25      £1.27
    25   £0.24      £6.10
   100   £0.12     £12.50
   150   £0.12     £18.75
   250   £0.12     £30.25
   500   £0.11     £53.00
  1000   £0.09     £91.00
  5000   £0.07    £365.00</t>
        </r>
      </text>
    </comment>
    <comment ref="AD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$0.38      $3.79
    50   $0.38     $18.95
   100   $0.28     $28.30
  1000   $0.17    $172.00
 10000   $0.14  $1,430.00</t>
        </r>
      </text>
    </comment>
    <comment ref="AI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$0.50      $0.50
    10   $0.41      $4.09
   100   $0.24     $23.90
   500   $0.22    $110.50
  5000   $0.19    $970.00
 15000   $0.19  $2,820.00
 40000   $0.17  $6,640.00
 75000   $0.16 $11,775.00</t>
        </r>
      </text>
    </comment>
    <comment ref="J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3000   $0.04    $106.20</t>
        </r>
      </text>
    </comment>
    <comment ref="O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$0.16      $0.16
    10   $0.14      $1.45
   100   $0.08      $7.88
   500   $0.05     $24.25
  1000   $0.03     $33.07
  3000   $0.03     $84.33
  6000   $0.03    $152.16
 15000   $0.02    $330.75
 30000   $0.02    $595.20
 75000   $0.02  $1,365.00</t>
        </r>
      </text>
    </comment>
    <comment ref="T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£0.19      £0.95
    10   £0.18      £1.76
   100   £0.09      £9.11
   500   £0.05     £26.35
  3000   £0.02     £66.00
  9000   £0.02    £194.40
 24000   £0.02    £506.40
 45000   £0.02    £931.50</t>
        </r>
      </text>
    </comment>
    <comment ref="Y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$0.21      $0.21
    10   $0.17      $1.73
    30   $0.15      $4.49
   100   $0.13     $13.00
   500   $0.13     $63.35
  1000   $0.12    $125.00</t>
        </r>
      </text>
    </comment>
    <comment ref="AD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$0.16      $0.16
    10   $0.15      $1.50
    50   $0.15      $7.50
   100   $0.08      $8.20
  1000   $0.04     $35.00
 10000   $0.03    $260.00</t>
        </r>
      </text>
    </comment>
    <comment ref="AI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$0.03      $0.03
    10   $0.12      $1.25
   100   $0.04      $4.40
   500   $0.03     $17.00
  3000   $0.03     $87.00
  9000   $0.03    $243.00
 24000   $0.02    $552.00
 45000   $0.02    $900.00</t>
        </r>
      </text>
    </comment>
    <comment ref="AL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N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200   £0.07     £13.20
   600   £0.06     £37.20
  1200   £0.03     £39.60
  2400   £0.03     £74.40
  3000   £0.02     £63.00
  4800   £0.03    £144.00</t>
        </r>
      </text>
    </comment>
    <comment ref="AQ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S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25   £0.03      £0.65
   100   £0.02      £1.66
   250   £0.01      £3.60
  1000   £0.01     £12.60
  3000   £0.01     £35.40</t>
        </r>
      </text>
    </comment>
    <comment ref="J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$0.13      $0.13
    10   $0.13      $1.29
    25   $0.07      $1.77
   100   $0.07      $7.03
   250   $0.07     $17.40
   500   $0.05     $24.45
  1000   $0.04     $38.30</t>
        </r>
      </text>
    </comment>
    <comment ref="O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$0.21      $0.21
    10   $0.17      $1.75
   100   $0.09      $9.30
   500   $0.06     $30.61
  1000   $0.04     $41.63
  3000   $0.04    $112.65
  6000   $0.03    $195.90
 15000   $0.03    $416.25
 30000   $0.03    $808.50</t>
        </r>
      </text>
    </comment>
    <comment ref="T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£0.26      £1.29
    10   £0.21      £2.13
   100   £0.11     £10.70
   500   £0.07     £33.10
  3000   £0.03     £82.50
  9000   £0.02    £217.80
 24000   £0.02    £554.40
 45000   £0.02    £891.00</t>
        </r>
      </text>
    </comment>
    <comment ref="Y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$0.06      $0.58
   100   $0.05      $4.82
   300   $0.04     $12.36
  1000   $0.04     $35.50
  5000   $0.03    $172.50
 10000   $0.03    $340.00</t>
        </r>
      </text>
    </comment>
    <comment ref="AD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$0.18      $1.82
    50   $0.18      $9.10
   100   $0.10      $9.70
  1000   $0.04     $44.00
 10000   $0.03    $280.00</t>
        </r>
      </text>
    </comment>
    <comment ref="AI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 5   $0.23      $1.15
    10   $0.20      $1.96
   100   $0.07      $7.00
   500   $0.06     $29.00
  3000   $0.04    $114.00
  9000   $0.03    $288.00
 24000   $0.03    $720.00
 45000   $0.03  $1,170.00</t>
        </r>
      </text>
    </comment>
    <comment ref="AL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N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£0.08      £7.80
  3000   £0.03     £78.00</t>
        </r>
      </text>
    </comment>
    <comment ref="AS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20   £0.03      £0.63
   100   £0.02      £1.85
   500   £0.02      £8.01
  3000   £0.01     £41.85
 12000   £0.01    £156.24</t>
        </r>
      </text>
    </comment>
    <comment ref="J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$0.13      $0.13
    10   $0.13      $1.29
    25   $0.07      $1.77
   100   $0.07      $7.03
   250   $0.07     $17.40
   500   $0.05     $24.45
  1000   $0.04     $38.30</t>
        </r>
      </text>
    </comment>
    <comment ref="O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$0.21      $0.21
    10   $0.17      $1.75
   100   $0.09      $9.30
   500   $0.06     $30.61
  1000   $0.04     $41.63
  3000   $0.04    $112.65
  6000   $0.03    $195.90
 15000   $0.03    $416.25
 30000   $0.03    $808.50</t>
        </r>
      </text>
    </comment>
    <comment ref="T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£0.26      £1.29
    10   £0.21      £2.13
   100   £0.11     £10.70
   500   £0.07     £33.10
  3000   £0.03     £82.50
  9000   £0.02    £217.80
 24000   £0.02    £554.40
 45000   £0.02    £891.00</t>
        </r>
      </text>
    </comment>
    <comment ref="Y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$0.06      $0.58
   100   $0.05      $4.82
   300   $0.04     $12.36
  1000   $0.04     $35.50
  5000   $0.03    $172.50
 10000   $0.03    $340.00</t>
        </r>
      </text>
    </comment>
    <comment ref="AD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$0.18      $1.82
    50   $0.18      $9.10
   100   $0.10      $9.70
  1000   $0.04     $44.00
 10000   $0.03    $280.00</t>
        </r>
      </text>
    </comment>
    <comment ref="AI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 5   $0.23      $1.15
    10   $0.20      $1.96
   100   $0.07      $7.00
   500   $0.06     $29.00
  3000   $0.04    $114.00
  9000   $0.03    $288.00
 24000   $0.03    $720.00
 45000   $0.03  $1,170.00</t>
        </r>
      </text>
    </comment>
    <comment ref="AL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N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£0.08      £7.80
  3000   £0.03     £78.00</t>
        </r>
      </text>
    </comment>
    <comment ref="AS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20   £0.03      £0.63
   100   £0.02      £1.85
   500   £0.02      £8.01
  3000   £0.01     £41.85
 12000   £0.01    £156.24</t>
        </r>
      </text>
    </comment>
    <comment ref="M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4000   $0.09    $352.52</t>
        </r>
      </text>
    </comment>
    <comment ref="AD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$0.25      $0.25
    10   $0.17      $1.66
    50   $0.17      $8.30
   100   $0.13     $13.10
  1000   $0.12    $119.00
 10000   $0.08    $780.00</t>
        </r>
      </text>
    </comment>
    <comment ref="AG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4000   $0.12    $500.00
  5000   $0.12    $590.00
 10000   $0.10  $1,050.00
 20000   $0.10  $1,900.00
 30000   $0.09  $2,640.00
 50000   $0.08  $4,050.00</t>
        </r>
      </text>
    </comment>
    <comment ref="O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$0.18      $0.18
    10   $0.15      $1.52
   100   $0.06      $5.93
  1000   $0.02     $24.84
  2500   $0.02     $56.92
  5000   $0.02    $103.50</t>
        </r>
      </text>
    </comment>
    <comment ref="T2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£0.12      £1.22
   100   £0.05      £4.83
   500   £0.05     £22.60
  1000   £0.02     £20.00
  2500   £0.02     £47.25
  5000   £0.02     £84.00
 25000   £0.02    £412.50</t>
        </r>
      </text>
    </comment>
    <comment ref="AD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$0.19      $0.19
    10   $0.17      $1.67
    50   $0.17      $8.35
   100   $0.07      $6.60
  1000   $0.03     $28.00
 10000   $0.02    $220.00</t>
        </r>
      </text>
    </comment>
    <comment ref="AI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$0.15      $1.52
   100   $0.06      $5.90
   500   $0.04     $21.00
  1000   $0.02     $24.00
  2500   $0.02     $55.00</t>
        </r>
      </text>
    </comment>
    <comment ref="M2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$0.15      $0.15
    10   $0.13      $1.30
   100   $0.05      $5.00
  1000   $0.02     $22.01
  2500   $0.02     $47.52
  5000   $0.02     $85.05</t>
        </r>
      </text>
    </comment>
    <comment ref="AD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$0.15      $0.15
    10   $0.13      $1.34
    50   $0.13      $6.70
   100   $0.05      $5.20
  1000   $0.02     $23.00
 10000   $0.02    $170.00</t>
        </r>
      </text>
    </comment>
    <comment ref="M3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25000   $0.01    $125.00</t>
        </r>
      </text>
    </comment>
    <comment ref="AD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$0.50
    50   $0.05      $2.50
   100   $0.02      $2.10
  1000   $0.01     $10.00
 10000   $0.01     $50.00</t>
        </r>
      </text>
    </comment>
    <comment ref="AG3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25000   $0.01    $125.00</t>
        </r>
      </text>
    </comment>
    <comment ref="J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$0.06      $0.06
    10   $0.03      $0.29
    25   $0.03      $0.73
   100   $0.01      $1.11
   250   $0.01      $2.75
   500   $0.01      $5.40
  1000   $0.01      $6.30
  3000   $0.01     $16.80</t>
        </r>
      </text>
    </comment>
    <comment ref="M3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$0.71
   100   $0.03      $2.90
  1000   $0.01     $13.04
  2500   $0.01     $28.30
  5000   $0.01     $46.75</t>
        </r>
      </text>
    </comment>
    <comment ref="AD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$0.67
    50   $0.07      $3.35
   100   $0.03      $2.70
  1000   $0.01     $15.00
 10000   $0.01     $80.00</t>
        </r>
      </text>
    </comment>
    <comment ref="M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25000   $0.01    $125.00</t>
        </r>
      </text>
    </comment>
    <comment ref="AD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$0.50
    50   $0.05      $2.50
   100   $0.02      $2.10
  1000   $0.01     $10.00
 10000   $0.01     $50.00</t>
        </r>
      </text>
    </comment>
    <comment ref="AG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25000   $0.01    $125.00</t>
        </r>
      </text>
    </comment>
    <comment ref="J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$0.58      $0.58
    10   $0.42      $4.24
    25   $0.41     $10.34
   100   $0.32     $32.34
   250   $0.32     $79.55
   500   $0.23    $115.85
  1000   $0.19    $186.50
  3000   $0.18    $542.10</t>
        </r>
      </text>
    </comment>
    <comment ref="O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$0.61      $0.61
    10   $0.51      $5.05
    25   $0.43     $10.83
    50   $0.39     $19.49
   100   $0.34     $33.93
   250   $0.30     $75.80
   500   $0.25    $122.72
  1000   $0.20    $198.52
  5000   $0.19    $962.50</t>
        </r>
      </text>
    </comment>
    <comment ref="T3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£0.56      £0.56
    10   £0.35      £3.50
    25   £0.40     £10.10
    50   £0.31     £15.30
   100   £0.31     £31.00
   250   £0.21     £51.50
   500   £0.27    £135.50
  1000   £0.23    £231.00
  2500   £0.19    £480.00
  5000   £0.19    £940.00
 25000   £0.16  £3,900.00</t>
        </r>
      </text>
    </comment>
    <comment ref="AD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$0.61      $0.61
    10   $0.39      $3.90
    50   $0.39     $19.50
   100   $0.24     $24.30
  1000   $0.20    $199.00
 10000   $0.19  $1,920.00</t>
        </r>
      </text>
    </comment>
    <comment ref="AI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$0.18      $0.18
    25   $0.49     $12.38
    50   $0.38     $18.75
   100   $0.27     $27.10
   250   $0.25     $63.25
   500   $0.23    $116.50
  5000   $0.18    $895.00</t>
        </r>
      </text>
    </comment>
    <comment ref="J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$0.07      $0.07
    10   $0.03      $0.28
    25   $0.03      $0.69
   100   $0.01      $1.22
   250   $0.01      $2.65
   500   $0.01      $5.25
  1000   $0.01      $6.60</t>
        </r>
      </text>
    </comment>
    <comment ref="O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$0.42
   100   $0.02      $1.69
  1000   $0.01      $7.59
  2500   $0.01     $16.48
  5000   $0.01     $27.20</t>
        </r>
      </text>
    </comment>
    <comment ref="T3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£0.23
   100   £0.01      £1.00
   500   £0.01      £3.75
  1000   £0.01      £5.00
  2500   £0.00     £11.25
  5000   £0.00     £20.00
 25000   £0.00     £97.50</t>
        </r>
      </text>
    </comment>
    <comment ref="AD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$0.31
    50   $0.03      $1.55
   100   $0.01      $1.30
  1000   $0.01      $7.00
 10000   $0.01     $50.00</t>
        </r>
      </text>
    </comment>
    <comment ref="AI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$0.25
    25   $0.02      $0.50
    50   $0.01      $0.75
   100   $0.01      $1.00</t>
        </r>
      </text>
    </comment>
    <comment ref="AS3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£0.04      £3.80
  1000   £0.02     £16.14
  5000   £0.01     £30.90
 15000   £0.00     £70.05
 50000   £0.00    £200.00</t>
        </r>
      </text>
    </comment>
    <comment ref="J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$0.14      $0.14
    10   $0.08      $0.83
    25   $0.08      $1.97
   100   $0.05      $4.58
   250   $0.05     $11.35
   500   $0.04     $17.90
  1000   $0.02     $24.50
  3000   $0.02     $72.90
  6000   $0.02    $120.00</t>
        </r>
      </text>
    </comment>
    <comment ref="O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$0.19      $0.19
    10   $0.16      $1.57
    25   $0.11      $2.86
    50   $0.08      $4.15
   100   $0.06      $6.15
   250   $0.05     $11.80
   500   $0.04     $18.59
  1000   $0.03     $25.74
  5000   $0.02    $107.25
 10000   $0.02    $200.20
 25000   $0.02    $486.25</t>
        </r>
      </text>
    </comment>
    <comment ref="T3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£0.08      £0.78
   100   £0.04      £4.20
   500   £0.03     £15.70
  1000   £0.02     £24.60
  2500   £0.02     £59.25
  5000   £0.02    £104.50
 25000   £0.02    £432.50</t>
        </r>
      </text>
    </comment>
    <comment ref="AD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$0.07      $0.72
    50   $0.07      $3.60
   100   $0.04      $4.40
  1000   $0.03     $26.00
 10000   $0.02    $220.00</t>
        </r>
      </text>
    </comment>
    <comment ref="AI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$0.02      $0.02
    25   $0.01      $0.38
    50   $0.01      $0.75
   100   $0.01      $1.50
   250   $0.01      $3.75
   500   $0.01      $7.50
  5000   $0.02    $115.00</t>
        </r>
      </text>
    </comment>
    <comment ref="AN3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£0.09      £0.89
   100   £0.08      £8.30
   250   £0.08     £19.25
   500   £0.07     £36.00
  1000   £0.07     £66.00
  5000   £0.02     £95.00
 25000   £0.02    £425.00
 50000   £0.02    £800.00
100000   £0.01  £1,500.00</t>
        </r>
      </text>
    </comment>
    <comment ref="J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$0.35
   100   $0.01      $1.38
   250   $0.01      $3.43
  1000   $0.01      $6.70</t>
        </r>
      </text>
    </comment>
    <comment ref="O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$0.40
   100   $0.02      $1.63
  1000   $0.01      $7.31
  2500   $0.01     $15.88
  5000   $0.01     $26.20</t>
        </r>
      </text>
    </comment>
    <comment ref="AD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$0.42
    50   $0.04      $2.10
   100   $0.02      $1.90
  1000   $0.01      $9.00
 10000   $0.01     $50.00</t>
        </r>
      </text>
    </comment>
    <comment ref="AG3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I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 250   $0.01      $2.25
   500   $0.01      $4.00
  1000   $0.01      $7.00
  5000   $0.01     $35.00
 40000   $0.01    $200.00</t>
        </r>
      </text>
    </comment>
    <comment ref="O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$0.67
   100   $0.03      $2.71
  1000   $0.01     $12.19
  2500   $0.01     $26.45
  5000   $0.01     $43.70</t>
        </r>
      </text>
    </comment>
    <comment ref="T3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£0.05      £0.47
   100   £0.02      £2.20
   500   £0.02      £9.50
  1000   £0.01     £10.00
  5000   £0.01     £26.00
 25000   £0.00    £107.50</t>
        </r>
      </text>
    </comment>
    <comment ref="AD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$0.61
    50   $0.06      $3.05
   100   $0.03      $2.80
  1000   $0.01     $13.00
 10000   $0.01     $80.00</t>
        </r>
      </text>
    </comment>
    <comment ref="AI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  25   $0.06      $1.52
    50   $0.04      $2.25
   100   $0.03      $2.80
   250   $0.03      $6.75
   500   $0.03     $12.50
 20000   $0.01    $160.00</t>
        </r>
      </text>
    </comment>
    <comment ref="AD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$0.37
    50   $0.04      $1.85
   100   $0.01      $1.50
  1000   $0.01      $7.00
 10000   $0.00     $40.00</t>
        </r>
      </text>
    </comment>
    <comment ref="J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$2.63      $2.63
    10   $2.21     $22.06
    25   $1.87     $46.68
    60   $1.75    $104.88
   120   $1.66    $198.77
   300   $1.60    $481.26
   540   $1.56    $840.51
  1020   $1.51  $1,539.49
  2520   $1.35  $3,398.22</t>
        </r>
      </text>
    </comment>
    <comment ref="M3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$2.96      $2.96
    10   $2.40     $23.97
    25   $1.94     $48.45
    60   $1.82    $108.94
   120   $1.73    $208.08
   240   $1.68    $403.92
   480   $1.63    $783.36
   960   $1.58  $1,517.76
  4920   $1.45  $7,151.22</t>
        </r>
      </text>
    </comment>
    <comment ref="AD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$2.86      $2.86
    10   $2.36     $23.60
    50   $1.98     $99.00
   100   $1.86    $186.00
  1000   $1.66  $1,660.00
 10000   $1.48 $14,800.00</t>
        </r>
      </text>
    </comment>
    <comment ref="J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$1.47      $1.47
    10   $1.27     $12.68
   100   $0.72     $71.89</t>
        </r>
      </text>
    </comment>
    <comment ref="O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$1.61      $1.61
    10   $1.44     $14.38
    25   $1.37     $34.13
   100   $1.12    $112.15
   250   $1.05    $262.08
   500   $0.93    $463.22
  1000   $0.73    $731.40
  4000   $0.79  $3,150.00</t>
        </r>
      </text>
    </comment>
    <comment ref="T4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£1.32      £6.60
    10   £1.13     £11.30
   100   £0.87     £87.00
   500   £0.59    £295.00
  4000   £0.58  £2,312.00
  8000   £0.57  £4,528.00
 12000   £0.56  £6,660.00</t>
        </r>
      </text>
    </comment>
    <comment ref="AD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$1.57      $1.57
    10   $1.41     $14.10
    50   $1.34     $67.00
   100   $1.10    $110.00
  1000   $0.72    $716.00
 10000   $0.70  $6,970.00</t>
        </r>
      </text>
    </comment>
    <comment ref="AI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$1.67      $1.67
     5   $1.67      $8.35
    10   $1.49     $14.90
   100   $1.16    $116.00</t>
        </r>
      </text>
    </comment>
    <comment ref="M4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4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$0.81      $0.81
    10   $0.53      $5.30
   100   $0.35     $34.74
  1000   $0.30    $301.88</t>
        </r>
      </text>
    </comment>
    <comment ref="T4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£0.84      £0.84
    10   £0.63      £6.26
    25   £0.61     £15.32
    50   £0.60     £30.05</t>
        </r>
      </text>
    </comment>
    <comment ref="AD4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$0.81      $0.81
    10   $0.60      $6.04
    50   $0.60     $30.20
   100   $0.35     $34.80
  1000   $0.28    $275.00
 10000   $0.27  $2,670.00</t>
        </r>
      </text>
    </comment>
    <comment ref="AI4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$1.11      $1.11
    10   $0.73      $7.29
   100   $0.48     $47.80
   500   $0.45    $222.50
  1000   $0.41    $414.00</t>
        </r>
      </text>
    </comment>
    <comment ref="AS4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£0.55      £0.55
     5   £0.35      £1.77
    25   £0.26      £6.52
   100   £0.21     £21.06
   500   £0.18     £88.35</t>
        </r>
      </text>
    </comment>
    <comment ref="R4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4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£0.40      £0.40
     5   £0.17      £0.88
    10   £0.29      £2.92
    50   £0.16      £8.10
   100   £0.07      £7.46
   150   £0.19     £28.80
   250   £0.14     £36.00
   500   £0.12     £59.50
  1000   £0.05     £46.50
  2000   £0.11    £212.00
  5000   £0.05    £231.00
  6000   £0.09    £562.20
 10000   £0.05    £458.00
 20000   £0.08  £1,688.00</t>
        </r>
      </text>
    </comment>
    <comment ref="O4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$22.49     $22.49</t>
        </r>
      </text>
    </comment>
    <comment ref="T4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£16.54     £16.54</t>
        </r>
      </text>
    </comment>
    <comment ref="AI4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$19.99     $19.99</t>
        </r>
      </text>
    </comment>
    <comment ref="F45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4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N4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S4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X4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C4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H4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M4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R45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46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X46" authorId="0">
      <text>
        <r>
          <rPr>
            <sz val="8"/>
            <color indexed="81"/>
            <rFont val="Tahoma"/>
            <family val="2"/>
          </rPr>
          <t>Copy this header and order to a CSV
file and use it for JLCPCB 
manufacturer PCB house.
The multipart components that use
"#" symbol are not allowed by JLCPCB.</t>
        </r>
      </text>
    </comment>
  </commentList>
</comments>
</file>

<file path=xl/sharedStrings.xml><?xml version="1.0" encoding="utf-8"?>
<sst xmlns="http://schemas.openxmlformats.org/spreadsheetml/2006/main" count="529" uniqueCount="260">
  <si>
    <t>Global Part Info</t>
  </si>
  <si>
    <t>Refs</t>
  </si>
  <si>
    <t>Value</t>
  </si>
  <si>
    <t>Footprint</t>
  </si>
  <si>
    <t>Manf#</t>
  </si>
  <si>
    <t>Qty</t>
  </si>
  <si>
    <t>Unit$</t>
  </si>
  <si>
    <t>Ext$</t>
  </si>
  <si>
    <t>C6</t>
  </si>
  <si>
    <t>3.3uF, 400V</t>
  </si>
  <si>
    <t>CP_Elec_10x10</t>
  </si>
  <si>
    <t>UUX2G3R3MNL1GS</t>
  </si>
  <si>
    <t>C7</t>
  </si>
  <si>
    <t>22nF</t>
  </si>
  <si>
    <t>C_0805_2012Metric</t>
  </si>
  <si>
    <t>CL21B223KBANNWC</t>
  </si>
  <si>
    <t>C8</t>
  </si>
  <si>
    <t>1nF</t>
  </si>
  <si>
    <t>CL21B102KBANNNC</t>
  </si>
  <si>
    <t>C9</t>
  </si>
  <si>
    <t>2.2uF</t>
  </si>
  <si>
    <t>CGA4J3X7R1H225K125AE</t>
  </si>
  <si>
    <t>C12</t>
  </si>
  <si>
    <t>X7T, 100nF</t>
  </si>
  <si>
    <t>C2012X7T2E104M125AA</t>
  </si>
  <si>
    <t>C14,C15</t>
  </si>
  <si>
    <t>6.8nF</t>
  </si>
  <si>
    <t>0805B682K631CT</t>
  </si>
  <si>
    <t>C16</t>
  </si>
  <si>
    <t>10uF</t>
  </si>
  <si>
    <t>C_1210_3225Metric</t>
  </si>
  <si>
    <t>UMK325C7106KM-T</t>
  </si>
  <si>
    <t>C17</t>
  </si>
  <si>
    <t>100uF, 35V</t>
  </si>
  <si>
    <t>CP_Elec_8x10</t>
  </si>
  <si>
    <t>EDH107M035A9MAA</t>
  </si>
  <si>
    <t>C18</t>
  </si>
  <si>
    <t>C0G, 100pF</t>
  </si>
  <si>
    <t>CL21C101JBANNNC</t>
  </si>
  <si>
    <t>C19,C20</t>
  </si>
  <si>
    <t>4.7uF</t>
  </si>
  <si>
    <t>DNP</t>
  </si>
  <si>
    <t>C21</t>
  </si>
  <si>
    <t>680pF</t>
  </si>
  <si>
    <t>C_1812_4532Metric</t>
  </si>
  <si>
    <t>302R29W681KV3E-****-SC</t>
  </si>
  <si>
    <t>C22</t>
  </si>
  <si>
    <t>10nF</t>
  </si>
  <si>
    <t>CL21B103KBANNND</t>
  </si>
  <si>
    <t>COMP1,CS1,GND1,GND2,GND3,GND4,MOSD1,MOSG1,MOSS1,TP1,TP6,VIN1,VOUT1,VOUT_GND1</t>
  </si>
  <si>
    <t>TestPoint</t>
  </si>
  <si>
    <t>TestPoint_THTPad_D2.0mm_Drill1.0mm</t>
  </si>
  <si>
    <t>D4</t>
  </si>
  <si>
    <t>MURA130T3G</t>
  </si>
  <si>
    <t>D_SMA</t>
  </si>
  <si>
    <t>D5</t>
  </si>
  <si>
    <t>9.1V</t>
  </si>
  <si>
    <t>D_SOD-323</t>
  </si>
  <si>
    <t>MM3Z9V1T1G</t>
  </si>
  <si>
    <t>D6</t>
  </si>
  <si>
    <t>STTH4R02U</t>
  </si>
  <si>
    <t>D_SMB</t>
  </si>
  <si>
    <t>BAS20HT1G</t>
  </si>
  <si>
    <t>D7,D8</t>
  </si>
  <si>
    <t>J1,J2,J3,J4</t>
  </si>
  <si>
    <t>Conn_01x01</t>
  </si>
  <si>
    <t>Pad_terminal</t>
  </si>
  <si>
    <t>NTC1</t>
  </si>
  <si>
    <t>100k</t>
  </si>
  <si>
    <t>R_0805_2012Metric</t>
  </si>
  <si>
    <t>ABNTC-0805-104J-4250F-T</t>
  </si>
  <si>
    <t>Q1#1</t>
  </si>
  <si>
    <t>TK13P25D,RQ - p1/2</t>
  </si>
  <si>
    <t>TO-252-2</t>
  </si>
  <si>
    <t>TK13P25D</t>
  </si>
  <si>
    <t>Q1#2</t>
  </si>
  <si>
    <t>TK13P25D,RQ - p2/2</t>
  </si>
  <si>
    <t>RQ</t>
  </si>
  <si>
    <t>R4</t>
  </si>
  <si>
    <t>27k</t>
  </si>
  <si>
    <t>KTR10EZPF2702</t>
  </si>
  <si>
    <t>R5</t>
  </si>
  <si>
    <t>KTR10EZPJ104</t>
  </si>
  <si>
    <t>R6</t>
  </si>
  <si>
    <t>348K</t>
  </si>
  <si>
    <t>CR0805-FX-3483ELF</t>
  </si>
  <si>
    <t>R7</t>
  </si>
  <si>
    <t>470</t>
  </si>
  <si>
    <t>RC0805JR-07470RP</t>
  </si>
  <si>
    <t>R8</t>
  </si>
  <si>
    <t>348k</t>
  </si>
  <si>
    <t>R9</t>
  </si>
  <si>
    <t>240m</t>
  </si>
  <si>
    <t>R_1210_3225Metric</t>
  </si>
  <si>
    <t>RCWE1210R240FKEA</t>
  </si>
  <si>
    <t>R11</t>
  </si>
  <si>
    <t>1.4K</t>
  </si>
  <si>
    <t>RC0805FR-071K4L</t>
  </si>
  <si>
    <t>R12,R15,R18</t>
  </si>
  <si>
    <t>10k</t>
  </si>
  <si>
    <t>CRT0805-FZ-1002ELF</t>
  </si>
  <si>
    <t>R13,R17,R20</t>
  </si>
  <si>
    <t>10</t>
  </si>
  <si>
    <t>CRCW080510R0JNEAC</t>
  </si>
  <si>
    <t>R14</t>
  </si>
  <si>
    <t>38.3k</t>
  </si>
  <si>
    <t>CRCW080538K3FKEA</t>
  </si>
  <si>
    <t>R16</t>
  </si>
  <si>
    <t>2.2</t>
  </si>
  <si>
    <t>RK73B2ATTDD2R2J</t>
  </si>
  <si>
    <t>T1</t>
  </si>
  <si>
    <t>PA2467NL</t>
  </si>
  <si>
    <t>U2</t>
  </si>
  <si>
    <t>NCP12700</t>
  </si>
  <si>
    <t>MSOP-10_3x3mm_P0.5mm</t>
  </si>
  <si>
    <t>NCP12700ADNR2G</t>
  </si>
  <si>
    <t>U3</t>
  </si>
  <si>
    <t>HMHA2801A</t>
  </si>
  <si>
    <t>SO-4_4.4x2.3mm_P1.27mm</t>
  </si>
  <si>
    <t>U4#1</t>
  </si>
  <si>
    <t>TL431MFDT,215 - p1/2</t>
  </si>
  <si>
    <t>SOT-23</t>
  </si>
  <si>
    <t>TL431MFDT</t>
  </si>
  <si>
    <t>U4#2</t>
  </si>
  <si>
    <t>TL431MFDT,215 - p2/2</t>
  </si>
  <si>
    <t>215</t>
  </si>
  <si>
    <t>Total Purchase:</t>
  </si>
  <si>
    <t>Purchase description:</t>
  </si>
  <si>
    <t>Used currency rates:</t>
  </si>
  <si>
    <t>USD($)/GBP(£):</t>
  </si>
  <si>
    <t>Prj:</t>
  </si>
  <si>
    <t>Ultra wide input Feeder</t>
  </si>
  <si>
    <t>Co.:</t>
  </si>
  <si>
    <t>Prj date:</t>
  </si>
  <si>
    <t>mer. 09 févr. 2022 18:22:15</t>
  </si>
  <si>
    <t>Board Qty:</t>
  </si>
  <si>
    <t>Total Cost:</t>
  </si>
  <si>
    <t>Unit Cost:</t>
  </si>
  <si>
    <t>$ date:</t>
  </si>
  <si>
    <t>2022-02-09 18:22:38</t>
  </si>
  <si>
    <t>Arrow</t>
  </si>
  <si>
    <t>Avail</t>
  </si>
  <si>
    <t>Purch</t>
  </si>
  <si>
    <t>Cat#</t>
  </si>
  <si>
    <t>RC0805JR07470RP</t>
  </si>
  <si>
    <t>RC0805FR071K4L</t>
  </si>
  <si>
    <t>CRT0805FZ1002ELF</t>
  </si>
  <si>
    <t>Buy here</t>
  </si>
  <si>
    <t>Digi-Key</t>
  </si>
  <si>
    <t>493-9988-1-ND</t>
  </si>
  <si>
    <t>1276-2489-1-ND</t>
  </si>
  <si>
    <t>1276-1020-1-ND</t>
  </si>
  <si>
    <t>445-172477-1-ND</t>
  </si>
  <si>
    <t>445-14563-1-ND</t>
  </si>
  <si>
    <t>1292-0805B682K631CTTR-ND</t>
  </si>
  <si>
    <t>NonStk</t>
  </si>
  <si>
    <t>UMK325C7106KM-T-ND</t>
  </si>
  <si>
    <t>EDH107M035A9MAA-ND</t>
  </si>
  <si>
    <t>1276-1014-1-ND</t>
  </si>
  <si>
    <t>709-1093-1-ND</t>
  </si>
  <si>
    <t>CL21B103KBANNND-ND</t>
  </si>
  <si>
    <t>MURA130T3GOSCT-ND</t>
  </si>
  <si>
    <t>MM3Z9V1T1GOSCT-ND</t>
  </si>
  <si>
    <t>BAS20HT1GOSCT-ND</t>
  </si>
  <si>
    <t>535-12856-2-ND</t>
  </si>
  <si>
    <t>RHM27KAHCT-ND</t>
  </si>
  <si>
    <t>RHM100KBCT-ND</t>
  </si>
  <si>
    <t>CR0805-FX-3483ELF-ND</t>
  </si>
  <si>
    <t>YAG1333CT-ND</t>
  </si>
  <si>
    <t>RCWE.24FCT-ND</t>
  </si>
  <si>
    <t>311-1.40KCRCT-ND</t>
  </si>
  <si>
    <t>CRT0805-FZ-1002ELFCT-ND</t>
  </si>
  <si>
    <t>541-4167-1-ND</t>
  </si>
  <si>
    <t>541-38.3KCCT-ND</t>
  </si>
  <si>
    <t>553-3321-ND</t>
  </si>
  <si>
    <t>1990-NCP12700ADNR2GCT-ND</t>
  </si>
  <si>
    <t>HMHA2801A-ND</t>
  </si>
  <si>
    <t>215PV-ND</t>
  </si>
  <si>
    <t>Farnell</t>
  </si>
  <si>
    <t>3013466</t>
  </si>
  <si>
    <t>2547054</t>
  </si>
  <si>
    <t>2839009</t>
  </si>
  <si>
    <t>3013502</t>
  </si>
  <si>
    <t>1651056</t>
  </si>
  <si>
    <t>1150496</t>
  </si>
  <si>
    <t>2463444</t>
  </si>
  <si>
    <t>2919074</t>
  </si>
  <si>
    <t>3784839</t>
  </si>
  <si>
    <t>3495993</t>
  </si>
  <si>
    <t>2008317</t>
  </si>
  <si>
    <t>1652988</t>
  </si>
  <si>
    <t>2895693</t>
  </si>
  <si>
    <t>2453212</t>
  </si>
  <si>
    <t>2095481</t>
  </si>
  <si>
    <t>2903716</t>
  </si>
  <si>
    <t>LCSC</t>
  </si>
  <si>
    <t>C51210</t>
  </si>
  <si>
    <t>C1790</t>
  </si>
  <si>
    <t>C603323</t>
  </si>
  <si>
    <t>C152543</t>
  </si>
  <si>
    <t>Mouser</t>
  </si>
  <si>
    <t>647UUX2G3R3MNL1GS</t>
  </si>
  <si>
    <t>187CL21B223KBANNWC</t>
  </si>
  <si>
    <t>187CL21B102KBANNNC</t>
  </si>
  <si>
    <t>810CGA4J3X7R1H225KE</t>
  </si>
  <si>
    <t>810C2012X7T2E104MAA</t>
  </si>
  <si>
    <t>7910805B682K631CT</t>
  </si>
  <si>
    <t>963UMK325C7106KMT</t>
  </si>
  <si>
    <t>80EDH107M035A9MAA</t>
  </si>
  <si>
    <t>187CL21C101JBANNNC</t>
  </si>
  <si>
    <t>605302R29W681KV3ESC</t>
  </si>
  <si>
    <t>187CL21B103KBANNND</t>
  </si>
  <si>
    <t>863MURA130T3G</t>
  </si>
  <si>
    <t>863MM3Z9V1T1G</t>
  </si>
  <si>
    <t>863BAS20HT1G</t>
  </si>
  <si>
    <t>815NTC805104J4250FT</t>
  </si>
  <si>
    <t>755KTR10EZPF2702</t>
  </si>
  <si>
    <t>755KTR10EZPJ104</t>
  </si>
  <si>
    <t>652CR0805FX3483ELF</t>
  </si>
  <si>
    <t>603RC0805JR07470RP</t>
  </si>
  <si>
    <t>71RCWE1210R240FKEA</t>
  </si>
  <si>
    <t>603RC0805FR071K4L</t>
  </si>
  <si>
    <t>652CRT0805FZ1002ELF</t>
  </si>
  <si>
    <t>71CRCW080510R0JNEAC</t>
  </si>
  <si>
    <t>71CRCW080538.3KE3</t>
  </si>
  <si>
    <t>660RK73B2ATTDD2R2J</t>
  </si>
  <si>
    <t>673PA2467NL</t>
  </si>
  <si>
    <t>863NCP12700ADNR2G</t>
  </si>
  <si>
    <t>512HMHA2801A</t>
  </si>
  <si>
    <t>Newark</t>
  </si>
  <si>
    <t>44X4801</t>
  </si>
  <si>
    <t>82AC9409</t>
  </si>
  <si>
    <t>84Y5689</t>
  </si>
  <si>
    <t>29X4838</t>
  </si>
  <si>
    <t>09P7437</t>
  </si>
  <si>
    <t>87AC4813</t>
  </si>
  <si>
    <t>82AC9471</t>
  </si>
  <si>
    <t>58M3253</t>
  </si>
  <si>
    <t>42K1578</t>
  </si>
  <si>
    <t>45J1637</t>
  </si>
  <si>
    <t>80Y6660</t>
  </si>
  <si>
    <t>96W7698</t>
  </si>
  <si>
    <t>72AC5922</t>
  </si>
  <si>
    <t>32K3076</t>
  </si>
  <si>
    <t>08AJ1694</t>
  </si>
  <si>
    <t>82AH8275</t>
  </si>
  <si>
    <t>41Y1375</t>
  </si>
  <si>
    <t>98AC1024</t>
  </si>
  <si>
    <t>53K0193</t>
  </si>
  <si>
    <t>62AC7304</t>
  </si>
  <si>
    <t>31Y2002</t>
  </si>
  <si>
    <t>62AC1312</t>
  </si>
  <si>
    <t>RS Components</t>
  </si>
  <si>
    <t>9155257</t>
  </si>
  <si>
    <t>7665875</t>
  </si>
  <si>
    <t>8024653</t>
  </si>
  <si>
    <t>7925498P</t>
  </si>
  <si>
    <t>7409224</t>
  </si>
  <si>
    <t>TME</t>
  </si>
  <si>
    <t>KiCost® v1.1.5</t>
  </si>
</sst>
</file>

<file path=xl/styles.xml><?xml version="1.0" encoding="utf-8"?>
<styleSheet xmlns="http://schemas.openxmlformats.org/spreadsheetml/2006/main">
  <numFmts count="2">
    <numFmt numFmtId="164" formatCode="$#,##0.00"/>
    <numFmt numFmtId="164" formatCode="$#,##0.00"/>
    <numFmt numFmtId="165" formatCode="$#,##0.0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1" applyAlignment="1" applyProtection="1"/>
    <xf numFmtId="0" fontId="9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ctopart.com/click/track?ai=8078&amp;sig=0beef3b&amp;sid=459&amp;ppid=28166027&amp;vpid=73754946&amp;ct=offers" TargetMode="External"/><Relationship Id="rId2" Type="http://schemas.openxmlformats.org/officeDocument/2006/relationships/hyperlink" Target="https://octopart.com/click/track?ai=8078&amp;sig=02f3097&amp;sid=2401&amp;ppid=28166027&amp;vpid=419389874&amp;ct=offers" TargetMode="External"/><Relationship Id="rId3" Type="http://schemas.openxmlformats.org/officeDocument/2006/relationships/hyperlink" Target="https://octopart.com/click/track?c=1&amp;ai=8078&amp;sig=0e910e7&amp;sid=2402&amp;ppid=28166027&amp;vpid=120922159&amp;ct=offers" TargetMode="External"/><Relationship Id="rId4" Type="http://schemas.openxmlformats.org/officeDocument/2006/relationships/hyperlink" Target="https://octopart.com/click/track?ai=8078&amp;sig=046e6c6&amp;sid=1532&amp;ppid=28166027&amp;vpid=709108499&amp;ct=offers" TargetMode="External"/><Relationship Id="rId5" Type="http://schemas.openxmlformats.org/officeDocument/2006/relationships/hyperlink" Target="https://octopart.com/click/track?ai=8078&amp;sig=073ca1c&amp;sid=459&amp;ppid=24958179&amp;vpid=72526342&amp;ct=offers" TargetMode="External"/><Relationship Id="rId6" Type="http://schemas.openxmlformats.org/officeDocument/2006/relationships/hyperlink" Target="https://octopart.com/click/track?ai=8078&amp;sig=00f3e82&amp;sid=2401&amp;ppid=24958179&amp;vpid=726965811&amp;ct=offers" TargetMode="External"/><Relationship Id="rId7" Type="http://schemas.openxmlformats.org/officeDocument/2006/relationships/hyperlink" Target="https://octopart.com/click/track?ai=8078&amp;sig=06aa4b8&amp;sid=1106&amp;ppid=9299369&amp;vpid=486017912&amp;ct=offers" TargetMode="External"/><Relationship Id="rId8" Type="http://schemas.openxmlformats.org/officeDocument/2006/relationships/hyperlink" Target="https://octopart.com/click/track?ai=8078&amp;sig=0799db1&amp;sid=459&amp;ppid=9299369&amp;vpid=72525966&amp;ct=offers" TargetMode="External"/><Relationship Id="rId9" Type="http://schemas.openxmlformats.org/officeDocument/2006/relationships/hyperlink" Target="https://octopart.com/click/track?ai=8078&amp;sig=03081e6&amp;sid=11744&amp;ppid=9299369&amp;vpid=541618916&amp;ct=offers" TargetMode="External"/><Relationship Id="rId10" Type="http://schemas.openxmlformats.org/officeDocument/2006/relationships/hyperlink" Target="https://octopart.com/click/track?ai=8078&amp;sig=01941ba&amp;sid=27971&amp;ppid=9299369&amp;vpid=478449047&amp;ct=offers" TargetMode="External"/><Relationship Id="rId11" Type="http://schemas.openxmlformats.org/officeDocument/2006/relationships/hyperlink" Target="https://octopart.com/click/track?ai=8078&amp;sig=0e237f6&amp;sid=2401&amp;ppid=9299369&amp;vpid=659501522&amp;ct=offers" TargetMode="External"/><Relationship Id="rId12" Type="http://schemas.openxmlformats.org/officeDocument/2006/relationships/hyperlink" Target="https://octopart.com/click/track?ai=8078&amp;sig=00bb4d6&amp;sid=2402&amp;ppid=9299369&amp;vpid=511545733&amp;ct=offers" TargetMode="External"/><Relationship Id="rId13" Type="http://schemas.openxmlformats.org/officeDocument/2006/relationships/hyperlink" Target="https://octopart.com/click/track?ai=8078&amp;sig=0f7fd1f&amp;sid=1532&amp;ppid=9299369&amp;vpid=709157390&amp;ct=offers" TargetMode="External"/><Relationship Id="rId14" Type="http://schemas.openxmlformats.org/officeDocument/2006/relationships/hyperlink" Target="https://octopart.com/click/track?ai=8078&amp;sig=04caa6a&amp;sid=1106&amp;ppid=48568697&amp;vpid=473450299&amp;ct=offers" TargetMode="External"/><Relationship Id="rId15" Type="http://schemas.openxmlformats.org/officeDocument/2006/relationships/hyperlink" Target="https://octopart.com/click/track?ai=8078&amp;sig=0cbb5a1&amp;sid=459&amp;ppid=48568697&amp;vpid=156791176&amp;ct=offers" TargetMode="External"/><Relationship Id="rId16" Type="http://schemas.openxmlformats.org/officeDocument/2006/relationships/hyperlink" Target="https://octopart.com/click/track?c=1&amp;ai=8078&amp;sig=0b88586&amp;sid=819&amp;ppid=48568697&amp;vpid=262384550&amp;ct=offers" TargetMode="External"/><Relationship Id="rId17" Type="http://schemas.openxmlformats.org/officeDocument/2006/relationships/hyperlink" Target="https://octopart.com/click/track?ai=8078&amp;sig=0e6e3df&amp;sid=2401&amp;ppid=48568697&amp;vpid=179719319&amp;ct=offers" TargetMode="External"/><Relationship Id="rId18" Type="http://schemas.openxmlformats.org/officeDocument/2006/relationships/hyperlink" Target="https://octopart.com/click/track?c=1&amp;ai=8078&amp;sig=04670b1&amp;sid=2402&amp;ppid=48568697&amp;vpid=263616676&amp;ct=offers" TargetMode="External"/><Relationship Id="rId19" Type="http://schemas.openxmlformats.org/officeDocument/2006/relationships/hyperlink" Target="https://octopart.com/click/track?ai=8078&amp;sig=063517c&amp;sid=10022&amp;ppid=48568697&amp;vpid=268634339&amp;ct=offers" TargetMode="External"/><Relationship Id="rId20" Type="http://schemas.openxmlformats.org/officeDocument/2006/relationships/hyperlink" Target="https://octopart.com/click/track?ai=8078&amp;sig=0181695&amp;sid=1106&amp;ppid=28169232&amp;vpid=475688280&amp;ct=offers" TargetMode="External"/><Relationship Id="rId21" Type="http://schemas.openxmlformats.org/officeDocument/2006/relationships/hyperlink" Target="https://octopart.com/click/track?ai=8078&amp;sig=0a0f4e8&amp;sid=459&amp;ppid=28169232&amp;vpid=73766894&amp;ct=offers" TargetMode="External"/><Relationship Id="rId22" Type="http://schemas.openxmlformats.org/officeDocument/2006/relationships/hyperlink" Target="https://octopart.com/click/track?c=1&amp;ai=8078&amp;sig=0eac3cb&amp;sid=819&amp;ppid=28169232&amp;vpid=489916687&amp;ct=offers" TargetMode="External"/><Relationship Id="rId23" Type="http://schemas.openxmlformats.org/officeDocument/2006/relationships/hyperlink" Target="https://octopart.com/click/track?ai=8078&amp;sig=0eae5db&amp;sid=2401&amp;ppid=28169232&amp;vpid=165546343&amp;ct=offers" TargetMode="External"/><Relationship Id="rId24" Type="http://schemas.openxmlformats.org/officeDocument/2006/relationships/hyperlink" Target="https://octopart.com/click/track?c=1&amp;ai=8078&amp;sig=0ee07f9&amp;sid=2402&amp;ppid=28169232&amp;vpid=120992231&amp;ct=offers" TargetMode="External"/><Relationship Id="rId25" Type="http://schemas.openxmlformats.org/officeDocument/2006/relationships/hyperlink" Target="https://octopart.com/click/track?c=1&amp;ai=8078&amp;sig=01f460f&amp;sid=459&amp;ppid=71780471&amp;vpid=788565294&amp;ct=offers" TargetMode="External"/><Relationship Id="rId26" Type="http://schemas.openxmlformats.org/officeDocument/2006/relationships/hyperlink" Target="https://octopart.com/click/track?ai=8078&amp;sig=02fc642&amp;sid=2401&amp;ppid=71780471&amp;vpid=536603843&amp;ct=offers" TargetMode="External"/><Relationship Id="rId27" Type="http://schemas.openxmlformats.org/officeDocument/2006/relationships/hyperlink" Target="https://octopart.com/click/track?c=1&amp;ai=8078&amp;sig=0264a5d&amp;sid=459&amp;ppid=7073241&amp;vpid=137719881&amp;ct=offers" TargetMode="External"/><Relationship Id="rId28" Type="http://schemas.openxmlformats.org/officeDocument/2006/relationships/hyperlink" Target="https://octopart.com/click/track?ai=8078&amp;sig=00ab734&amp;sid=2401&amp;ppid=7073241&amp;vpid=87845719&amp;ct=offers" TargetMode="External"/><Relationship Id="rId29" Type="http://schemas.openxmlformats.org/officeDocument/2006/relationships/hyperlink" Target="https://octopart.com/click/track?c=1&amp;ai=8078&amp;sig=0140a20&amp;sid=2402&amp;ppid=7073241&amp;vpid=96653055&amp;ct=offers" TargetMode="External"/><Relationship Id="rId30" Type="http://schemas.openxmlformats.org/officeDocument/2006/relationships/hyperlink" Target="https://octopart.com/click/track?c=1&amp;ai=8078&amp;sig=060caa0&amp;sid=459&amp;ppid=77807158&amp;vpid=409529372&amp;ct=offers" TargetMode="External"/><Relationship Id="rId31" Type="http://schemas.openxmlformats.org/officeDocument/2006/relationships/hyperlink" Target="https://octopart.com/click/track?ai=8078&amp;sig=0fc720f&amp;sid=2401&amp;ppid=77807158&amp;vpid=458206257&amp;ct=offers" TargetMode="External"/><Relationship Id="rId32" Type="http://schemas.openxmlformats.org/officeDocument/2006/relationships/hyperlink" Target="https://octopart.com/click/track?c=1&amp;ai=8078&amp;sig=0d1a016&amp;sid=2402&amp;ppid=77807158&amp;vpid=524242692&amp;ct=offers" TargetMode="External"/><Relationship Id="rId33" Type="http://schemas.openxmlformats.org/officeDocument/2006/relationships/hyperlink" Target="https://octopart.com/click/track?ai=8078&amp;sig=042812e&amp;sid=1106&amp;ppid=9299371&amp;vpid=486018360&amp;ct=offers" TargetMode="External"/><Relationship Id="rId34" Type="http://schemas.openxmlformats.org/officeDocument/2006/relationships/hyperlink" Target="https://octopart.com/click/track?ai=8078&amp;sig=03ad40d&amp;sid=459&amp;ppid=9299371&amp;vpid=72526845&amp;ct=offers" TargetMode="External"/><Relationship Id="rId35" Type="http://schemas.openxmlformats.org/officeDocument/2006/relationships/hyperlink" Target="https://octopart.com/click/track?ai=8078&amp;sig=041580c&amp;sid=819&amp;ppid=9299371&amp;vpid=629188470&amp;ct=offers" TargetMode="External"/><Relationship Id="rId36" Type="http://schemas.openxmlformats.org/officeDocument/2006/relationships/hyperlink" Target="https://octopart.com/click/track?ai=8078&amp;sig=05ecd53&amp;sid=27971&amp;ppid=9299371&amp;vpid=478449053&amp;ct=offers" TargetMode="External"/><Relationship Id="rId37" Type="http://schemas.openxmlformats.org/officeDocument/2006/relationships/hyperlink" Target="https://octopart.com/click/track?ai=8078&amp;sig=0e2e8f4&amp;sid=2401&amp;ppid=9299371&amp;vpid=658751464&amp;ct=offers" TargetMode="External"/><Relationship Id="rId38" Type="http://schemas.openxmlformats.org/officeDocument/2006/relationships/hyperlink" Target="https://octopart.com/click/track?c=1&amp;ai=8078&amp;sig=08c5595&amp;sid=2402&amp;ppid=9299371&amp;vpid=511545797&amp;ct=offers" TargetMode="External"/><Relationship Id="rId39" Type="http://schemas.openxmlformats.org/officeDocument/2006/relationships/hyperlink" Target="https://octopart.com/click/track?ai=8078&amp;sig=02f6e75&amp;sid=10022&amp;ppid=9299371&amp;vpid=209745986&amp;ct=offers" TargetMode="External"/><Relationship Id="rId40" Type="http://schemas.openxmlformats.org/officeDocument/2006/relationships/hyperlink" Target="https://octopart.com/click/track?ai=8078&amp;sig=0da7126&amp;sid=1532&amp;ppid=9299371&amp;vpid=709157463&amp;ct=offers" TargetMode="External"/><Relationship Id="rId41" Type="http://schemas.openxmlformats.org/officeDocument/2006/relationships/hyperlink" Target="https://octopart.com/click/track?ai=8078&amp;sig=078d3bc&amp;sid=459&amp;ppid=7978898&amp;vpid=34203770&amp;ct=offers" TargetMode="External"/><Relationship Id="rId42" Type="http://schemas.openxmlformats.org/officeDocument/2006/relationships/hyperlink" Target="https://octopart.com/click/track?ai=8078&amp;sig=094f0bc&amp;sid=2401&amp;ppid=7978898&amp;vpid=81553806&amp;ct=offers" TargetMode="External"/><Relationship Id="rId43" Type="http://schemas.openxmlformats.org/officeDocument/2006/relationships/hyperlink" Target="https://octopart.com/click/track?c=1&amp;ai=8078&amp;sig=0621320&amp;sid=2402&amp;ppid=7978898&amp;vpid=12114671&amp;ct=offers" TargetMode="External"/><Relationship Id="rId44" Type="http://schemas.openxmlformats.org/officeDocument/2006/relationships/hyperlink" Target="https://octopart.com/click/track?c=1&amp;ai=8078&amp;sig=07ec1f0&amp;sid=459&amp;ppid=19832252&amp;vpid=72526020&amp;ct=offers" TargetMode="External"/><Relationship Id="rId45" Type="http://schemas.openxmlformats.org/officeDocument/2006/relationships/hyperlink" Target="https://octopart.com/click/track?ai=8078&amp;sig=099313b&amp;sid=2401&amp;ppid=19832252&amp;vpid=726965796&amp;ct=offers" TargetMode="External"/><Relationship Id="rId46" Type="http://schemas.openxmlformats.org/officeDocument/2006/relationships/hyperlink" Target="https://octopart.com/click/track?ai=8078&amp;sig=0718426&amp;sid=1532&amp;ppid=19832252&amp;vpid=709157396&amp;ct=offers" TargetMode="External"/><Relationship Id="rId47" Type="http://schemas.openxmlformats.org/officeDocument/2006/relationships/hyperlink" Target="https://www.mouser.fr/datasheet/2/308/1/MURA130T3_D-2316423.pdf" TargetMode="External"/><Relationship Id="rId48" Type="http://schemas.openxmlformats.org/officeDocument/2006/relationships/hyperlink" Target="https://octopart.com/click/track?c=1&amp;ai=8078&amp;sig=031c13b&amp;sid=459&amp;ppid=332346&amp;vpid=51297157&amp;ct=offers" TargetMode="External"/><Relationship Id="rId49" Type="http://schemas.openxmlformats.org/officeDocument/2006/relationships/hyperlink" Target="https://octopart.com/click/track?c=1&amp;ai=8078&amp;sig=0a7f3ce&amp;sid=819&amp;ppid=332346&amp;vpid=139248412&amp;ct=offers" TargetMode="External"/><Relationship Id="rId50" Type="http://schemas.openxmlformats.org/officeDocument/2006/relationships/hyperlink" Target="https://octopart.com/click/track?ai=8078&amp;sig=0333514&amp;sid=2401&amp;ppid=332346&amp;vpid=458432704&amp;ct=offers" TargetMode="External"/><Relationship Id="rId51" Type="http://schemas.openxmlformats.org/officeDocument/2006/relationships/hyperlink" Target="https://octopart.com/click/track?ai=8078&amp;sig=07a66da&amp;sid=2402&amp;ppid=332346&amp;vpid=2972890&amp;ct=offers" TargetMode="External"/><Relationship Id="rId52" Type="http://schemas.openxmlformats.org/officeDocument/2006/relationships/hyperlink" Target="https://www.mouser.fr/datasheet/2/308/1/MM3Z2V4T1_D-2316321.pdf" TargetMode="External"/><Relationship Id="rId53" Type="http://schemas.openxmlformats.org/officeDocument/2006/relationships/hyperlink" Target="https://octopart.com/click/track?ai=8078&amp;sig=0d7b3bb&amp;sid=1106&amp;ppid=700692&amp;vpid=473370526&amp;ct=offers" TargetMode="External"/><Relationship Id="rId54" Type="http://schemas.openxmlformats.org/officeDocument/2006/relationships/hyperlink" Target="https://octopart.com/click/track?ai=8078&amp;sig=00c2dd9&amp;sid=459&amp;ppid=700692&amp;vpid=43967584&amp;ct=offers" TargetMode="External"/><Relationship Id="rId55" Type="http://schemas.openxmlformats.org/officeDocument/2006/relationships/hyperlink" Target="https://octopart.com/click/track?ai=8078&amp;sig=09e01ec&amp;sid=11744&amp;ppid=700692&amp;vpid=210226840&amp;ct=offers" TargetMode="External"/><Relationship Id="rId56" Type="http://schemas.openxmlformats.org/officeDocument/2006/relationships/hyperlink" Target="https://octopart.com/click/track?ai=8078&amp;sig=0c234f1&amp;sid=27971&amp;ppid=700692&amp;vpid=752082712&amp;ct=offers" TargetMode="External"/><Relationship Id="rId57" Type="http://schemas.openxmlformats.org/officeDocument/2006/relationships/hyperlink" Target="https://octopart.com/click/track?ai=8078&amp;sig=0883e79&amp;sid=2401&amp;ppid=700692&amp;vpid=44862044&amp;ct=offers" TargetMode="External"/><Relationship Id="rId58" Type="http://schemas.openxmlformats.org/officeDocument/2006/relationships/hyperlink" Target="https://octopart.com/click/track?ai=8078&amp;sig=0902ebf&amp;sid=2402&amp;ppid=700692&amp;vpid=2977691&amp;ct=offers" TargetMode="External"/><Relationship Id="rId59" Type="http://schemas.openxmlformats.org/officeDocument/2006/relationships/hyperlink" Target="https://octopart.com/click/track?c=1&amp;ai=8078&amp;sig=0d07fa4&amp;sid=10022&amp;ppid=700692&amp;vpid=199086310&amp;ct=offers" TargetMode="External"/><Relationship Id="rId60" Type="http://schemas.openxmlformats.org/officeDocument/2006/relationships/hyperlink" Target="https://octopart.com/click/track?ai=8078&amp;sig=034a10e&amp;sid=1532&amp;ppid=700692&amp;vpid=709121646&amp;ct=offers" TargetMode="External"/><Relationship Id="rId61" Type="http://schemas.openxmlformats.org/officeDocument/2006/relationships/hyperlink" Target="https://octopart.com/click/track?ai=8078&amp;sig=038f86c&amp;sid=1106&amp;ppid=709429&amp;vpid=473363759&amp;ct=offers" TargetMode="External"/><Relationship Id="rId62" Type="http://schemas.openxmlformats.org/officeDocument/2006/relationships/hyperlink" Target="https://octopart.com/click/track?ai=8078&amp;sig=0e45b77&amp;sid=459&amp;ppid=709429&amp;vpid=34059466&amp;ct=offers" TargetMode="External"/><Relationship Id="rId63" Type="http://schemas.openxmlformats.org/officeDocument/2006/relationships/hyperlink" Target="https://octopart.com/click/track?ai=8078&amp;sig=0c13577&amp;sid=819&amp;ppid=709429&amp;vpid=255436237&amp;ct=offers" TargetMode="External"/><Relationship Id="rId64" Type="http://schemas.openxmlformats.org/officeDocument/2006/relationships/hyperlink" Target="https://octopart.com/click/track?ai=8078&amp;sig=0ff7a5d&amp;sid=27971&amp;ppid=709429&amp;vpid=476992952&amp;ct=offers" TargetMode="External"/><Relationship Id="rId65" Type="http://schemas.openxmlformats.org/officeDocument/2006/relationships/hyperlink" Target="https://octopart.com/click/track?ai=8078&amp;sig=0fa966a&amp;sid=2401&amp;ppid=709429&amp;vpid=37598335&amp;ct=offers" TargetMode="External"/><Relationship Id="rId66" Type="http://schemas.openxmlformats.org/officeDocument/2006/relationships/hyperlink" Target="https://octopart.com/click/track?ai=8078&amp;sig=02dbe19&amp;sid=2402&amp;ppid=709429&amp;vpid=271850561&amp;ct=offers" TargetMode="External"/><Relationship Id="rId67" Type="http://schemas.openxmlformats.org/officeDocument/2006/relationships/hyperlink" Target="https://octopart.com/click/track?c=1&amp;ai=8078&amp;sig=0062a5b&amp;sid=10022&amp;ppid=709429&amp;vpid=437535841&amp;ct=offers" TargetMode="External"/><Relationship Id="rId68" Type="http://schemas.openxmlformats.org/officeDocument/2006/relationships/hyperlink" Target="https://octopart.com/click/track?ai=8078&amp;sig=0297028&amp;sid=1532&amp;ppid=709429&amp;vpid=709118471&amp;ct=offers" TargetMode="External"/><Relationship Id="rId69" Type="http://schemas.openxmlformats.org/officeDocument/2006/relationships/hyperlink" Target="https://octopart.com/click/track?ai=8078&amp;sig=038f86c&amp;sid=1106&amp;ppid=709429&amp;vpid=473363759&amp;ct=offers" TargetMode="External"/><Relationship Id="rId70" Type="http://schemas.openxmlformats.org/officeDocument/2006/relationships/hyperlink" Target="https://octopart.com/click/track?ai=8078&amp;sig=0e45b77&amp;sid=459&amp;ppid=709429&amp;vpid=34059466&amp;ct=offers" TargetMode="External"/><Relationship Id="rId71" Type="http://schemas.openxmlformats.org/officeDocument/2006/relationships/hyperlink" Target="https://octopart.com/click/track?ai=8078&amp;sig=0c13577&amp;sid=819&amp;ppid=709429&amp;vpid=255436237&amp;ct=offers" TargetMode="External"/><Relationship Id="rId72" Type="http://schemas.openxmlformats.org/officeDocument/2006/relationships/hyperlink" Target="https://octopart.com/click/track?ai=8078&amp;sig=0ff7a5d&amp;sid=27971&amp;ppid=709429&amp;vpid=476992952&amp;ct=offers" TargetMode="External"/><Relationship Id="rId73" Type="http://schemas.openxmlformats.org/officeDocument/2006/relationships/hyperlink" Target="https://octopart.com/click/track?ai=8078&amp;sig=0fa966a&amp;sid=2401&amp;ppid=709429&amp;vpid=37598335&amp;ct=offers" TargetMode="External"/><Relationship Id="rId74" Type="http://schemas.openxmlformats.org/officeDocument/2006/relationships/hyperlink" Target="https://octopart.com/click/track?ai=8078&amp;sig=02dbe19&amp;sid=2402&amp;ppid=709429&amp;vpid=271850561&amp;ct=offers" TargetMode="External"/><Relationship Id="rId75" Type="http://schemas.openxmlformats.org/officeDocument/2006/relationships/hyperlink" Target="https://octopart.com/click/track?c=1&amp;ai=8078&amp;sig=0062a5b&amp;sid=10022&amp;ppid=709429&amp;vpid=437535841&amp;ct=offers" TargetMode="External"/><Relationship Id="rId76" Type="http://schemas.openxmlformats.org/officeDocument/2006/relationships/hyperlink" Target="https://octopart.com/click/track?ai=8078&amp;sig=0297028&amp;sid=1532&amp;ppid=709429&amp;vpid=709118471&amp;ct=offers" TargetMode="External"/><Relationship Id="rId77" Type="http://schemas.openxmlformats.org/officeDocument/2006/relationships/hyperlink" Target="https://www.mouser.fr/datasheet/2/3/ABNTC-0805-253593.pdf" TargetMode="External"/><Relationship Id="rId78" Type="http://schemas.openxmlformats.org/officeDocument/2006/relationships/hyperlink" Target="https://octopart.com/click/track?c=1&amp;ai=8078&amp;sig=0d1f3fb&amp;sid=459&amp;ppid=29811146&amp;vpid=194407652&amp;ct=offers" TargetMode="External"/><Relationship Id="rId79" Type="http://schemas.openxmlformats.org/officeDocument/2006/relationships/hyperlink" Target="https://octopart.com/click/track?ai=8078&amp;sig=090dfaa&amp;sid=2401&amp;ppid=29811146&amp;vpid=430900897&amp;ct=offers" TargetMode="External"/><Relationship Id="rId80" Type="http://schemas.openxmlformats.org/officeDocument/2006/relationships/hyperlink" Target="https://octopart.com/click/track?c=1&amp;ai=8078&amp;sig=0b85f5f&amp;sid=2402&amp;ppid=29811146&amp;vpid=95831388&amp;ct=offers" TargetMode="External"/><Relationship Id="rId81" Type="http://schemas.openxmlformats.org/officeDocument/2006/relationships/hyperlink" Target="https://www.mouser.fr/datasheet/2/408/TK13P25D_datasheet_en_20140106-1649876.pdf" TargetMode="External"/><Relationship Id="rId82" Type="http://schemas.openxmlformats.org/officeDocument/2006/relationships/hyperlink" Target="https://www.mouser.fr/datasheet/2/408/TK13P25D_datasheet_en_20140106-1649876.pdf" TargetMode="External"/><Relationship Id="rId83" Type="http://schemas.openxmlformats.org/officeDocument/2006/relationships/hyperlink" Target="https://octopart.com/click/track?ai=8078&amp;sig=0782fd9&amp;sid=459&amp;ppid=29236867&amp;vpid=76922610&amp;ct=offers" TargetMode="External"/><Relationship Id="rId84" Type="http://schemas.openxmlformats.org/officeDocument/2006/relationships/hyperlink" Target="https://octopart.com/click/track?ai=8078&amp;sig=0dab3f0&amp;sid=819&amp;ppid=29236867&amp;vpid=521278501&amp;ct=offers" TargetMode="External"/><Relationship Id="rId85" Type="http://schemas.openxmlformats.org/officeDocument/2006/relationships/hyperlink" Target="https://octopart.com/click/track?ai=8078&amp;sig=06582ee&amp;sid=2401&amp;ppid=29236867&amp;vpid=447856352&amp;ct=offers" TargetMode="External"/><Relationship Id="rId86" Type="http://schemas.openxmlformats.org/officeDocument/2006/relationships/hyperlink" Target="https://octopart.com/click/track?ai=8078&amp;sig=02426fc&amp;sid=2402&amp;ppid=29236867&amp;vpid=509970016&amp;ct=offers" TargetMode="External"/><Relationship Id="rId87" Type="http://schemas.openxmlformats.org/officeDocument/2006/relationships/hyperlink" Target="https://octopart.com/click/track?c=1&amp;ai=8078&amp;sig=0b4118a&amp;sid=459&amp;ppid=19170044&amp;vpid=34225415&amp;ct=offers" TargetMode="External"/><Relationship Id="rId88" Type="http://schemas.openxmlformats.org/officeDocument/2006/relationships/hyperlink" Target="https://octopart.com/click/track?ai=8078&amp;sig=0a01465&amp;sid=2401&amp;ppid=19170044&amp;vpid=465335302&amp;ct=offers" TargetMode="External"/><Relationship Id="rId89" Type="http://schemas.openxmlformats.org/officeDocument/2006/relationships/hyperlink" Target="https://octopart.com/click/track?c=1&amp;ai=8078&amp;sig=0537185&amp;sid=459&amp;ppid=6075373&amp;vpid=63620518&amp;ct=offers" TargetMode="External"/><Relationship Id="rId90" Type="http://schemas.openxmlformats.org/officeDocument/2006/relationships/hyperlink" Target="https://octopart.com/click/track?ai=8078&amp;sig=0704b8e&amp;sid=2401&amp;ppid=6075373&amp;vpid=99580320&amp;ct=offers" TargetMode="External"/><Relationship Id="rId91" Type="http://schemas.openxmlformats.org/officeDocument/2006/relationships/hyperlink" Target="https://octopart.com/click/track?c=1&amp;ai=8078&amp;sig=0a04ef9&amp;sid=2402&amp;ppid=6075373&amp;vpid=518541576&amp;ct=offers" TargetMode="External"/><Relationship Id="rId92" Type="http://schemas.openxmlformats.org/officeDocument/2006/relationships/hyperlink" Target="https://octopart.com/click/track?ai=8078&amp;sig=01aeefa&amp;sid=1106&amp;ppid=47616104&amp;vpid=473551910&amp;ct=offers" TargetMode="External"/><Relationship Id="rId93" Type="http://schemas.openxmlformats.org/officeDocument/2006/relationships/hyperlink" Target="https://octopart.com/click/track?c=1&amp;ai=8078&amp;sig=0e8cd12&amp;sid=459&amp;ppid=47616104&amp;vpid=131496801&amp;ct=offers" TargetMode="External"/><Relationship Id="rId94" Type="http://schemas.openxmlformats.org/officeDocument/2006/relationships/hyperlink" Target="https://octopart.com/click/track?ai=8078&amp;sig=00ebd60&amp;sid=2401&amp;ppid=47616104&amp;vpid=474033905&amp;ct=offers" TargetMode="External"/><Relationship Id="rId95" Type="http://schemas.openxmlformats.org/officeDocument/2006/relationships/hyperlink" Target="https://octopart.com/click/track?c=1&amp;ai=8078&amp;sig=0537185&amp;sid=459&amp;ppid=6075373&amp;vpid=63620518&amp;ct=offers" TargetMode="External"/><Relationship Id="rId96" Type="http://schemas.openxmlformats.org/officeDocument/2006/relationships/hyperlink" Target="https://octopart.com/click/track?ai=8078&amp;sig=0704b8e&amp;sid=2401&amp;ppid=6075373&amp;vpid=99580320&amp;ct=offers" TargetMode="External"/><Relationship Id="rId97" Type="http://schemas.openxmlformats.org/officeDocument/2006/relationships/hyperlink" Target="https://octopart.com/click/track?c=1&amp;ai=8078&amp;sig=0a04ef9&amp;sid=2402&amp;ppid=6075373&amp;vpid=518541576&amp;ct=offers" TargetMode="External"/><Relationship Id="rId98" Type="http://schemas.openxmlformats.org/officeDocument/2006/relationships/hyperlink" Target="https://www.vishay.com/docs/20019/rcwe.pdf" TargetMode="External"/><Relationship Id="rId99" Type="http://schemas.openxmlformats.org/officeDocument/2006/relationships/hyperlink" Target="https://octopart.com/click/track?ai=8078&amp;sig=02fe887&amp;sid=1106&amp;ppid=44349166&amp;vpid=473534196&amp;ct=offers" TargetMode="External"/><Relationship Id="rId100" Type="http://schemas.openxmlformats.org/officeDocument/2006/relationships/hyperlink" Target="https://octopart.com/click/track?ai=8078&amp;sig=02c04b0&amp;sid=459&amp;ppid=44349166&amp;vpid=115679007&amp;ct=offers" TargetMode="External"/><Relationship Id="rId101" Type="http://schemas.openxmlformats.org/officeDocument/2006/relationships/hyperlink" Target="https://octopart.com/click/track?ai=8078&amp;sig=0f94c69&amp;sid=819&amp;ppid=44349166&amp;vpid=751268921&amp;ct=offers" TargetMode="External"/><Relationship Id="rId102" Type="http://schemas.openxmlformats.org/officeDocument/2006/relationships/hyperlink" Target="https://octopart.com/click/track?ai=8078&amp;sig=0dc2e7b&amp;sid=2401&amp;ppid=44349166&amp;vpid=117597675&amp;ct=offers" TargetMode="External"/><Relationship Id="rId103" Type="http://schemas.openxmlformats.org/officeDocument/2006/relationships/hyperlink" Target="https://octopart.com/click/track?ai=8078&amp;sig=0c66e4e&amp;sid=2402&amp;ppid=44349166&amp;vpid=671740672&amp;ct=offers" TargetMode="External"/><Relationship Id="rId104" Type="http://schemas.openxmlformats.org/officeDocument/2006/relationships/hyperlink" Target="https://octopart.com/click/track?ai=8078&amp;sig=0a345cd&amp;sid=1106&amp;ppid=1180832&amp;vpid=473551161&amp;ct=offers" TargetMode="External"/><Relationship Id="rId105" Type="http://schemas.openxmlformats.org/officeDocument/2006/relationships/hyperlink" Target="https://octopart.com/click/track?ai=8078&amp;sig=032b5f7&amp;sid=459&amp;ppid=1180832&amp;vpid=1749369&amp;ct=offers" TargetMode="External"/><Relationship Id="rId106" Type="http://schemas.openxmlformats.org/officeDocument/2006/relationships/hyperlink" Target="https://octopart.com/click/track?ai=8078&amp;sig=0a9328e&amp;sid=819&amp;ppid=1180832&amp;vpid=653863687&amp;ct=offers" TargetMode="External"/><Relationship Id="rId107" Type="http://schemas.openxmlformats.org/officeDocument/2006/relationships/hyperlink" Target="https://octopart.com/click/track?ai=8078&amp;sig=0efb0e9&amp;sid=2401&amp;ppid=1180832&amp;vpid=56304300&amp;ct=offers" TargetMode="External"/><Relationship Id="rId108" Type="http://schemas.openxmlformats.org/officeDocument/2006/relationships/hyperlink" Target="https://octopart.com/click/track?ai=8078&amp;sig=09af2c5&amp;sid=2402&amp;ppid=1180832&amp;vpid=655850498&amp;ct=offers" TargetMode="External"/><Relationship Id="rId109" Type="http://schemas.openxmlformats.org/officeDocument/2006/relationships/hyperlink" Target="https://octopart.com/click/track?ai=8078&amp;sig=00e9036&amp;sid=1532&amp;ppid=1180832&amp;vpid=709258348&amp;ct=offers" TargetMode="External"/><Relationship Id="rId110" Type="http://schemas.openxmlformats.org/officeDocument/2006/relationships/hyperlink" Target="https://octopart.com/click/track?ai=8078&amp;sig=0c026f5&amp;sid=1106&amp;ppid=10484700&amp;vpid=473160273&amp;ct=offers" TargetMode="External"/><Relationship Id="rId111" Type="http://schemas.openxmlformats.org/officeDocument/2006/relationships/hyperlink" Target="https://octopart.com/click/track?ai=8078&amp;sig=099df1e&amp;sid=459&amp;ppid=10484700&amp;vpid=61158602&amp;ct=offers" TargetMode="External"/><Relationship Id="rId112" Type="http://schemas.openxmlformats.org/officeDocument/2006/relationships/hyperlink" Target="https://octopart.com/click/track?ai=8078&amp;sig=0084ca8&amp;sid=819&amp;ppid=10484700&amp;vpid=138672063&amp;ct=offers" TargetMode="External"/><Relationship Id="rId113" Type="http://schemas.openxmlformats.org/officeDocument/2006/relationships/hyperlink" Target="https://octopart.com/click/track?ai=8078&amp;sig=09f5997&amp;sid=2401&amp;ppid=10484700&amp;vpid=37741697&amp;ct=offers" TargetMode="External"/><Relationship Id="rId114" Type="http://schemas.openxmlformats.org/officeDocument/2006/relationships/hyperlink" Target="https://octopart.com/click/track?ai=8078&amp;sig=0f9fbcb&amp;sid=2402&amp;ppid=10484700&amp;vpid=250198205&amp;ct=offers" TargetMode="External"/><Relationship Id="rId115" Type="http://schemas.openxmlformats.org/officeDocument/2006/relationships/hyperlink" Target="https://octopart.com/click/track?ai=8078&amp;sig=00c13b9&amp;sid=10022&amp;ppid=10484700&amp;vpid=198997719&amp;ct=offers" TargetMode="External"/><Relationship Id="rId116" Type="http://schemas.openxmlformats.org/officeDocument/2006/relationships/hyperlink" Target="https://octopart.com/click/track?ai=8078&amp;sig=0221b64&amp;sid=1106&amp;ppid=23798538&amp;vpid=480974327&amp;ct=offers" TargetMode="External"/><Relationship Id="rId117" Type="http://schemas.openxmlformats.org/officeDocument/2006/relationships/hyperlink" Target="https://octopart.com/click/track?ai=8078&amp;sig=013f719&amp;sid=459&amp;ppid=23798538&amp;vpid=454353720&amp;ct=offers" TargetMode="External"/><Relationship Id="rId118" Type="http://schemas.openxmlformats.org/officeDocument/2006/relationships/hyperlink" Target="https://octopart.com/click/track?ai=8078&amp;sig=00f8257&amp;sid=2401&amp;ppid=23798538&amp;vpid=458953946&amp;ct=offers" TargetMode="External"/><Relationship Id="rId119" Type="http://schemas.openxmlformats.org/officeDocument/2006/relationships/hyperlink" Target="https://octopart.com/click/track?c=1&amp;ai=8078&amp;sig=0bf89aa&amp;sid=2402&amp;ppid=23798538&amp;vpid=634340864&amp;ct=offers" TargetMode="External"/><Relationship Id="rId120" Type="http://schemas.openxmlformats.org/officeDocument/2006/relationships/hyperlink" Target="https://octopart.com/click/track?ai=8078&amp;sig=04292f8&amp;sid=459&amp;ppid=39854820&amp;vpid=114978957&amp;ct=offers" TargetMode="External"/><Relationship Id="rId121" Type="http://schemas.openxmlformats.org/officeDocument/2006/relationships/hyperlink" Target="https://octopart.com/click/track?ai=8078&amp;sig=06e7e1d&amp;sid=11744&amp;ppid=39854820&amp;vpid=249315642&amp;ct=offers" TargetMode="External"/><Relationship Id="rId122" Type="http://schemas.openxmlformats.org/officeDocument/2006/relationships/hyperlink" Target="https://octopart.com/click/track?ai=8078&amp;sig=05a8f9c&amp;sid=2401&amp;ppid=39854820&amp;vpid=115160585&amp;ct=offers" TargetMode="External"/><Relationship Id="rId123" Type="http://schemas.openxmlformats.org/officeDocument/2006/relationships/hyperlink" Target="https://octopart.com/click/track?ai=8078&amp;sig=0e72440&amp;sid=2402&amp;ppid=39854820&amp;vpid=115416899&amp;ct=offers" TargetMode="External"/><Relationship Id="rId124" Type="http://schemas.openxmlformats.org/officeDocument/2006/relationships/hyperlink" Target="https://octopart.com/click/track?ai=8078&amp;sig=0fe4351&amp;sid=2401&amp;ppid=57087488&amp;vpid=193859280&amp;ct=offers" TargetMode="External"/><Relationship Id="rId125" Type="http://schemas.openxmlformats.org/officeDocument/2006/relationships/hyperlink" Target="https://productfinder.pulseelectronics.com/api/open/product-attachments/datasheet/pa2467nlt" TargetMode="External"/><Relationship Id="rId126" Type="http://schemas.openxmlformats.org/officeDocument/2006/relationships/hyperlink" Target="https://octopart.com/click/track?ai=8078&amp;sig=03cddbf&amp;sid=1106&amp;ppid=18290109&amp;vpid=473412033&amp;ct=offers" TargetMode="External"/><Relationship Id="rId127" Type="http://schemas.openxmlformats.org/officeDocument/2006/relationships/hyperlink" Target="https://octopart.com/click/track?c=1&amp;ai=8078&amp;sig=0015381&amp;sid=459&amp;ppid=18290109&amp;vpid=253365440&amp;ct=offers" TargetMode="External"/><Relationship Id="rId128" Type="http://schemas.openxmlformats.org/officeDocument/2006/relationships/hyperlink" Target="https://octopart.com/click/track?ai=8078&amp;sig=0bea9f7&amp;sid=2401&amp;ppid=18290109&amp;vpid=275699093&amp;ct=offers" TargetMode="External"/><Relationship Id="rId129" Type="http://schemas.openxmlformats.org/officeDocument/2006/relationships/hyperlink" Target="https://www.onsemi.com/pdf/datasheet/ncp12700-d.pdf" TargetMode="External"/><Relationship Id="rId130" Type="http://schemas.openxmlformats.org/officeDocument/2006/relationships/hyperlink" Target="https://octopart.com/click/track?ai=8078&amp;sig=0ba64aa&amp;sid=1106&amp;ppid=89706344&amp;vpid=707207381&amp;ct=offers" TargetMode="External"/><Relationship Id="rId131" Type="http://schemas.openxmlformats.org/officeDocument/2006/relationships/hyperlink" Target="https://octopart.com/click/track?c=1&amp;ai=8078&amp;sig=009cb1c&amp;sid=459&amp;ppid=89706344&amp;vpid=763727272&amp;ct=offers" TargetMode="External"/><Relationship Id="rId132" Type="http://schemas.openxmlformats.org/officeDocument/2006/relationships/hyperlink" Target="https://octopart.com/click/track?ai=8078&amp;sig=0a2215c&amp;sid=819&amp;ppid=89706344&amp;vpid=492584107&amp;ct=offers" TargetMode="External"/><Relationship Id="rId133" Type="http://schemas.openxmlformats.org/officeDocument/2006/relationships/hyperlink" Target="https://octopart.com/click/track?ai=8078&amp;sig=0eba9ca&amp;sid=2401&amp;ppid=89706344&amp;vpid=481500564&amp;ct=offers" TargetMode="External"/><Relationship Id="rId134" Type="http://schemas.openxmlformats.org/officeDocument/2006/relationships/hyperlink" Target="https://octopart.com/click/track?ai=8078&amp;sig=01dd9ed&amp;sid=2402&amp;ppid=89706344&amp;vpid=492708771&amp;ct=offers" TargetMode="External"/><Relationship Id="rId135" Type="http://schemas.openxmlformats.org/officeDocument/2006/relationships/hyperlink" Target="https://www.mouser.fr/datasheet/2/308/1/HMHA2801B_D-2314371.pdf" TargetMode="External"/><Relationship Id="rId136" Type="http://schemas.openxmlformats.org/officeDocument/2006/relationships/hyperlink" Target="https://octopart.com/click/track?c=1&amp;ai=8078&amp;sig=078b50c&amp;sid=459&amp;ppid=84329105&amp;vpid=452468346&amp;ct=offers" TargetMode="External"/><Relationship Id="rId137" Type="http://schemas.openxmlformats.org/officeDocument/2006/relationships/hyperlink" Target="https://octopart.com/click/track?ai=8078&amp;sig=0a90ccc&amp;sid=819&amp;ppid=84329105&amp;vpid=440254787&amp;ct=offers" TargetMode="External"/><Relationship Id="rId138" Type="http://schemas.openxmlformats.org/officeDocument/2006/relationships/hyperlink" Target="https://octopart.com/click/track?ai=8078&amp;sig=01f73a8&amp;sid=2401&amp;ppid=84329105&amp;vpid=438584723&amp;ct=offers" TargetMode="External"/><Relationship Id="rId139" Type="http://schemas.openxmlformats.org/officeDocument/2006/relationships/hyperlink" Target="https://octopart.com/click/track?ai=8078&amp;sig=0d5bd16&amp;sid=2402&amp;ppid=84329105&amp;vpid=439870991&amp;ct=offers" TargetMode="External"/><Relationship Id="rId140" Type="http://schemas.openxmlformats.org/officeDocument/2006/relationships/hyperlink" Target="https://octopart.com/click/track?ai=8078&amp;sig=0462abe&amp;sid=1532&amp;ppid=84329105&amp;vpid=763734031&amp;ct=offers" TargetMode="External"/><Relationship Id="rId141" Type="http://schemas.openxmlformats.org/officeDocument/2006/relationships/hyperlink" Target="https://www.mouser.fr/datasheet/2/916/TL431_FAM-1600378.pdf" TargetMode="External"/><Relationship Id="rId142" Type="http://schemas.openxmlformats.org/officeDocument/2006/relationships/hyperlink" Target="https://octopart.com/click/track?c=1&amp;ai=8078&amp;sig=0b0ff44&amp;sid=819&amp;ppid=79112777&amp;vpid=414866965&amp;ct=offers" TargetMode="External"/><Relationship Id="rId143" Type="http://schemas.openxmlformats.org/officeDocument/2006/relationships/hyperlink" Target="https://www.mouser.fr/datasheet/2/916/TL431_FAM-1600378.pdf" TargetMode="External"/><Relationship Id="rId144" Type="http://schemas.openxmlformats.org/officeDocument/2006/relationships/hyperlink" Target="https://octopart.com/click/track?ai=8078&amp;sig=0797dd1&amp;sid=459&amp;ppid=89173600&amp;vpid=462080608&amp;ct=offers" TargetMode="External"/><Relationship Id="rId145" Type="http://schemas.openxmlformats.org/officeDocument/2006/relationships/hyperlink" Target="https://octopart.com/click/track?ai=8078&amp;sig=004342a&amp;sid=819&amp;ppid=89173600&amp;vpid=490808707&amp;ct=offers" TargetMode="External"/><Relationship Id="rId146" Type="http://schemas.openxmlformats.org/officeDocument/2006/relationships/hyperlink" Target="https://octopart.com/click/track?ai=8078&amp;sig=0daa01e&amp;sid=2402&amp;ppid=89173600&amp;vpid=492148436&amp;ct=offers" TargetMode="External"/><Relationship Id="rId147" Type="http://schemas.openxmlformats.org/officeDocument/2006/relationships/hyperlink" Target="https://www.arrow.com/en/bom-tool/" TargetMode="External"/><Relationship Id="rId148" Type="http://schemas.openxmlformats.org/officeDocument/2006/relationships/hyperlink" Target="https://www.digikey.com/ordering/shoppingcart" TargetMode="External"/><Relationship Id="rId149" Type="http://schemas.openxmlformats.org/officeDocument/2006/relationships/hyperlink" Target="https://fr.farnell.com/en-FR/quick-order?isQuickPaste=true" TargetMode="External"/><Relationship Id="rId150" Type="http://schemas.openxmlformats.org/officeDocument/2006/relationships/hyperlink" Target="https://lcsc.com/bom.html" TargetMode="External"/><Relationship Id="rId151" Type="http://schemas.openxmlformats.org/officeDocument/2006/relationships/hyperlink" Target="https://mouser.com/bom/" TargetMode="External"/><Relationship Id="rId152" Type="http://schemas.openxmlformats.org/officeDocument/2006/relationships/hyperlink" Target="https://www.newark.com/quick-order?isQuickPaste=true" TargetMode="External"/><Relationship Id="rId153" Type="http://schemas.openxmlformats.org/officeDocument/2006/relationships/hyperlink" Target="https://uk.rs-online.com/web/mylists/manualQuotes.html?method=showEnquiryCreationPage&amp;mode=new" TargetMode="External"/><Relationship Id="rId154" Type="http://schemas.openxmlformats.org/officeDocument/2006/relationships/hyperlink" Target="https://www.tme.eu/en/Profile/QuickBuy/load.html" TargetMode="External"/><Relationship Id="rId155" Type="http://schemas.openxmlformats.org/officeDocument/2006/relationships/vmlDrawing" Target="../drawings/vmlDrawing1.vml"/><Relationship Id="rId156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21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/>
    </sheetView>
  </sheetViews>
  <sheetFormatPr defaultRowHeight="15" outlineLevelCol="2"/>
  <cols>
    <col min="1" max="1" width="33.7109375" customWidth="1"/>
    <col min="2" max="2" width="21.7109375" customWidth="1"/>
    <col min="3" max="3" width="33.7109375" customWidth="1" outlineLevel="2"/>
    <col min="4" max="4" width="24.7109375" customWidth="1" outlineLevel="1"/>
    <col min="5" max="5" width="9.140625" outlineLevel="1"/>
    <col min="6" max="6" width="22.7109375" customWidth="1"/>
    <col min="7" max="7" width="16.7109375" customWidth="1"/>
    <col min="8" max="8" width="9.7109375" customWidth="1" outlineLevel="1"/>
    <col min="9" max="9" width="9.140625" outlineLevel="2"/>
    <col min="10" max="10" width="10.7109375" customWidth="1" outlineLevel="2"/>
    <col min="11" max="11" width="16.7109375" customWidth="1"/>
    <col min="12" max="12" width="21.7109375" customWidth="1" outlineLevel="2"/>
    <col min="13" max="13" width="9.7109375" customWidth="1" outlineLevel="1"/>
    <col min="14" max="14" width="9.140625" outlineLevel="2"/>
    <col min="15" max="15" width="10.7109375" customWidth="1" outlineLevel="2"/>
    <col min="16" max="16" width="16.7109375" customWidth="1"/>
    <col min="17" max="17" width="25.7109375" customWidth="1" outlineLevel="2"/>
    <col min="18" max="18" width="9.7109375" customWidth="1" outlineLevel="1"/>
    <col min="19" max="19" width="9.140625" outlineLevel="2"/>
    <col min="20" max="20" width="10.7109375" customWidth="1" outlineLevel="2"/>
    <col min="21" max="21" width="16.7109375" customWidth="1"/>
    <col min="22" max="22" width="16.7109375" customWidth="1" outlineLevel="2"/>
    <col min="23" max="23" width="9.7109375" customWidth="1" outlineLevel="1"/>
    <col min="24" max="24" width="9.140625" outlineLevel="2"/>
    <col min="25" max="25" width="10.7109375" customWidth="1" outlineLevel="2"/>
    <col min="26" max="26" width="16.7109375" customWidth="1"/>
    <col min="27" max="27" width="16.7109375" customWidth="1" outlineLevel="2"/>
    <col min="28" max="28" width="9.7109375" customWidth="1" outlineLevel="1"/>
    <col min="29" max="29" width="9.140625" outlineLevel="2"/>
    <col min="30" max="30" width="10.7109375" customWidth="1" outlineLevel="2"/>
    <col min="31" max="31" width="16.7109375" customWidth="1"/>
    <col min="32" max="32" width="20.7109375" customWidth="1" outlineLevel="2"/>
    <col min="33" max="33" width="9.7109375" customWidth="1" outlineLevel="1"/>
    <col min="34" max="34" width="9.140625" outlineLevel="2"/>
    <col min="35" max="35" width="10.7109375" customWidth="1" outlineLevel="2"/>
    <col min="36" max="36" width="16.7109375" customWidth="1"/>
    <col min="37" max="37" width="16.7109375" customWidth="1" outlineLevel="2"/>
    <col min="38" max="38" width="9.7109375" customWidth="1" outlineLevel="1"/>
    <col min="39" max="39" width="9.140625" outlineLevel="2"/>
    <col min="40" max="40" width="10.7109375" customWidth="1" outlineLevel="2"/>
    <col min="41" max="41" width="16.7109375" customWidth="1"/>
    <col min="42" max="42" width="16.7109375" customWidth="1" outlineLevel="2"/>
    <col min="43" max="43" width="9.7109375" customWidth="1" outlineLevel="1"/>
    <col min="44" max="44" width="9.140625" outlineLevel="2"/>
    <col min="45" max="45" width="10.7109375" customWidth="1" outlineLevel="2"/>
    <col min="46" max="46" width="16.7109375" customWidth="1"/>
    <col min="47" max="47" width="16.7109375" customWidth="1" outlineLevel="2"/>
  </cols>
  <sheetData>
    <row r="1" spans="1:47">
      <c r="A1" s="1" t="s">
        <v>130</v>
      </c>
      <c r="B1" s="2" t="s">
        <v>131</v>
      </c>
      <c r="F1" s="3" t="s">
        <v>135</v>
      </c>
      <c r="G1" s="3">
        <v>100</v>
      </c>
    </row>
    <row r="2" spans="1:47">
      <c r="A2" s="1" t="s">
        <v>132</v>
      </c>
      <c r="B2" s="2"/>
      <c r="F2" s="1" t="s">
        <v>137</v>
      </c>
      <c r="G2" s="4">
        <f>TotalCost/BoardQty</f>
        <v>0</v>
      </c>
    </row>
    <row r="3" spans="1:47">
      <c r="A3" s="1" t="s">
        <v>133</v>
      </c>
      <c r="B3" s="2" t="s">
        <v>134</v>
      </c>
      <c r="F3" s="1" t="s">
        <v>136</v>
      </c>
      <c r="G3" s="5">
        <f>SUM(G7:G43)</f>
        <v>0</v>
      </c>
      <c r="K3" s="5">
        <f>SUM(K7:K43)</f>
        <v>0</v>
      </c>
      <c r="L3" s="6">
        <f>(COUNTA(K7:K43)&amp;" of "&amp;ROWS(K7:K43)&amp;" parts found")</f>
        <v>0</v>
      </c>
      <c r="P3" s="5">
        <f>SUM(P7:P43)</f>
        <v>0</v>
      </c>
      <c r="Q3" s="6">
        <f>(COUNTA(P7:P43)&amp;" of "&amp;ROWS(P7:P43)&amp;" parts found")</f>
        <v>0</v>
      </c>
      <c r="U3" s="5">
        <f>SUM(U7:U43)</f>
        <v>0</v>
      </c>
      <c r="V3" s="6">
        <f>(COUNTA(U7:U43)&amp;" of "&amp;ROWS(U7:U43)&amp;" parts found")</f>
        <v>0</v>
      </c>
      <c r="Z3" s="5">
        <f>SUM(Z7:Z43)</f>
        <v>0</v>
      </c>
      <c r="AA3" s="6">
        <f>(COUNTA(Z7:Z43)&amp;" of "&amp;ROWS(Z7:Z43)&amp;" parts found")</f>
        <v>0</v>
      </c>
      <c r="AE3" s="5">
        <f>SUM(AE7:AE43)</f>
        <v>0</v>
      </c>
      <c r="AF3" s="6">
        <f>(COUNTA(AE7:AE43)&amp;" of "&amp;ROWS(AE7:AE43)&amp;" parts found")</f>
        <v>0</v>
      </c>
      <c r="AJ3" s="5">
        <f>SUM(AJ7:AJ43)</f>
        <v>0</v>
      </c>
      <c r="AK3" s="6">
        <f>(COUNTA(AJ7:AJ43)&amp;" of "&amp;ROWS(AJ7:AJ43)&amp;" parts found")</f>
        <v>0</v>
      </c>
      <c r="AO3" s="5">
        <f>SUM(AO7:AO43)</f>
        <v>0</v>
      </c>
      <c r="AP3" s="6">
        <f>(COUNTA(AO7:AO43)&amp;" of "&amp;ROWS(AO7:AO43)&amp;" parts found")</f>
        <v>0</v>
      </c>
      <c r="AT3" s="5">
        <f>SUM(AT7:AT43)</f>
        <v>0</v>
      </c>
      <c r="AU3" s="6">
        <f>(COUNTA(AT7:AT43)&amp;" of "&amp;ROWS(AT7:AT43)&amp;" parts found")</f>
        <v>0</v>
      </c>
    </row>
    <row r="4" spans="1:47">
      <c r="A4" s="1" t="s">
        <v>138</v>
      </c>
      <c r="B4" s="2" t="s">
        <v>139</v>
      </c>
    </row>
    <row r="5" spans="1:47">
      <c r="A5" s="7" t="s">
        <v>0</v>
      </c>
      <c r="B5" s="7"/>
      <c r="C5" s="7"/>
      <c r="D5" s="7"/>
      <c r="E5" s="7"/>
      <c r="F5" s="7"/>
      <c r="G5" s="7"/>
      <c r="H5" s="8" t="s">
        <v>140</v>
      </c>
      <c r="I5" s="8"/>
      <c r="J5" s="8"/>
      <c r="K5" s="8"/>
      <c r="L5" s="8"/>
      <c r="M5" s="9" t="s">
        <v>148</v>
      </c>
      <c r="N5" s="9"/>
      <c r="O5" s="9"/>
      <c r="P5" s="9"/>
      <c r="Q5" s="9"/>
      <c r="R5" s="10" t="s">
        <v>178</v>
      </c>
      <c r="S5" s="10"/>
      <c r="T5" s="10"/>
      <c r="U5" s="10"/>
      <c r="V5" s="10"/>
      <c r="W5" s="11" t="s">
        <v>195</v>
      </c>
      <c r="X5" s="11"/>
      <c r="Y5" s="11"/>
      <c r="Z5" s="11"/>
      <c r="AA5" s="11"/>
      <c r="AB5" s="12" t="s">
        <v>200</v>
      </c>
      <c r="AC5" s="12"/>
      <c r="AD5" s="12"/>
      <c r="AE5" s="12"/>
      <c r="AF5" s="12"/>
      <c r="AG5" s="13" t="s">
        <v>229</v>
      </c>
      <c r="AH5" s="13"/>
      <c r="AI5" s="13"/>
      <c r="AJ5" s="13"/>
      <c r="AK5" s="13"/>
      <c r="AL5" s="14" t="s">
        <v>252</v>
      </c>
      <c r="AM5" s="14"/>
      <c r="AN5" s="14"/>
      <c r="AO5" s="14"/>
      <c r="AP5" s="14"/>
      <c r="AQ5" s="15" t="s">
        <v>258</v>
      </c>
      <c r="AR5" s="15"/>
      <c r="AS5" s="15"/>
      <c r="AT5" s="15"/>
      <c r="AU5" s="15"/>
    </row>
    <row r="6" spans="1:47">
      <c r="A6" s="16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6" t="s">
        <v>6</v>
      </c>
      <c r="G6" s="16" t="s">
        <v>7</v>
      </c>
      <c r="H6" s="16" t="s">
        <v>141</v>
      </c>
      <c r="I6" s="16" t="s">
        <v>142</v>
      </c>
      <c r="J6" s="16" t="s">
        <v>6</v>
      </c>
      <c r="K6" s="16" t="s">
        <v>7</v>
      </c>
      <c r="L6" s="16" t="s">
        <v>143</v>
      </c>
      <c r="M6" s="16" t="s">
        <v>141</v>
      </c>
      <c r="N6" s="16" t="s">
        <v>142</v>
      </c>
      <c r="O6" s="16" t="s">
        <v>6</v>
      </c>
      <c r="P6" s="16" t="s">
        <v>7</v>
      </c>
      <c r="Q6" s="16" t="s">
        <v>143</v>
      </c>
      <c r="R6" s="16" t="s">
        <v>141</v>
      </c>
      <c r="S6" s="16" t="s">
        <v>142</v>
      </c>
      <c r="T6" s="16" t="s">
        <v>6</v>
      </c>
      <c r="U6" s="16" t="s">
        <v>7</v>
      </c>
      <c r="V6" s="16" t="s">
        <v>143</v>
      </c>
      <c r="W6" s="16" t="s">
        <v>141</v>
      </c>
      <c r="X6" s="16" t="s">
        <v>142</v>
      </c>
      <c r="Y6" s="16" t="s">
        <v>6</v>
      </c>
      <c r="Z6" s="16" t="s">
        <v>7</v>
      </c>
      <c r="AA6" s="16" t="s">
        <v>143</v>
      </c>
      <c r="AB6" s="16" t="s">
        <v>141</v>
      </c>
      <c r="AC6" s="16" t="s">
        <v>142</v>
      </c>
      <c r="AD6" s="16" t="s">
        <v>6</v>
      </c>
      <c r="AE6" s="16" t="s">
        <v>7</v>
      </c>
      <c r="AF6" s="16" t="s">
        <v>143</v>
      </c>
      <c r="AG6" s="16" t="s">
        <v>141</v>
      </c>
      <c r="AH6" s="16" t="s">
        <v>142</v>
      </c>
      <c r="AI6" s="16" t="s">
        <v>6</v>
      </c>
      <c r="AJ6" s="16" t="s">
        <v>7</v>
      </c>
      <c r="AK6" s="16" t="s">
        <v>143</v>
      </c>
      <c r="AL6" s="16" t="s">
        <v>141</v>
      </c>
      <c r="AM6" s="16" t="s">
        <v>142</v>
      </c>
      <c r="AN6" s="16" t="s">
        <v>6</v>
      </c>
      <c r="AO6" s="16" t="s">
        <v>7</v>
      </c>
      <c r="AP6" s="16" t="s">
        <v>143</v>
      </c>
      <c r="AQ6" s="16" t="s">
        <v>141</v>
      </c>
      <c r="AR6" s="16" t="s">
        <v>142</v>
      </c>
      <c r="AS6" s="16" t="s">
        <v>6</v>
      </c>
      <c r="AT6" s="16" t="s">
        <v>7</v>
      </c>
      <c r="AU6" s="16" t="s">
        <v>143</v>
      </c>
    </row>
    <row r="7" spans="1:47">
      <c r="A7" s="17" t="s">
        <v>8</v>
      </c>
      <c r="B7" s="17" t="s">
        <v>9</v>
      </c>
      <c r="C7" s="17" t="s">
        <v>10</v>
      </c>
      <c r="D7" s="17" t="s">
        <v>11</v>
      </c>
      <c r="E7" s="17">
        <f>CEILING(BoardQty*1.0,1)</f>
        <v>100</v>
      </c>
      <c r="F7" s="18">
        <f>MINA(J7,O7,T7,Y7,AD7,AI7,AN7,AS7)</f>
        <v>0</v>
      </c>
      <c r="G7" s="19">
        <f>iferror(E7*F7,"")</f>
        <v>0</v>
      </c>
      <c r="M7" s="17">
        <v>149</v>
      </c>
      <c r="O7" s="18">
        <f>iferror(lookup(if(N7="",E7,N7),{0,1,10,50,100,500},{0.0,0.76,0.559,0.4476,0.3836,0.30372}),"")</f>
        <v>0</v>
      </c>
      <c r="P7" s="19">
        <f>iferror(if(N7="",E7,N7)*O7,"")</f>
        <v>0</v>
      </c>
      <c r="Q7" s="20" t="s">
        <v>149</v>
      </c>
      <c r="AB7" s="17">
        <v>10</v>
      </c>
      <c r="AD7" s="18">
        <f>iferror(lookup(if(AC7="",E7,AC7),{0,1,10,50,100,1000,10000},{0.0,0.74,0.437,0.437,0.374,0.29,0.29}),"")</f>
        <v>0</v>
      </c>
      <c r="AE7" s="19">
        <f>iferror(if(AC7="",E7,AC7)*AD7,"")</f>
        <v>0</v>
      </c>
      <c r="AF7" s="20" t="s">
        <v>201</v>
      </c>
      <c r="AG7" s="21" t="s">
        <v>155</v>
      </c>
      <c r="AI7" s="18">
        <f>iferror(lookup(if(AH7="",E7,AH7),{0,1,1000,2000,3000,5000,10000},{0.0,0.246,0.24,0.222,0.207,0.193,0.185}),"")</f>
        <v>0</v>
      </c>
      <c r="AJ7" s="19">
        <f>iferror(if(AH7="",E7,AH7)*AI7,"")</f>
        <v>0</v>
      </c>
      <c r="AK7" s="20" t="s">
        <v>230</v>
      </c>
      <c r="AQ7" s="21" t="s">
        <v>155</v>
      </c>
      <c r="AS7" s="18">
        <f>iferror(USD_GBP*lookup(if(AR7="",E7,AR7),{0,1,500},{0.0,0.206,0.206}),"")</f>
        <v>0</v>
      </c>
      <c r="AT7" s="19">
        <f>iferror(if(AR7="",E7,AR7)*AS7,"")</f>
        <v>0</v>
      </c>
      <c r="AU7" s="20" t="s">
        <v>11</v>
      </c>
    </row>
    <row r="8" spans="1:47">
      <c r="A8" s="17" t="s">
        <v>12</v>
      </c>
      <c r="B8" s="17" t="s">
        <v>13</v>
      </c>
      <c r="C8" s="17" t="s">
        <v>14</v>
      </c>
      <c r="D8" s="17" t="s">
        <v>15</v>
      </c>
      <c r="E8" s="17">
        <f>CEILING(BoardQty*1.0,1)</f>
        <v>100</v>
      </c>
      <c r="F8" s="18">
        <f>MINA(J8,O8,T8,Y8,AD8,AI8,AN8,AS8)</f>
        <v>0</v>
      </c>
      <c r="G8" s="19">
        <f>iferror(E8*F8,"")</f>
        <v>0</v>
      </c>
      <c r="M8" s="17">
        <v>1</v>
      </c>
      <c r="O8" s="18">
        <f>iferror(lookup(if(N8="",E8,N8),{0,1,200000},{0.0,0.1,0.00718}),"")</f>
        <v>0</v>
      </c>
      <c r="P8" s="19">
        <f>iferror(if(N8="",E8,N8)*O8,"")</f>
        <v>0</v>
      </c>
      <c r="Q8" s="20" t="s">
        <v>150</v>
      </c>
      <c r="AB8" s="17">
        <v>192855</v>
      </c>
      <c r="AD8" s="18">
        <f>iferror(lookup(if(AC8="",E8,AC8),{0,1,10,50,100,1000,10000},{0.0,0.1,0.08,0.08,0.043,0.024,0.011}),"")</f>
        <v>0</v>
      </c>
      <c r="AE8" s="19">
        <f>iferror(if(AC8="",E8,AC8)*AD8,"")</f>
        <v>0</v>
      </c>
      <c r="AF8" s="20" t="s">
        <v>202</v>
      </c>
    </row>
    <row r="9" spans="1:47">
      <c r="A9" s="17" t="s">
        <v>16</v>
      </c>
      <c r="B9" s="17" t="s">
        <v>17</v>
      </c>
      <c r="C9" s="17" t="s">
        <v>14</v>
      </c>
      <c r="D9" s="17" t="s">
        <v>18</v>
      </c>
      <c r="E9" s="17">
        <f>CEILING(BoardQty*1.0,1)</f>
        <v>100</v>
      </c>
      <c r="F9" s="18">
        <f>MINA(J9,O9,T9,Y9,AD9,AI9,AN9,AS9)</f>
        <v>0</v>
      </c>
      <c r="G9" s="19">
        <f>iferror(E9*F9,"")</f>
        <v>0</v>
      </c>
      <c r="H9" s="17">
        <v>53</v>
      </c>
      <c r="J9" s="18">
        <f>iferror(lookup(if(I9="",E9,I9),{0,1,10,25},{0.0,0.1066,0.0469,0.0465}),"")</f>
        <v>0</v>
      </c>
      <c r="K9" s="19">
        <f>iferror(if(I9="",E9,I9)*J9,"")</f>
        <v>0</v>
      </c>
      <c r="L9" s="20" t="s">
        <v>18</v>
      </c>
      <c r="M9" s="17">
        <v>246849</v>
      </c>
      <c r="O9" s="18">
        <f>iferror(lookup(if(N9="",E9,N9),{0,1,10,50,100,500,1000,4000,8000},{0.0,0.1,0.043,0.0234,0.0191,0.01362,0.01071,0.00896,0.00818}),"")</f>
        <v>0</v>
      </c>
      <c r="P9" s="19">
        <f>iferror(if(N9="",E9,N9)*O9,"")</f>
        <v>0</v>
      </c>
      <c r="Q9" s="20" t="s">
        <v>151</v>
      </c>
      <c r="R9" s="17">
        <v>80000</v>
      </c>
      <c r="T9" s="18">
        <f>iferror(USD_GBP*lookup(if(S9="",E9,S9),{0,1,10,100,500,1000,4000},{0.0,0.037,0.037,0.017,0.012,0.01,0.006}),"")</f>
        <v>0</v>
      </c>
      <c r="U9" s="19">
        <f>iferror(if(S9="",E9,S9)*T9,"")</f>
        <v>0</v>
      </c>
      <c r="V9" s="20" t="s">
        <v>179</v>
      </c>
      <c r="W9" s="17">
        <v>175000</v>
      </c>
      <c r="Y9" s="18">
        <f>iferror(lookup(if(X9="",E9,X9),{0,1,50,500,1500,5000,25000,50000},{0.0,0.0067,0.0067,0.0054,0.0044,0.0037,0.0035,0.0034}),"")</f>
        <v>0</v>
      </c>
      <c r="Z9" s="19">
        <f>iferror(if(X9="",E9,X9)*Y9,"")</f>
        <v>0</v>
      </c>
      <c r="AA9" s="20" t="s">
        <v>196</v>
      </c>
      <c r="AB9" s="17">
        <v>61331</v>
      </c>
      <c r="AD9" s="18">
        <f>iferror(lookup(if(AC9="",E9,AC9),{0,1,10,50,100,1000,10000},{0.0,0.1,0.024,0.024,0.02,0.011,0.008}),"")</f>
        <v>0</v>
      </c>
      <c r="AE9" s="19">
        <f>iferror(if(AC9="",E9,AC9)*AD9,"")</f>
        <v>0</v>
      </c>
      <c r="AF9" s="20" t="s">
        <v>203</v>
      </c>
      <c r="AG9" s="17">
        <v>42677</v>
      </c>
      <c r="AI9" s="18">
        <f>iferror(lookup(if(AH9="",E9,AH9),{0,1,25,50,100,250,500,4000,8000},{0.0,0.1,0.043,0.023,0.019,0.016,0.013,0.009,0.008}),"")</f>
        <v>0</v>
      </c>
      <c r="AJ9" s="19">
        <f>iferror(if(AH9="",E9,AH9)*AI9,"")</f>
        <v>0</v>
      </c>
      <c r="AK9" s="20" t="s">
        <v>231</v>
      </c>
      <c r="AQ9" s="17">
        <v>6300</v>
      </c>
      <c r="AS9" s="18">
        <f>iferror(USD_GBP*lookup(if(AR9="",E9,AR9),{0,1,100,300,1000,4000,20000},{0.0,0.0155,0.0155,0.0104,0.00629,0.00521,0.00498}),"")</f>
        <v>0</v>
      </c>
      <c r="AT9" s="19">
        <f>iferror(if(AR9="",E9,AR9)*AS9,"")</f>
        <v>0</v>
      </c>
      <c r="AU9" s="20" t="s">
        <v>18</v>
      </c>
    </row>
    <row r="10" spans="1:47">
      <c r="A10" s="17" t="s">
        <v>19</v>
      </c>
      <c r="B10" s="17" t="s">
        <v>20</v>
      </c>
      <c r="C10" s="17" t="s">
        <v>14</v>
      </c>
      <c r="D10" s="17" t="s">
        <v>21</v>
      </c>
      <c r="E10" s="17">
        <f>CEILING(BoardQty*1.0,1)</f>
        <v>100</v>
      </c>
      <c r="F10" s="18">
        <f>MINA(J10,O10,T10,Y10,AD10,AI10,AN10,AS10)</f>
        <v>0</v>
      </c>
      <c r="G10" s="19">
        <f>iferror(E10*F10,"")</f>
        <v>0</v>
      </c>
      <c r="H10" s="17">
        <v>3</v>
      </c>
      <c r="J10" s="18">
        <f>iferror(lookup(if(I10="",E10,I10),{0,1},{0.0,0.5557}),"")</f>
        <v>0</v>
      </c>
      <c r="K10" s="19">
        <f>iferror(if(I10="",E10,I10)*J10,"")</f>
        <v>0</v>
      </c>
      <c r="L10" s="20" t="s">
        <v>21</v>
      </c>
      <c r="M10" s="17">
        <v>186</v>
      </c>
      <c r="O10" s="18">
        <f>iferror(lookup(if(N10="",E10,N10),{0,1,10,50,100,500,1000,2000,4000,10000,14000,50000},{0.0,0.57,0.406,0.3068,0.2673,0.198,0.1683,0.1584,0.1485,0.1386,0.13613,0.1287}),"")</f>
        <v>0</v>
      </c>
      <c r="P10" s="19">
        <f>iferror(if(N10="",E10,N10)*O10,"")</f>
        <v>0</v>
      </c>
      <c r="Q10" s="20" t="s">
        <v>152</v>
      </c>
      <c r="R10" s="21" t="s">
        <v>155</v>
      </c>
      <c r="T10" s="18">
        <f>iferror(USD_GBP*lookup(if(S10="",E10,S10),{0,1,5,50,100,250,500,2000},{0.0,0.311,0.311,0.204,0.204,0.192,0.18,0.148}),"")</f>
        <v>0</v>
      </c>
      <c r="U10" s="19">
        <f>iferror(if(S10="",E10,S10)*T10,"")</f>
        <v>0</v>
      </c>
      <c r="V10" s="20" t="s">
        <v>180</v>
      </c>
      <c r="AB10" s="17">
        <v>22112</v>
      </c>
      <c r="AD10" s="18">
        <f>iferror(lookup(if(AC10="",E10,AC10),{0,1,10,50,100,1000,10000},{0.0,0.58,0.407,0.407,0.268,0.189,0.18}),"")</f>
        <v>0</v>
      </c>
      <c r="AE10" s="19">
        <f>iferror(if(AC10="",E10,AC10)*AD10,"")</f>
        <v>0</v>
      </c>
      <c r="AF10" s="20" t="s">
        <v>204</v>
      </c>
      <c r="AG10" s="21" t="s">
        <v>155</v>
      </c>
      <c r="AI10" s="18">
        <f>iferror(lookup(if(AH10="",E10,AH10),{0,1,5,10,25,50,100,2000},{0.0,0.198,0.798,0.56,0.496,0.433,0.369,0.198}),"")</f>
        <v>0</v>
      </c>
      <c r="AJ10" s="19">
        <f>iferror(if(AH10="",E10,AH10)*AI10,"")</f>
        <v>0</v>
      </c>
      <c r="AK10" s="20" t="s">
        <v>232</v>
      </c>
      <c r="AL10" s="17">
        <v>49040</v>
      </c>
      <c r="AN10" s="18">
        <f>iferror(USD_GBP*lookup(if(AM10="",E10,AM10),{0,1,10,50,100,250,500,2000,4000,6000},{0.0,0.39,0.39,0.367,0.343,0.32,0.293,0.209,0.201,0.193}),"")</f>
        <v>0</v>
      </c>
      <c r="AO10" s="19">
        <f>iferror(if(AM10="",E10,AM10)*AN10,"")</f>
        <v>0</v>
      </c>
      <c r="AP10" s="20" t="s">
        <v>253</v>
      </c>
    </row>
    <row r="11" spans="1:47">
      <c r="A11" s="17" t="s">
        <v>22</v>
      </c>
      <c r="B11" s="17" t="s">
        <v>23</v>
      </c>
      <c r="C11" s="17" t="s">
        <v>14</v>
      </c>
      <c r="D11" s="17" t="s">
        <v>24</v>
      </c>
      <c r="E11" s="17">
        <f>CEILING(BoardQty*1.0,1)</f>
        <v>100</v>
      </c>
      <c r="F11" s="18">
        <f>MINA(J11,O11,T11,Y11,AD11,AI11,AN11,AS11)</f>
        <v>0</v>
      </c>
      <c r="G11" s="19">
        <f>iferror(E11*F11,"")</f>
        <v>0</v>
      </c>
      <c r="H11" s="17">
        <v>2011</v>
      </c>
      <c r="J11" s="18">
        <f>iferror(lookup(if(I11="",E11,I11),{0,1,10,25,100,250,500,1000},{0.0,0.269,0.1883,0.1849,0.1063,0.1053,0.0743,0.0649}),"")</f>
        <v>0</v>
      </c>
      <c r="K11" s="19">
        <f>iferror(if(I11="",E11,I11)*J11,"")</f>
        <v>0</v>
      </c>
      <c r="L11" s="20" t="s">
        <v>24</v>
      </c>
      <c r="M11" s="17">
        <v>27982</v>
      </c>
      <c r="O11" s="18">
        <f>iferror(lookup(if(N11="",E11,N11),{0,1,10,50,100,500,1000,2000,4000},{0.0,0.29,0.198,0.132,0.1122,0.0792,0.0693,0.066,0.06105}),"")</f>
        <v>0</v>
      </c>
      <c r="P11" s="19">
        <f>iferror(if(N11="",E11,N11)*O11,"")</f>
        <v>0</v>
      </c>
      <c r="Q11" s="20" t="s">
        <v>153</v>
      </c>
      <c r="R11" s="21" t="s">
        <v>155</v>
      </c>
      <c r="T11" s="18">
        <f>iferror(USD_GBP*lookup(if(S11="",E11,S11),{0,1,2000,4000},{0.0,0.0595,0.0595,0.0562}),"")</f>
        <v>0</v>
      </c>
      <c r="U11" s="19">
        <f>iferror(if(S11="",E11,S11)*T11,"")</f>
        <v>0</v>
      </c>
      <c r="V11" s="20" t="s">
        <v>181</v>
      </c>
      <c r="AB11" s="17">
        <v>7395</v>
      </c>
      <c r="AD11" s="18">
        <f>iferror(lookup(if(AC11="",E11,AC11),{0,1,10,50,100,1000,10000},{0.0,0.29,0.132,0.132,0.113,0.07,0.061}),"")</f>
        <v>0</v>
      </c>
      <c r="AE11" s="19">
        <f>iferror(if(AC11="",E11,AC11)*AD11,"")</f>
        <v>0</v>
      </c>
      <c r="AF11" s="20" t="s">
        <v>205</v>
      </c>
      <c r="AG11" s="21" t="s">
        <v>155</v>
      </c>
      <c r="AI11" s="18">
        <f>iferror(lookup(if(AH11="",E11,AH11),{0,1,2000,4000},{0.0,0.073,0.073,0.069}),"")</f>
        <v>0</v>
      </c>
      <c r="AJ11" s="19">
        <f>iferror(if(AH11="",E11,AH11)*AI11,"")</f>
        <v>0</v>
      </c>
      <c r="AK11" s="20" t="s">
        <v>233</v>
      </c>
    </row>
    <row r="12" spans="1:47">
      <c r="A12" s="17" t="s">
        <v>25</v>
      </c>
      <c r="B12" s="17" t="s">
        <v>26</v>
      </c>
      <c r="C12" s="17" t="s">
        <v>14</v>
      </c>
      <c r="D12" s="17" t="s">
        <v>27</v>
      </c>
      <c r="E12" s="17">
        <f>CEILING(BoardQty*2.0,1)</f>
        <v>200</v>
      </c>
      <c r="F12" s="18">
        <f>MINA(J12,O12,T12,Y12,AD12,AI12,AN12,AS12)</f>
        <v>0</v>
      </c>
      <c r="G12" s="19">
        <f>iferror(E12*F12,"")</f>
        <v>0</v>
      </c>
      <c r="M12" s="21" t="s">
        <v>155</v>
      </c>
      <c r="O12" s="18">
        <f>iferror(lookup(if(N12="",E12,N12),{0,1,3000},{0.0,0.0392,0.0392}),"")</f>
        <v>0</v>
      </c>
      <c r="P12" s="19">
        <f>iferror(if(N12="",E12,N12)*O12,"")</f>
        <v>0</v>
      </c>
      <c r="Q12" s="20" t="s">
        <v>154</v>
      </c>
      <c r="AB12" s="17">
        <v>470</v>
      </c>
      <c r="AD12" s="18">
        <f>iferror(lookup(if(AC12="",E12,AC12),{0,1,10,50,100,1000,10000},{0.0,0.2,0.139,0.139,0.07,0.042,0.041}),"")</f>
        <v>0</v>
      </c>
      <c r="AE12" s="19">
        <f>iferror(if(AC12="",E12,AC12)*AD12,"")</f>
        <v>0</v>
      </c>
      <c r="AF12" s="20" t="s">
        <v>206</v>
      </c>
    </row>
    <row r="13" spans="1:47">
      <c r="A13" s="17" t="s">
        <v>28</v>
      </c>
      <c r="B13" s="17" t="s">
        <v>29</v>
      </c>
      <c r="C13" s="17" t="s">
        <v>30</v>
      </c>
      <c r="D13" s="17" t="s">
        <v>31</v>
      </c>
      <c r="E13" s="17">
        <f>CEILING(BoardQty*1.0,1)</f>
        <v>100</v>
      </c>
      <c r="F13" s="18">
        <f>MINA(J13,O13,T13,Y13,AD13,AI13,AN13,AS13)</f>
        <v>0</v>
      </c>
      <c r="G13" s="19">
        <f>iferror(E13*F13,"")</f>
        <v>0</v>
      </c>
      <c r="M13" s="21" t="s">
        <v>155</v>
      </c>
      <c r="O13" s="18">
        <f>iferror(lookup(if(N13="",E13,N13),{0,1,500},{0.0,0.2185,0.2185}),"")</f>
        <v>0</v>
      </c>
      <c r="P13" s="19">
        <f>iferror(if(N13="",E13,N13)*O13,"")</f>
        <v>0</v>
      </c>
      <c r="Q13" s="20" t="s">
        <v>156</v>
      </c>
      <c r="AB13" s="17">
        <v>181615</v>
      </c>
      <c r="AD13" s="18">
        <f>iferror(lookup(if(AC13="",E13,AC13),{0,1,10,50,100,1000,10000},{0.0,0.61,0.429,0.429,0.283,0.203,0.203}),"")</f>
        <v>0</v>
      </c>
      <c r="AE13" s="19">
        <f>iferror(if(AC13="",E13,AC13)*AD13,"")</f>
        <v>0</v>
      </c>
      <c r="AF13" s="20" t="s">
        <v>207</v>
      </c>
      <c r="AG13" s="21" t="s">
        <v>155</v>
      </c>
      <c r="AI13" s="18">
        <f>iferror(lookup(if(AH13="",E13,AH13),{0,1,500,1000,2000,3000,5000},{0.0,0.203,0.193,0.182,0.179,0.176,0.171}),"")</f>
        <v>0</v>
      </c>
      <c r="AJ13" s="19">
        <f>iferror(if(AH13="",E13,AH13)*AI13,"")</f>
        <v>0</v>
      </c>
      <c r="AK13" s="20" t="s">
        <v>234</v>
      </c>
    </row>
    <row r="14" spans="1:47">
      <c r="A14" s="17" t="s">
        <v>32</v>
      </c>
      <c r="B14" s="17" t="s">
        <v>33</v>
      </c>
      <c r="C14" s="17" t="s">
        <v>34</v>
      </c>
      <c r="D14" s="17" t="s">
        <v>35</v>
      </c>
      <c r="E14" s="17">
        <f>CEILING(BoardQty*1.0,1)</f>
        <v>100</v>
      </c>
      <c r="F14" s="18">
        <f>MINA(J14,O14,T14,Y14,AD14,AI14,AN14,AS14)</f>
        <v>0</v>
      </c>
      <c r="G14" s="19">
        <f>iferror(E14*F14,"")</f>
        <v>0</v>
      </c>
      <c r="M14" s="21" t="s">
        <v>155</v>
      </c>
      <c r="O14" s="18">
        <f>iferror(lookup(if(N14="",E14,N14),{0,1,4000},{0.0,0.14628,0.14628}),"")</f>
        <v>0</v>
      </c>
      <c r="P14" s="19">
        <f>iferror(if(N14="",E14,N14)*O14,"")</f>
        <v>0</v>
      </c>
      <c r="Q14" s="20" t="s">
        <v>157</v>
      </c>
      <c r="AB14" s="17">
        <v>3550</v>
      </c>
      <c r="AD14" s="18">
        <f>iferror(lookup(if(AC14="",E14,AC14),{0,1,10,50,100,1000,10000},{0.0,0.56,0.303,0.303,0.264,0.195,0.195}),"")</f>
        <v>0</v>
      </c>
      <c r="AE14" s="19">
        <f>iferror(if(AC14="",E14,AC14)*AD14,"")</f>
        <v>0</v>
      </c>
      <c r="AF14" s="20" t="s">
        <v>208</v>
      </c>
      <c r="AG14" s="21" t="s">
        <v>155</v>
      </c>
      <c r="AI14" s="18">
        <f>iferror(lookup(if(AH14="",E14,AH14),{0,1,1500},{0.0,0.195,0.195}),"")</f>
        <v>0</v>
      </c>
      <c r="AJ14" s="19">
        <f>iferror(if(AH14="",E14,AH14)*AI14,"")</f>
        <v>0</v>
      </c>
      <c r="AK14" s="20" t="s">
        <v>235</v>
      </c>
    </row>
    <row r="15" spans="1:47">
      <c r="A15" s="17" t="s">
        <v>36</v>
      </c>
      <c r="B15" s="17" t="s">
        <v>37</v>
      </c>
      <c r="C15" s="17" t="s">
        <v>14</v>
      </c>
      <c r="D15" s="17" t="s">
        <v>38</v>
      </c>
      <c r="E15" s="17">
        <f>CEILING(BoardQty*1.0,1)</f>
        <v>100</v>
      </c>
      <c r="F15" s="18">
        <f>MINA(J15,O15,T15,Y15,AD15,AI15,AN15,AS15)</f>
        <v>0</v>
      </c>
      <c r="G15" s="19">
        <f>iferror(E15*F15,"")</f>
        <v>0</v>
      </c>
      <c r="H15" s="17">
        <v>232000</v>
      </c>
      <c r="J15" s="18">
        <f>iferror(lookup(if(I15="",E15,I15),{0,1,10,25,100,250,500,1000,3000,6000,15000},{0.0,0.0761,0.0445,0.0442,0.0218,0.0217,0.0154,0.0123,0.0109,0.0098,0.0079}),"")</f>
        <v>0</v>
      </c>
      <c r="K15" s="19">
        <f>iferror(if(I15="",E15,I15)*J15,"")</f>
        <v>0</v>
      </c>
      <c r="L15" s="20" t="s">
        <v>38</v>
      </c>
      <c r="M15" s="17">
        <v>50629</v>
      </c>
      <c r="O15" s="18">
        <f>iferror(lookup(if(N15="",E15,N15),{0,1,10,50,100,500,1000,4000,8000},{0.0,0.1,0.052,0.0282,0.023,0.01644,0.01292,0.0108,0.00986}),"")</f>
        <v>0</v>
      </c>
      <c r="P15" s="19">
        <f>iferror(if(N15="",E15,N15)*O15,"")</f>
        <v>0</v>
      </c>
      <c r="Q15" s="20" t="s">
        <v>158</v>
      </c>
      <c r="R15" s="17">
        <v>3950</v>
      </c>
      <c r="T15" s="18">
        <f>iferror(USD_GBP*lookup(if(S15="",E15,S15),{0,1,10,100,500,1000,4000},{0.0,0.044,0.044,0.02,0.015,0.011,0.008}),"")</f>
        <v>0</v>
      </c>
      <c r="U15" s="19">
        <f>iferror(if(S15="",E15,S15)*T15,"")</f>
        <v>0</v>
      </c>
      <c r="V15" s="20" t="s">
        <v>182</v>
      </c>
      <c r="W15" s="17">
        <v>601250</v>
      </c>
      <c r="Y15" s="18">
        <f>iferror(lookup(if(X15="",E15,X15),{0,1,50,500,1500,5000,25000,50000},{0.0,0.0087,0.0087,0.007,0.0058,0.0048,0.0046,0.0046}),"")</f>
        <v>0</v>
      </c>
      <c r="Z15" s="19">
        <f>iferror(if(X15="",E15,X15)*Y15,"")</f>
        <v>0</v>
      </c>
      <c r="AA15" s="20" t="s">
        <v>197</v>
      </c>
      <c r="AB15" s="17">
        <v>55959</v>
      </c>
      <c r="AD15" s="18">
        <f>iferror(lookup(if(AC15="",E15,AC15),{0,1,10,50,100,1000,10000},{0.0,0.1,0.029,0.029,0.023,0.013,0.009}),"")</f>
        <v>0</v>
      </c>
      <c r="AE15" s="19">
        <f>iferror(if(AC15="",E15,AC15)*AD15,"")</f>
        <v>0</v>
      </c>
      <c r="AF15" s="20" t="s">
        <v>209</v>
      </c>
      <c r="AG15" s="21" t="s">
        <v>155</v>
      </c>
      <c r="AI15" s="18">
        <f>iferror(lookup(if(AH15="",E15,AH15),{0,1,25,50,100,250,500,40000},{0.0,0.01,0.052,0.028,0.023,0.02,0.016,0.009}),"")</f>
        <v>0</v>
      </c>
      <c r="AJ15" s="19">
        <f>iferror(if(AH15="",E15,AH15)*AI15,"")</f>
        <v>0</v>
      </c>
      <c r="AK15" s="20" t="s">
        <v>236</v>
      </c>
      <c r="AL15" s="17">
        <v>72000</v>
      </c>
      <c r="AN15" s="18">
        <f>iferror(USD_GBP*lookup(if(AM15="",E15,AM15),{0,1,4000,12000,20000,40000,100000},{0.0,0.011,0.011,0.01,0.009,0.009,0.009}),"")</f>
        <v>0</v>
      </c>
      <c r="AO15" s="19">
        <f>iferror(if(AM15="",E15,AM15)*AN15,"")</f>
        <v>0</v>
      </c>
      <c r="AP15" s="20" t="s">
        <v>254</v>
      </c>
      <c r="AQ15" s="17">
        <v>107600</v>
      </c>
      <c r="AS15" s="18">
        <f>iferror(USD_GBP*lookup(if(AR15="",E15,AR15),{0,1,100,300,1000,4000,20000},{0.0,0.0143,0.0143,0.0097,0.00634,0.00483,0.00463}),"")</f>
        <v>0</v>
      </c>
      <c r="AT15" s="19">
        <f>iferror(if(AR15="",E15,AR15)*AS15,"")</f>
        <v>0</v>
      </c>
      <c r="AU15" s="20" t="s">
        <v>38</v>
      </c>
    </row>
    <row r="16" spans="1:47">
      <c r="A16" s="17" t="s">
        <v>39</v>
      </c>
      <c r="B16" s="17" t="s">
        <v>40</v>
      </c>
      <c r="C16" s="17" t="s">
        <v>30</v>
      </c>
      <c r="D16" s="17" t="s">
        <v>41</v>
      </c>
      <c r="E16" s="17">
        <f>CEILING(BoardQty*2.0,1)</f>
        <v>200</v>
      </c>
      <c r="F16" s="18">
        <f>MINA(J16,O16,T16,Y16,AD16,AI16,AN16,AS16)</f>
        <v>0</v>
      </c>
      <c r="G16" s="19">
        <f>iferror(E16*F16,"")</f>
        <v>0</v>
      </c>
    </row>
    <row r="17" spans="1:47">
      <c r="A17" s="17" t="s">
        <v>42</v>
      </c>
      <c r="B17" s="17" t="s">
        <v>43</v>
      </c>
      <c r="C17" s="17" t="s">
        <v>44</v>
      </c>
      <c r="D17" s="17" t="s">
        <v>45</v>
      </c>
      <c r="E17" s="17">
        <f>CEILING(BoardQty*1.0,1)</f>
        <v>100</v>
      </c>
      <c r="F17" s="18">
        <f>MINA(J17,O17,T17,Y17,AD17,AI17,AN17,AS17)</f>
        <v>0</v>
      </c>
      <c r="G17" s="19">
        <f>iferror(E17*F17,"")</f>
        <v>0</v>
      </c>
      <c r="M17" s="17">
        <v>7060</v>
      </c>
      <c r="O17" s="18">
        <f>iferror(lookup(if(N17="",E17,N17),{0,1,10,50,100,500,1000,2000,4000,10000,14000,50000},{0.0,0.88,0.652,0.5214,0.447,0.35384,0.29797,0.27935,0.26072,0.25141,0.24769,0.23744}),"")</f>
        <v>0</v>
      </c>
      <c r="P17" s="19">
        <f>iferror(if(N17="",E17,N17)*O17,"")</f>
        <v>0</v>
      </c>
      <c r="Q17" s="20" t="s">
        <v>159</v>
      </c>
      <c r="AB17" s="17">
        <v>36692</v>
      </c>
      <c r="AD17" s="18">
        <f>iferror(lookup(if(AC17="",E17,AC17),{0,1,10,50,100,1000,10000},{0.0,0.84,0.622,0.622,0.426,0.284,0.235}),"")</f>
        <v>0</v>
      </c>
      <c r="AE17" s="19">
        <f>iferror(if(AC17="",E17,AC17)*AD17,"")</f>
        <v>0</v>
      </c>
      <c r="AF17" s="20" t="s">
        <v>210</v>
      </c>
      <c r="AG17" s="21" t="s">
        <v>155</v>
      </c>
      <c r="AI17" s="18">
        <f>iferror(lookup(if(AH17="",E17,AH17),{0,1,2000,4000,8000,12000},{0.0,0.221,0.22,0.218,0.217,0.215}),"")</f>
        <v>0</v>
      </c>
      <c r="AJ17" s="19">
        <f>iferror(if(AH17="",E17,AH17)*AI17,"")</f>
        <v>0</v>
      </c>
      <c r="AK17" s="20" t="s">
        <v>237</v>
      </c>
    </row>
    <row r="18" spans="1:47">
      <c r="A18" s="17" t="s">
        <v>46</v>
      </c>
      <c r="B18" s="17" t="s">
        <v>47</v>
      </c>
      <c r="C18" s="17" t="s">
        <v>14</v>
      </c>
      <c r="D18" s="17" t="s">
        <v>48</v>
      </c>
      <c r="E18" s="17">
        <f>CEILING(BoardQty*1.0,1)</f>
        <v>100</v>
      </c>
      <c r="F18" s="18">
        <f>MINA(J18,O18,T18,Y18,AD18,AI18,AN18,AS18)</f>
        <v>0</v>
      </c>
      <c r="G18" s="19">
        <f>iferror(E18*F18,"")</f>
        <v>0</v>
      </c>
      <c r="M18" s="21" t="s">
        <v>155</v>
      </c>
      <c r="O18" s="18">
        <f>iferror(lookup(if(N18="",E18,N18),{0,1,100000},{0.0,0.00575,0.00575}),"")</f>
        <v>0</v>
      </c>
      <c r="P18" s="19">
        <f>iferror(if(N18="",E18,N18)*O18,"")</f>
        <v>0</v>
      </c>
      <c r="Q18" s="20" t="s">
        <v>160</v>
      </c>
      <c r="AB18" s="17">
        <v>28655</v>
      </c>
      <c r="AD18" s="18">
        <f>iferror(lookup(if(AC18="",E18,AC18),{0,1,10,50,100,1000,10000},{0.0,0.1,0.05,0.05,0.023,0.013,0.008}),"")</f>
        <v>0</v>
      </c>
      <c r="AE18" s="19">
        <f>iferror(if(AC18="",E18,AC18)*AD18,"")</f>
        <v>0</v>
      </c>
      <c r="AF18" s="20" t="s">
        <v>211</v>
      </c>
      <c r="AQ18" s="17">
        <v>10600</v>
      </c>
      <c r="AS18" s="18">
        <f>iferror(USD_GBP*lookup(if(AR18="",E18,AR18),{0,1,100,300,1000,4000,12000},{0.0,0.0393,0.0393,0.0256,0.01655,0.01116,0.00989}),"")</f>
        <v>0</v>
      </c>
      <c r="AT18" s="19">
        <f>iferror(if(AR18="",E18,AR18)*AS18,"")</f>
        <v>0</v>
      </c>
      <c r="AU18" s="20" t="s">
        <v>48</v>
      </c>
    </row>
    <row r="19" spans="1:47" ht="45.0" customHeight="1">
      <c r="A19" s="17" t="s">
        <v>49</v>
      </c>
      <c r="B19" s="17" t="s">
        <v>50</v>
      </c>
      <c r="C19" s="17" t="s">
        <v>51</v>
      </c>
      <c r="D19" s="17" t="s">
        <v>41</v>
      </c>
      <c r="E19" s="17">
        <f>CEILING(BoardQty*14.0,1)</f>
        <v>1400</v>
      </c>
      <c r="F19" s="18">
        <f>MINA(J19,O19,T19,Y19,AD19,AI19,AN19,AS19)</f>
        <v>0</v>
      </c>
      <c r="G19" s="19">
        <f>iferror(E19*F19,"")</f>
        <v>0</v>
      </c>
    </row>
    <row r="20" spans="1:47">
      <c r="A20" s="17" t="s">
        <v>52</v>
      </c>
      <c r="B20" s="17" t="s">
        <v>53</v>
      </c>
      <c r="C20" s="17" t="s">
        <v>54</v>
      </c>
      <c r="D20" s="17" t="s">
        <v>53</v>
      </c>
      <c r="E20" s="17">
        <f>CEILING(BoardQty*1.0,1)</f>
        <v>100</v>
      </c>
      <c r="F20" s="18">
        <f>MINA(J20,O20,T20,Y20,AD20,AI20,AN20,AS20)</f>
        <v>0</v>
      </c>
      <c r="G20" s="19">
        <f>iferror(E20*F20,"")</f>
        <v>0</v>
      </c>
      <c r="M20" s="21" t="s">
        <v>155</v>
      </c>
      <c r="O20" s="18">
        <f>iferror(lookup(if(N20="",E20,N20),{0,1,10,100,500,1000,2000,5000},{0.0,0.43,0.365,0.2725,0.21408,0.16542,0.16065,0.16065}),"")</f>
        <v>0</v>
      </c>
      <c r="P20" s="19">
        <f>iferror(if(N20="",E20,N20)*O20,"")</f>
        <v>0</v>
      </c>
      <c r="Q20" s="20" t="s">
        <v>161</v>
      </c>
      <c r="R20" s="21" t="s">
        <v>155</v>
      </c>
      <c r="T20" s="18">
        <f>iferror(USD_GBP*lookup(if(S20="",E20,S20),{0,1,5,25,100,150,250,500,1000,5000},{0.0,0.254,0.254,0.244,0.125,0.125,0.121,0.106,0.091,0.073}),"")</f>
        <v>0</v>
      </c>
      <c r="U20" s="19">
        <f>iferror(if(S20="",E20,S20)*T20,"")</f>
        <v>0</v>
      </c>
      <c r="V20" s="20" t="s">
        <v>183</v>
      </c>
      <c r="AB20" s="17">
        <v>5000</v>
      </c>
      <c r="AD20" s="18">
        <f>iferror(lookup(if(AC20="",E20,AC20),{0,1,10,50,100,1000,10000},{0.0,0.44,0.379,0.379,0.283,0.172,0.143}),"")</f>
        <v>0</v>
      </c>
      <c r="AE20" s="19">
        <f>iferror(if(AC20="",E20,AC20)*AD20,"")</f>
        <v>0</v>
      </c>
      <c r="AF20" s="20" t="s">
        <v>212</v>
      </c>
      <c r="AG20" s="17">
        <v>193</v>
      </c>
      <c r="AI20" s="18">
        <f>iferror(lookup(if(AH20="",E20,AH20),{0,1,10,100,500,5000,15000,40000,75000},{0.0,0.502,0.409,0.239,0.221,0.194,0.188,0.166,0.157}),"")</f>
        <v>0</v>
      </c>
      <c r="AJ20" s="19">
        <f>iferror(if(AH20="",E20,AH20)*AI20,"")</f>
        <v>0</v>
      </c>
      <c r="AK20" s="20" t="s">
        <v>238</v>
      </c>
    </row>
    <row r="21" spans="1:47">
      <c r="A21" s="17" t="s">
        <v>55</v>
      </c>
      <c r="B21" s="17" t="s">
        <v>56</v>
      </c>
      <c r="C21" s="17" t="s">
        <v>57</v>
      </c>
      <c r="D21" s="17" t="s">
        <v>58</v>
      </c>
      <c r="E21" s="17">
        <f>CEILING(BoardQty*1.0,1)</f>
        <v>100</v>
      </c>
      <c r="F21" s="18">
        <f>MINA(J21,O21,T21,Y21,AD21,AI21,AN21,AS21)</f>
        <v>0</v>
      </c>
      <c r="G21" s="19">
        <f>iferror(E21*F21,"")</f>
        <v>0</v>
      </c>
      <c r="H21" s="17">
        <v>18</v>
      </c>
      <c r="J21" s="18">
        <f>iferror(lookup(if(I21="",E21,I21),{0,1,3000},{0.0,0.0354,0.0354}),"")</f>
        <v>0</v>
      </c>
      <c r="K21" s="19">
        <f>iferror(if(I21="",E21,I21)*J21,"")</f>
        <v>0</v>
      </c>
      <c r="L21" s="20" t="s">
        <v>58</v>
      </c>
      <c r="M21" s="17">
        <v>2554</v>
      </c>
      <c r="O21" s="18">
        <f>iferror(lookup(if(N21="",E21,N21),{0,1,10,100,500,1000,3000,6000,15000,30000,75000},{0.0,0.16,0.145,0.0788,0.0485,0.03307,0.02811,0.02536,0.02205,0.01984,0.0182}),"")</f>
        <v>0</v>
      </c>
      <c r="P21" s="19">
        <f>iferror(if(N21="",E21,N21)*O21,"")</f>
        <v>0</v>
      </c>
      <c r="Q21" s="20" t="s">
        <v>162</v>
      </c>
      <c r="R21" s="17">
        <v>6795</v>
      </c>
      <c r="T21" s="18">
        <f>iferror(USD_GBP*lookup(if(S21="",E21,S21),{0,1,5,10,100,500,3000,9000,24000,45000},{0.0,0.189,0.189,0.176,0.0911,0.0527,0.022,0.0216,0.0211,0.0207}),"")</f>
        <v>0</v>
      </c>
      <c r="U21" s="19">
        <f>iferror(if(S21="",E21,S21)*T21,"")</f>
        <v>0</v>
      </c>
      <c r="V21" s="20" t="s">
        <v>184</v>
      </c>
      <c r="W21" s="17">
        <v>3707</v>
      </c>
      <c r="Y21" s="18">
        <f>iferror(lookup(if(X21="",E21,X21),{0,1,10,30,100,500,1000},{0.0,0.2063,0.1735,0.1497,0.13,0.1267,0.125}),"")</f>
        <v>0</v>
      </c>
      <c r="Z21" s="19">
        <f>iferror(if(X21="",E21,X21)*Y21,"")</f>
        <v>0</v>
      </c>
      <c r="AA21" s="20" t="s">
        <v>198</v>
      </c>
      <c r="AB21" s="17">
        <v>17499</v>
      </c>
      <c r="AD21" s="18">
        <f>iferror(lookup(if(AC21="",E21,AC21),{0,1,10,50,100,1000,10000},{0.0,0.16,0.15,0.15,0.082,0.035,0.026}),"")</f>
        <v>0</v>
      </c>
      <c r="AE21" s="19">
        <f>iferror(if(AC21="",E21,AC21)*AD21,"")</f>
        <v>0</v>
      </c>
      <c r="AF21" s="20" t="s">
        <v>213</v>
      </c>
      <c r="AG21" s="17">
        <v>672</v>
      </c>
      <c r="AI21" s="18">
        <f>iferror(lookup(if(AH21="",E21,AH21),{0,1,10,100,500,3000,9000,24000,45000},{0.0,0.029,0.125,0.044,0.034,0.029,0.027,0.023,0.02}),"")</f>
        <v>0</v>
      </c>
      <c r="AJ21" s="19">
        <f>iferror(if(AH21="",E21,AH21)*AI21,"")</f>
        <v>0</v>
      </c>
      <c r="AK21" s="20" t="s">
        <v>239</v>
      </c>
      <c r="AL21" s="21" t="s">
        <v>155</v>
      </c>
      <c r="AN21" s="18">
        <f>iferror(USD_GBP*lookup(if(AM21="",E21,AM21),{0,1,200,600,1200,2400,3000,4800},{0.0,0.066,0.066,0.062,0.033,0.031,0.021,0.03}),"")</f>
        <v>0</v>
      </c>
      <c r="AO21" s="19">
        <f>iferror(if(AM21="",E21,AM21)*AN21,"")</f>
        <v>0</v>
      </c>
      <c r="AP21" s="20" t="s">
        <v>255</v>
      </c>
      <c r="AQ21" s="21" t="s">
        <v>155</v>
      </c>
      <c r="AS21" s="18">
        <f>iferror(USD_GBP*lookup(if(AR21="",E21,AR21),{0,1,25,100,250,1000,3000},{0.0,0.026,0.026,0.0166,0.0144,0.0126,0.0118}),"")</f>
        <v>0</v>
      </c>
      <c r="AT21" s="19">
        <f>iferror(if(AR21="",E21,AR21)*AS21,"")</f>
        <v>0</v>
      </c>
      <c r="AU21" s="20" t="s">
        <v>58</v>
      </c>
    </row>
    <row r="22" spans="1:47">
      <c r="A22" s="17" t="s">
        <v>59</v>
      </c>
      <c r="B22" s="17" t="s">
        <v>60</v>
      </c>
      <c r="C22" s="17" t="s">
        <v>61</v>
      </c>
      <c r="D22" s="17" t="s">
        <v>62</v>
      </c>
      <c r="E22" s="17">
        <f>CEILING(BoardQty*1.0,1)</f>
        <v>100</v>
      </c>
      <c r="F22" s="18">
        <f>MINA(J22,O22,T22,Y22,AD22,AI22,AN22,AS22)</f>
        <v>0</v>
      </c>
      <c r="G22" s="19">
        <f>iferror(E22*F22,"")</f>
        <v>0</v>
      </c>
      <c r="H22" s="17">
        <v>1563</v>
      </c>
      <c r="J22" s="18">
        <f>iferror(lookup(if(I22="",E22,I22),{0,1,10,25,100,250,500,1000},{0.0,0.1305,0.1292,0.0709,0.0703,0.0696,0.0489,0.0383}),"")</f>
        <v>0</v>
      </c>
      <c r="K22" s="19">
        <f>iferror(if(I22="",E22,I22)*J22,"")</f>
        <v>0</v>
      </c>
      <c r="L22" s="20" t="s">
        <v>62</v>
      </c>
      <c r="M22" s="17">
        <v>1222</v>
      </c>
      <c r="O22" s="18">
        <f>iferror(lookup(if(N22="",E22,N22),{0,1,10,100,500,1000,3000,6000,15000,30000},{0.0,0.21,0.175,0.093,0.06122,0.04163,0.03755,0.03265,0.02775,0.02695}),"")</f>
        <v>0</v>
      </c>
      <c r="P22" s="19">
        <f>iferror(if(N22="",E22,N22)*O22,"")</f>
        <v>0</v>
      </c>
      <c r="Q22" s="20" t="s">
        <v>163</v>
      </c>
      <c r="R22" s="17">
        <v>8200</v>
      </c>
      <c r="T22" s="18">
        <f>iferror(USD_GBP*lookup(if(S22="",E22,S22),{0,1,5,10,100,500,3000,9000,24000,45000},{0.0,0.259,0.259,0.213,0.107,0.0662,0.0275,0.0242,0.0231,0.0198}),"")</f>
        <v>0</v>
      </c>
      <c r="U22" s="19">
        <f>iferror(if(S22="",E22,S22)*T22,"")</f>
        <v>0</v>
      </c>
      <c r="V22" s="20" t="s">
        <v>185</v>
      </c>
      <c r="W22" s="17">
        <v>10520</v>
      </c>
      <c r="Y22" s="18">
        <f>iferror(lookup(if(X22="",E22,X22),{0,1,10,100,300,1000,5000,10000},{0.0,0.0578,0.0578,0.0482,0.0412,0.0355,0.0345,0.034}),"")</f>
        <v>0</v>
      </c>
      <c r="Z22" s="19">
        <f>iferror(if(X22="",E22,X22)*Y22,"")</f>
        <v>0</v>
      </c>
      <c r="AA22" s="20" t="s">
        <v>199</v>
      </c>
      <c r="AB22" s="17">
        <v>15405</v>
      </c>
      <c r="AD22" s="18">
        <f>iferror(lookup(if(AC22="",E22,AC22),{0,1,10,50,100,1000,10000},{0.0,0.22,0.182,0.182,0.097,0.044,0.028}),"")</f>
        <v>0</v>
      </c>
      <c r="AE22" s="19">
        <f>iferror(if(AC22="",E22,AC22)*AD22,"")</f>
        <v>0</v>
      </c>
      <c r="AF22" s="20" t="s">
        <v>214</v>
      </c>
      <c r="AG22" s="17">
        <v>8200</v>
      </c>
      <c r="AI22" s="18">
        <f>iferror(lookup(if(AH22="",E22,AH22),{0,1,5,10,100,500,3000,9000,24000,45000},{0.0,0.23,0.23,0.196,0.07,0.058,0.038,0.032,0.03,0.026}),"")</f>
        <v>0</v>
      </c>
      <c r="AJ22" s="19">
        <f>iferror(if(AH22="",E22,AH22)*AI22,"")</f>
        <v>0</v>
      </c>
      <c r="AK22" s="20" t="s">
        <v>240</v>
      </c>
      <c r="AL22" s="21" t="s">
        <v>155</v>
      </c>
      <c r="AN22" s="18">
        <f>iferror(USD_GBP*lookup(if(AM22="",E22,AM22),{0,1,100,3000},{0.0,0.078,0.078,0.026}),"")</f>
        <v>0</v>
      </c>
      <c r="AO22" s="19">
        <f>iferror(if(AM22="",E22,AM22)*AN22,"")</f>
        <v>0</v>
      </c>
      <c r="AP22" s="20" t="s">
        <v>256</v>
      </c>
      <c r="AQ22" s="17">
        <v>10</v>
      </c>
      <c r="AS22" s="18">
        <f>iferror(USD_GBP*lookup(if(AR22="",E22,AR22),{0,1,20,100,500,3000,12000},{0.0,0.0315,0.0315,0.0185,0.01602,0.01395,0.01302}),"")</f>
        <v>0</v>
      </c>
      <c r="AT22" s="19">
        <f>iferror(if(AR22="",E22,AR22)*AS22,"")</f>
        <v>0</v>
      </c>
      <c r="AU22" s="20" t="s">
        <v>62</v>
      </c>
    </row>
    <row r="23" spans="1:47">
      <c r="A23" s="17" t="s">
        <v>63</v>
      </c>
      <c r="B23" s="17" t="s">
        <v>62</v>
      </c>
      <c r="C23" s="17" t="s">
        <v>57</v>
      </c>
      <c r="D23" s="17" t="s">
        <v>62</v>
      </c>
      <c r="E23" s="17">
        <f>CEILING(BoardQty*2.0,1)</f>
        <v>200</v>
      </c>
      <c r="F23" s="18">
        <f>MINA(J23,O23,T23,Y23,AD23,AI23,AN23,AS23)</f>
        <v>0</v>
      </c>
      <c r="G23" s="19">
        <f>iferror(E23*F23,"")</f>
        <v>0</v>
      </c>
      <c r="H23" s="17">
        <v>1563</v>
      </c>
      <c r="J23" s="18">
        <f>iferror(lookup(if(I23="",E23,I23),{0,1,10,25,100,250,500,1000},{0.0,0.1305,0.1292,0.0709,0.0703,0.0696,0.0489,0.0383}),"")</f>
        <v>0</v>
      </c>
      <c r="K23" s="19">
        <f>iferror(if(I23="",E23,I23)*J23,"")</f>
        <v>0</v>
      </c>
      <c r="L23" s="20" t="s">
        <v>62</v>
      </c>
      <c r="M23" s="17">
        <v>1222</v>
      </c>
      <c r="O23" s="18">
        <f>iferror(lookup(if(N23="",E23,N23),{0,1,10,100,500,1000,3000,6000,15000,30000},{0.0,0.21,0.175,0.093,0.06122,0.04163,0.03755,0.03265,0.02775,0.02695}),"")</f>
        <v>0</v>
      </c>
      <c r="P23" s="19">
        <f>iferror(if(N23="",E23,N23)*O23,"")</f>
        <v>0</v>
      </c>
      <c r="Q23" s="20" t="s">
        <v>163</v>
      </c>
      <c r="R23" s="17">
        <v>8200</v>
      </c>
      <c r="T23" s="18">
        <f>iferror(USD_GBP*lookup(if(S23="",E23,S23),{0,1,5,10,100,500,3000,9000,24000,45000},{0.0,0.259,0.259,0.213,0.107,0.0662,0.0275,0.0242,0.0231,0.0198}),"")</f>
        <v>0</v>
      </c>
      <c r="U23" s="19">
        <f>iferror(if(S23="",E23,S23)*T23,"")</f>
        <v>0</v>
      </c>
      <c r="V23" s="20" t="s">
        <v>185</v>
      </c>
      <c r="W23" s="17">
        <v>10520</v>
      </c>
      <c r="Y23" s="18">
        <f>iferror(lookup(if(X23="",E23,X23),{0,1,10,100,300,1000,5000,10000},{0.0,0.0578,0.0578,0.0482,0.0412,0.0355,0.0345,0.034}),"")</f>
        <v>0</v>
      </c>
      <c r="Z23" s="19">
        <f>iferror(if(X23="",E23,X23)*Y23,"")</f>
        <v>0</v>
      </c>
      <c r="AA23" s="20" t="s">
        <v>199</v>
      </c>
      <c r="AB23" s="17">
        <v>15405</v>
      </c>
      <c r="AD23" s="18">
        <f>iferror(lookup(if(AC23="",E23,AC23),{0,1,10,50,100,1000,10000},{0.0,0.22,0.182,0.182,0.097,0.044,0.028}),"")</f>
        <v>0</v>
      </c>
      <c r="AE23" s="19">
        <f>iferror(if(AC23="",E23,AC23)*AD23,"")</f>
        <v>0</v>
      </c>
      <c r="AF23" s="20" t="s">
        <v>214</v>
      </c>
      <c r="AG23" s="17">
        <v>8200</v>
      </c>
      <c r="AI23" s="18">
        <f>iferror(lookup(if(AH23="",E23,AH23),{0,1,5,10,100,500,3000,9000,24000,45000},{0.0,0.23,0.23,0.196,0.07,0.058,0.038,0.032,0.03,0.026}),"")</f>
        <v>0</v>
      </c>
      <c r="AJ23" s="19">
        <f>iferror(if(AH23="",E23,AH23)*AI23,"")</f>
        <v>0</v>
      </c>
      <c r="AK23" s="20" t="s">
        <v>240</v>
      </c>
      <c r="AL23" s="21" t="s">
        <v>155</v>
      </c>
      <c r="AN23" s="18">
        <f>iferror(USD_GBP*lookup(if(AM23="",E23,AM23),{0,1,100,3000},{0.0,0.078,0.078,0.026}),"")</f>
        <v>0</v>
      </c>
      <c r="AO23" s="19">
        <f>iferror(if(AM23="",E23,AM23)*AN23,"")</f>
        <v>0</v>
      </c>
      <c r="AP23" s="20" t="s">
        <v>256</v>
      </c>
      <c r="AQ23" s="17">
        <v>10</v>
      </c>
      <c r="AS23" s="18">
        <f>iferror(USD_GBP*lookup(if(AR23="",E23,AR23),{0,1,20,100,500,3000,12000},{0.0,0.0315,0.0315,0.0185,0.01602,0.01395,0.01302}),"")</f>
        <v>0</v>
      </c>
      <c r="AT23" s="19">
        <f>iferror(if(AR23="",E23,AR23)*AS23,"")</f>
        <v>0</v>
      </c>
      <c r="AU23" s="20" t="s">
        <v>62</v>
      </c>
    </row>
    <row r="24" spans="1:47">
      <c r="A24" s="17" t="s">
        <v>64</v>
      </c>
      <c r="B24" s="17" t="s">
        <v>65</v>
      </c>
      <c r="C24" s="17" t="s">
        <v>66</v>
      </c>
      <c r="D24" s="17" t="s">
        <v>41</v>
      </c>
      <c r="E24" s="17">
        <f>CEILING(BoardQty*4.0,1)</f>
        <v>400</v>
      </c>
      <c r="F24" s="18">
        <f>MINA(J24,O24,T24,Y24,AD24,AI24,AN24,AS24)</f>
        <v>0</v>
      </c>
      <c r="G24" s="19">
        <f>iferror(E24*F24,"")</f>
        <v>0</v>
      </c>
    </row>
    <row r="25" spans="1:47">
      <c r="A25" s="17" t="s">
        <v>67</v>
      </c>
      <c r="B25" s="17" t="s">
        <v>68</v>
      </c>
      <c r="C25" s="17" t="s">
        <v>69</v>
      </c>
      <c r="D25" s="17" t="s">
        <v>70</v>
      </c>
      <c r="E25" s="17">
        <f>CEILING(BoardQty*1.0,1)</f>
        <v>100</v>
      </c>
      <c r="F25" s="18">
        <f>MINA(J25,O25,T25,Y25,AD25,AI25,AN25,AS25)</f>
        <v>0</v>
      </c>
      <c r="G25" s="19">
        <f>iferror(E25*F25,"")</f>
        <v>0</v>
      </c>
      <c r="M25" s="21" t="s">
        <v>155</v>
      </c>
      <c r="O25" s="18">
        <f>iferror(lookup(if(N25="",E25,N25),{0,1,4000},{0.0,0.08813,0.08813}),"")</f>
        <v>0</v>
      </c>
      <c r="P25" s="19">
        <f>iferror(if(N25="",E25,N25)*O25,"")</f>
        <v>0</v>
      </c>
      <c r="Q25" s="20" t="s">
        <v>164</v>
      </c>
      <c r="AB25" s="17">
        <v>4044</v>
      </c>
      <c r="AD25" s="18">
        <f>iferror(lookup(if(AC25="",E25,AC25),{0,1,10,50,100,1000,10000},{0.0,0.25,0.166,0.166,0.131,0.119,0.078}),"")</f>
        <v>0</v>
      </c>
      <c r="AE25" s="19">
        <f>iferror(if(AC25="",E25,AC25)*AD25,"")</f>
        <v>0</v>
      </c>
      <c r="AF25" s="20" t="s">
        <v>215</v>
      </c>
      <c r="AG25" s="21" t="s">
        <v>155</v>
      </c>
      <c r="AI25" s="18">
        <f>iferror(lookup(if(AH25="",E25,AH25),{0,1,4000,5000,10000,20000,30000,50000},{0.0,0.125,0.125,0.118,0.105,0.095,0.088,0.081}),"")</f>
        <v>0</v>
      </c>
      <c r="AJ25" s="19">
        <f>iferror(if(AH25="",E25,AH25)*AI25,"")</f>
        <v>0</v>
      </c>
      <c r="AK25" s="20" t="s">
        <v>241</v>
      </c>
    </row>
    <row r="26" spans="1:47">
      <c r="A26" s="17" t="s">
        <v>71</v>
      </c>
      <c r="B26" s="17" t="s">
        <v>72</v>
      </c>
      <c r="C26" s="17" t="s">
        <v>73</v>
      </c>
      <c r="D26" s="17" t="s">
        <v>74</v>
      </c>
      <c r="E26" s="17">
        <f>CEILING(BoardQty*1.0,1)</f>
        <v>100</v>
      </c>
      <c r="F26" s="18">
        <f>MINA(J26,O26,T26,Y26,AD26,AI26,AN26,AS26)</f>
        <v>0</v>
      </c>
      <c r="G26" s="19">
        <f>iferror(E26*F26,"")</f>
        <v>0</v>
      </c>
    </row>
    <row r="27" spans="1:47">
      <c r="A27" s="17" t="s">
        <v>75</v>
      </c>
      <c r="B27" s="17" t="s">
        <v>76</v>
      </c>
      <c r="C27" s="17" t="s">
        <v>73</v>
      </c>
      <c r="D27" s="17" t="s">
        <v>77</v>
      </c>
      <c r="E27" s="17">
        <f>CEILING(BoardQty*1.0,1)</f>
        <v>100</v>
      </c>
      <c r="F27" s="18">
        <f>MINA(J27,O27,T27,Y27,AD27,AI27,AN27,AS27)</f>
        <v>0</v>
      </c>
      <c r="G27" s="19">
        <f>iferror(E27*F27,"")</f>
        <v>0</v>
      </c>
    </row>
    <row r="28" spans="1:47">
      <c r="A28" s="17" t="s">
        <v>78</v>
      </c>
      <c r="B28" s="17" t="s">
        <v>79</v>
      </c>
      <c r="C28" s="17" t="s">
        <v>69</v>
      </c>
      <c r="D28" s="17" t="s">
        <v>80</v>
      </c>
      <c r="E28" s="17">
        <f>CEILING(BoardQty*1.0,1)</f>
        <v>100</v>
      </c>
      <c r="F28" s="18">
        <f>MINA(J28,O28,T28,Y28,AD28,AI28,AN28,AS28)</f>
        <v>0</v>
      </c>
      <c r="G28" s="19">
        <f>iferror(E28*F28,"")</f>
        <v>0</v>
      </c>
      <c r="M28" s="17">
        <v>5700</v>
      </c>
      <c r="O28" s="18">
        <f>iferror(lookup(if(N28="",E28,N28),{0,1,10,100,1000,2500,5000},{0.0,0.18,0.152,0.0593,0.02484,0.02277,0.0207}),"")</f>
        <v>0</v>
      </c>
      <c r="P28" s="19">
        <f>iferror(if(N28="",E28,N28)*O28,"")</f>
        <v>0</v>
      </c>
      <c r="Q28" s="20" t="s">
        <v>165</v>
      </c>
      <c r="R28" s="17">
        <v>2318</v>
      </c>
      <c r="T28" s="18">
        <f>iferror(USD_GBP*lookup(if(S28="",E28,S28),{0,1,10,100,500,1000,2500,5000,25000},{0.0,0.122,0.122,0.0483,0.0452,0.02,0.0189,0.0168,0.0165}),"")</f>
        <v>0</v>
      </c>
      <c r="U28" s="19">
        <f>iferror(if(S28="",E28,S28)*T28,"")</f>
        <v>0</v>
      </c>
      <c r="V28" s="20" t="s">
        <v>186</v>
      </c>
      <c r="AB28" s="17">
        <v>5470</v>
      </c>
      <c r="AD28" s="18">
        <f>iferror(lookup(if(AC28="",E28,AC28),{0,1,10,50,100,1000,10000},{0.0,0.19,0.167,0.167,0.066,0.028,0.022}),"")</f>
        <v>0</v>
      </c>
      <c r="AE28" s="19">
        <f>iferror(if(AC28="",E28,AC28)*AD28,"")</f>
        <v>0</v>
      </c>
      <c r="AF28" s="20" t="s">
        <v>216</v>
      </c>
      <c r="AG28" s="17">
        <v>2318</v>
      </c>
      <c r="AI28" s="18">
        <f>iferror(lookup(if(AH28="",E28,AH28),{0,1,10,100,500,1000,2500},{0.0,0.152,0.152,0.059,0.042,0.024,0.022}),"")</f>
        <v>0</v>
      </c>
      <c r="AJ28" s="19">
        <f>iferror(if(AH28="",E28,AH28)*AI28,"")</f>
        <v>0</v>
      </c>
      <c r="AK28" s="20" t="s">
        <v>242</v>
      </c>
    </row>
    <row r="29" spans="1:47">
      <c r="A29" s="17" t="s">
        <v>81</v>
      </c>
      <c r="B29" s="17" t="s">
        <v>68</v>
      </c>
      <c r="C29" s="17" t="s">
        <v>69</v>
      </c>
      <c r="D29" s="17" t="s">
        <v>82</v>
      </c>
      <c r="E29" s="17">
        <f>CEILING(BoardQty*1.0,1)</f>
        <v>100</v>
      </c>
      <c r="F29" s="18">
        <f>MINA(J29,O29,T29,Y29,AD29,AI29,AN29,AS29)</f>
        <v>0</v>
      </c>
      <c r="G29" s="19">
        <f>iferror(E29*F29,"")</f>
        <v>0</v>
      </c>
      <c r="M29" s="21" t="s">
        <v>155</v>
      </c>
      <c r="O29" s="18">
        <f>iferror(lookup(if(N29="",E29,N29),{0,1,10,100,1000,2500,5000},{0.0,0.15,0.13,0.05,0.02201,0.01901,0.01701}),"")</f>
        <v>0</v>
      </c>
      <c r="P29" s="19">
        <f>iferror(if(N29="",E29,N29)*O29,"")</f>
        <v>0</v>
      </c>
      <c r="Q29" s="20" t="s">
        <v>166</v>
      </c>
      <c r="AB29" s="17">
        <v>15665</v>
      </c>
      <c r="AD29" s="18">
        <f>iferror(lookup(if(AC29="",E29,AC29),{0,1,10,50,100,1000,10000},{0.0,0.15,0.134,0.134,0.052,0.023,0.017}),"")</f>
        <v>0</v>
      </c>
      <c r="AE29" s="19">
        <f>iferror(if(AC29="",E29,AC29)*AD29,"")</f>
        <v>0</v>
      </c>
      <c r="AF29" s="20" t="s">
        <v>217</v>
      </c>
    </row>
    <row r="30" spans="1:47">
      <c r="A30" s="17" t="s">
        <v>83</v>
      </c>
      <c r="B30" s="17" t="s">
        <v>84</v>
      </c>
      <c r="C30" s="17" t="s">
        <v>69</v>
      </c>
      <c r="D30" s="17" t="s">
        <v>85</v>
      </c>
      <c r="E30" s="17">
        <f>CEILING(BoardQty*1.0,1)</f>
        <v>100</v>
      </c>
      <c r="F30" s="18">
        <f>MINA(J30,O30,T30,Y30,AD30,AI30,AN30,AS30)</f>
        <v>0</v>
      </c>
      <c r="G30" s="19">
        <f>iferror(E30*F30,"")</f>
        <v>0</v>
      </c>
      <c r="M30" s="21" t="s">
        <v>155</v>
      </c>
      <c r="O30" s="18">
        <f>iferror(lookup(if(N30="",E30,N30),{0,1,25000},{0.0,0.005,0.005}),"")</f>
        <v>0</v>
      </c>
      <c r="P30" s="19">
        <f>iferror(if(N30="",E30,N30)*O30,"")</f>
        <v>0</v>
      </c>
      <c r="Q30" s="20" t="s">
        <v>167</v>
      </c>
      <c r="AB30" s="17">
        <v>23062</v>
      </c>
      <c r="AD30" s="18">
        <f>iferror(lookup(if(AC30="",E30,AC30),{0,1,10,50,100,1000,10000},{0.0,0.1,0.05,0.05,0.021,0.01,0.005}),"")</f>
        <v>0</v>
      </c>
      <c r="AE30" s="19">
        <f>iferror(if(AC30="",E30,AC30)*AD30,"")</f>
        <v>0</v>
      </c>
      <c r="AF30" s="20" t="s">
        <v>218</v>
      </c>
      <c r="AG30" s="21" t="s">
        <v>155</v>
      </c>
      <c r="AI30" s="18">
        <f>iferror(lookup(if(AH30="",E30,AH30),{0,1,25000},{0.0,0.005,0.005}),"")</f>
        <v>0</v>
      </c>
      <c r="AJ30" s="19">
        <f>iferror(if(AH30="",E30,AH30)*AI30,"")</f>
        <v>0</v>
      </c>
      <c r="AK30" s="20" t="s">
        <v>243</v>
      </c>
    </row>
    <row r="31" spans="1:47">
      <c r="A31" s="17" t="s">
        <v>86</v>
      </c>
      <c r="B31" s="17" t="s">
        <v>87</v>
      </c>
      <c r="C31" s="17" t="s">
        <v>69</v>
      </c>
      <c r="D31" s="17" t="s">
        <v>88</v>
      </c>
      <c r="E31" s="17">
        <f>CEILING(BoardQty*1.0,1)</f>
        <v>100</v>
      </c>
      <c r="F31" s="18">
        <f>MINA(J31,O31,T31,Y31,AD31,AI31,AN31,AS31)</f>
        <v>0</v>
      </c>
      <c r="G31" s="19">
        <f>iferror(E31*F31,"")</f>
        <v>0</v>
      </c>
      <c r="H31" s="17">
        <v>4925</v>
      </c>
      <c r="J31" s="18">
        <f>iferror(lookup(if(I31="",E31,I31),{0,1,10,25,100,250,500,1000,3000},{0.0,0.0629,0.0293,0.029,0.0111,0.011,0.0108,0.0063,0.0056}),"")</f>
        <v>0</v>
      </c>
      <c r="K31" s="19">
        <f>iferror(if(I31="",E31,I31)*J31,"")</f>
        <v>0</v>
      </c>
      <c r="L31" s="20" t="s">
        <v>144</v>
      </c>
      <c r="M31" s="21" t="s">
        <v>155</v>
      </c>
      <c r="O31" s="18">
        <f>iferror(lookup(if(N31="",E31,N31),{0,1,10,100,1000,2500,5000},{0.0,0.1,0.071,0.029,0.01304,0.01132,0.00935}),"")</f>
        <v>0</v>
      </c>
      <c r="P31" s="19">
        <f>iferror(if(N31="",E31,N31)*O31,"")</f>
        <v>0</v>
      </c>
      <c r="Q31" s="20" t="s">
        <v>168</v>
      </c>
      <c r="AB31" s="17">
        <v>8025</v>
      </c>
      <c r="AD31" s="18">
        <f>iferror(lookup(if(AC31="",E31,AC31),{0,1,10,50,100,1000,10000},{0.0,0.1,0.067,0.067,0.027,0.015,0.008}),"")</f>
        <v>0</v>
      </c>
      <c r="AE31" s="19">
        <f>iferror(if(AC31="",E31,AC31)*AD31,"")</f>
        <v>0</v>
      </c>
      <c r="AF31" s="20" t="s">
        <v>219</v>
      </c>
    </row>
    <row r="32" spans="1:47">
      <c r="A32" s="17" t="s">
        <v>89</v>
      </c>
      <c r="B32" s="17" t="s">
        <v>90</v>
      </c>
      <c r="C32" s="17" t="s">
        <v>69</v>
      </c>
      <c r="D32" s="17" t="s">
        <v>85</v>
      </c>
      <c r="E32" s="17">
        <f>CEILING(BoardQty*1.0,1)</f>
        <v>100</v>
      </c>
      <c r="F32" s="18">
        <f>MINA(J32,O32,T32,Y32,AD32,AI32,AN32,AS32)</f>
        <v>0</v>
      </c>
      <c r="G32" s="19">
        <f>iferror(E32*F32,"")</f>
        <v>0</v>
      </c>
      <c r="M32" s="21" t="s">
        <v>155</v>
      </c>
      <c r="O32" s="18">
        <f>iferror(lookup(if(N32="",E32,N32),{0,1,25000},{0.0,0.005,0.005}),"")</f>
        <v>0</v>
      </c>
      <c r="P32" s="19">
        <f>iferror(if(N32="",E32,N32)*O32,"")</f>
        <v>0</v>
      </c>
      <c r="Q32" s="20" t="s">
        <v>167</v>
      </c>
      <c r="AB32" s="17">
        <v>23062</v>
      </c>
      <c r="AD32" s="18">
        <f>iferror(lookup(if(AC32="",E32,AC32),{0,1,10,50,100,1000,10000},{0.0,0.1,0.05,0.05,0.021,0.01,0.005}),"")</f>
        <v>0</v>
      </c>
      <c r="AE32" s="19">
        <f>iferror(if(AC32="",E32,AC32)*AD32,"")</f>
        <v>0</v>
      </c>
      <c r="AF32" s="20" t="s">
        <v>218</v>
      </c>
      <c r="AG32" s="21" t="s">
        <v>155</v>
      </c>
      <c r="AI32" s="18">
        <f>iferror(lookup(if(AH32="",E32,AH32),{0,1,25000},{0.0,0.005,0.005}),"")</f>
        <v>0</v>
      </c>
      <c r="AJ32" s="19">
        <f>iferror(if(AH32="",E32,AH32)*AI32,"")</f>
        <v>0</v>
      </c>
      <c r="AK32" s="20" t="s">
        <v>243</v>
      </c>
    </row>
    <row r="33" spans="1:47">
      <c r="A33" s="17" t="s">
        <v>91</v>
      </c>
      <c r="B33" s="17" t="s">
        <v>92</v>
      </c>
      <c r="C33" s="17" t="s">
        <v>93</v>
      </c>
      <c r="D33" s="17" t="s">
        <v>94</v>
      </c>
      <c r="E33" s="17">
        <f>CEILING(BoardQty*1.0,1)</f>
        <v>100</v>
      </c>
      <c r="F33" s="18">
        <f>MINA(J33,O33,T33,Y33,AD33,AI33,AN33,AS33)</f>
        <v>0</v>
      </c>
      <c r="G33" s="19">
        <f>iferror(E33*F33,"")</f>
        <v>0</v>
      </c>
      <c r="H33" s="17">
        <v>5000</v>
      </c>
      <c r="J33" s="18">
        <f>iferror(lookup(if(I33="",E33,I33),{0,1,10,25,100,250,500,1000,3000},{0.0,0.5804,0.4236,0.4135,0.3234,0.3182,0.2317,0.1865,0.1807}),"")</f>
        <v>0</v>
      </c>
      <c r="K33" s="19">
        <f>iferror(if(I33="",E33,I33)*J33,"")</f>
        <v>0</v>
      </c>
      <c r="L33" s="20" t="s">
        <v>94</v>
      </c>
      <c r="M33" s="17">
        <v>4095</v>
      </c>
      <c r="O33" s="18">
        <f>iferror(lookup(if(N33="",E33,N33),{0,1,10,25,50,100,250,500,1000,5000},{0.0,0.61,0.505,0.4332,0.3898,0.3393,0.3032,0.24544,0.19852,0.1925}),"")</f>
        <v>0</v>
      </c>
      <c r="P33" s="19">
        <f>iferror(if(N33="",E33,N33)*O33,"")</f>
        <v>0</v>
      </c>
      <c r="Q33" s="20" t="s">
        <v>169</v>
      </c>
      <c r="R33" s="17">
        <v>8940</v>
      </c>
      <c r="T33" s="18">
        <f>iferror(USD_GBP*lookup(if(S33="",E33,S33),{0,1,10,25,50,100,250,500,1000,2500,5000,25000},{0.0,0.561,0.35,0.404,0.306,0.31,0.206,0.271,0.231,0.192,0.188,0.156}),"")</f>
        <v>0</v>
      </c>
      <c r="U33" s="19">
        <f>iferror(if(S33="",E33,S33)*T33,"")</f>
        <v>0</v>
      </c>
      <c r="V33" s="20" t="s">
        <v>187</v>
      </c>
      <c r="AB33" s="17">
        <v>8580</v>
      </c>
      <c r="AD33" s="18">
        <f>iferror(lookup(if(AC33="",E33,AC33),{0,1,10,50,100,1000,10000},{0.0,0.61,0.39,0.39,0.243,0.199,0.192}),"")</f>
        <v>0</v>
      </c>
      <c r="AE33" s="19">
        <f>iferror(if(AC33="",E33,AC33)*AD33,"")</f>
        <v>0</v>
      </c>
      <c r="AF33" s="20" t="s">
        <v>220</v>
      </c>
      <c r="AG33" s="17">
        <v>1234</v>
      </c>
      <c r="AI33" s="18">
        <f>iferror(lookup(if(AH33="",E33,AH33),{0,1,25,50,100,250,500,5000},{0.0,0.179,0.495,0.375,0.271,0.253,0.233,0.179}),"")</f>
        <v>0</v>
      </c>
      <c r="AJ33" s="19">
        <f>iferror(if(AH33="",E33,AH33)*AI33,"")</f>
        <v>0</v>
      </c>
      <c r="AK33" s="20" t="s">
        <v>244</v>
      </c>
    </row>
    <row r="34" spans="1:47">
      <c r="A34" s="17" t="s">
        <v>95</v>
      </c>
      <c r="B34" s="17" t="s">
        <v>96</v>
      </c>
      <c r="C34" s="17" t="s">
        <v>69</v>
      </c>
      <c r="D34" s="17" t="s">
        <v>97</v>
      </c>
      <c r="E34" s="17">
        <f>CEILING(BoardQty*1.0,1)</f>
        <v>100</v>
      </c>
      <c r="F34" s="18">
        <f>MINA(J34,O34,T34,Y34,AD34,AI34,AN34,AS34)</f>
        <v>0</v>
      </c>
      <c r="G34" s="19">
        <f>iferror(E34*F34,"")</f>
        <v>0</v>
      </c>
      <c r="H34" s="17">
        <v>1832</v>
      </c>
      <c r="J34" s="18">
        <f>iferror(lookup(if(I34="",E34,I34),{0,1,10,25,100,250,500,1000},{0.0,0.0679,0.0278,0.0275,0.0122,0.0106,0.0105,0.0066}),"")</f>
        <v>0</v>
      </c>
      <c r="K34" s="19">
        <f>iferror(if(I34="",E34,I34)*J34,"")</f>
        <v>0</v>
      </c>
      <c r="L34" s="20" t="s">
        <v>145</v>
      </c>
      <c r="M34" s="17">
        <v>214995</v>
      </c>
      <c r="O34" s="18">
        <f>iferror(lookup(if(N34="",E34,N34),{0,1,10,100,1000,2500,5000},{0.0,0.1,0.042,0.0169,0.00759,0.00659,0.00544}),"")</f>
        <v>0</v>
      </c>
      <c r="P34" s="19">
        <f>iferror(if(N34="",E34,N34)*O34,"")</f>
        <v>0</v>
      </c>
      <c r="Q34" s="20" t="s">
        <v>170</v>
      </c>
      <c r="R34" s="17">
        <v>13710</v>
      </c>
      <c r="T34" s="18">
        <f>iferror(USD_GBP*lookup(if(S34="",E34,S34),{0,1,10,100,500,1000,2500,5000,25000},{0.0,0.023,0.023,0.01,0.0075,0.005,0.0045,0.004,0.0039}),"")</f>
        <v>0</v>
      </c>
      <c r="U34" s="19">
        <f>iferror(if(S34="",E34,S34)*T34,"")</f>
        <v>0</v>
      </c>
      <c r="V34" s="20" t="s">
        <v>188</v>
      </c>
      <c r="AB34" s="17">
        <v>22207</v>
      </c>
      <c r="AD34" s="18">
        <f>iferror(lookup(if(AC34="",E34,AC34),{0,1,10,50,100,1000,10000},{0.0,0.1,0.031,0.031,0.013,0.007,0.005}),"")</f>
        <v>0</v>
      </c>
      <c r="AE34" s="19">
        <f>iferror(if(AC34="",E34,AC34)*AD34,"")</f>
        <v>0</v>
      </c>
      <c r="AF34" s="20" t="s">
        <v>221</v>
      </c>
      <c r="AG34" s="17">
        <v>12880</v>
      </c>
      <c r="AI34" s="18">
        <f>iferror(lookup(if(AH34="",E34,AH34),{0,1,10,25,50,100},{0.0,0.102,0.025,0.02,0.015,0.01}),"")</f>
        <v>0</v>
      </c>
      <c r="AJ34" s="19">
        <f>iferror(if(AH34="",E34,AH34)*AI34,"")</f>
        <v>0</v>
      </c>
      <c r="AK34" s="20" t="s">
        <v>245</v>
      </c>
      <c r="AQ34" s="17">
        <v>790</v>
      </c>
      <c r="AS34" s="18">
        <f>iferror(USD_GBP*lookup(if(AR34="",E34,AR34),{0,1,100,1000,5000,15000,50000},{0.0,0.038,0.038,0.01614,0.00618,0.00467,0.004}),"")</f>
        <v>0</v>
      </c>
      <c r="AT34" s="19">
        <f>iferror(if(AR34="",E34,AR34)*AS34,"")</f>
        <v>0</v>
      </c>
      <c r="AU34" s="20" t="s">
        <v>145</v>
      </c>
    </row>
    <row r="35" spans="1:47">
      <c r="A35" s="17" t="s">
        <v>98</v>
      </c>
      <c r="B35" s="17" t="s">
        <v>99</v>
      </c>
      <c r="C35" s="17" t="s">
        <v>69</v>
      </c>
      <c r="D35" s="17" t="s">
        <v>100</v>
      </c>
      <c r="E35" s="17">
        <f>CEILING(BoardQty*3.0,1)</f>
        <v>300</v>
      </c>
      <c r="F35" s="18">
        <f>MINA(J35,O35,T35,Y35,AD35,AI35,AN35,AS35)</f>
        <v>0</v>
      </c>
      <c r="G35" s="19">
        <f>iferror(E35*F35,"")</f>
        <v>0</v>
      </c>
      <c r="H35" s="17">
        <v>8275</v>
      </c>
      <c r="J35" s="18">
        <f>iferror(lookup(if(I35="",E35,I35),{0,1,10,25,100,250,500,1000,3000,6000},{0.0,0.1418,0.0833,0.0786,0.0458,0.0454,0.0358,0.0245,0.0243,0.02}),"")</f>
        <v>0</v>
      </c>
      <c r="K35" s="19">
        <f>iferror(if(I35="",E35,I35)*J35,"")</f>
        <v>0</v>
      </c>
      <c r="L35" s="20" t="s">
        <v>146</v>
      </c>
      <c r="M35" s="17">
        <v>4000</v>
      </c>
      <c r="O35" s="18">
        <f>iferror(lookup(if(N35="",E35,N35),{0,1,10,25,50,100,250,500,1000,5000,10000,25000},{0.0,0.19,0.157,0.1144,0.083,0.0615,0.0472,0.03718,0.02574,0.02145,0.02002,0.01945}),"")</f>
        <v>0</v>
      </c>
      <c r="P35" s="19">
        <f>iferror(if(N35="",E35,N35)*O35,"")</f>
        <v>0</v>
      </c>
      <c r="Q35" s="20" t="s">
        <v>171</v>
      </c>
      <c r="R35" s="17">
        <v>21</v>
      </c>
      <c r="T35" s="18">
        <f>iferror(USD_GBP*lookup(if(S35="",E35,S35),{0,1,10,100,500,1000,2500,5000,25000},{0.0,0.0781,0.0781,0.042,0.0314,0.0246,0.0237,0.0209,0.0173}),"")</f>
        <v>0</v>
      </c>
      <c r="U35" s="19">
        <f>iferror(if(S35="",E35,S35)*T35,"")</f>
        <v>0</v>
      </c>
      <c r="V35" s="20" t="s">
        <v>189</v>
      </c>
      <c r="AB35" s="17">
        <v>18412</v>
      </c>
      <c r="AD35" s="18">
        <f>iferror(lookup(if(AC35="",E35,AC35),{0,1,10,50,100,1000,10000},{0.0,0.17,0.072,0.072,0.044,0.026,0.022}),"")</f>
        <v>0</v>
      </c>
      <c r="AE35" s="19">
        <f>iferror(if(AC35="",E35,AC35)*AD35,"")</f>
        <v>0</v>
      </c>
      <c r="AF35" s="20" t="s">
        <v>222</v>
      </c>
      <c r="AG35" s="17">
        <v>11</v>
      </c>
      <c r="AI35" s="18">
        <f>iferror(lookup(if(AH35="",E35,AH35),{0,1,25,50,100,250,500,5000},{0.0,0.023,0.015,0.015,0.015,0.015,0.015,0.023}),"")</f>
        <v>0</v>
      </c>
      <c r="AJ35" s="19">
        <f>iferror(if(AH35="",E35,AH35)*AI35,"")</f>
        <v>0</v>
      </c>
      <c r="AK35" s="20" t="s">
        <v>246</v>
      </c>
      <c r="AL35" s="17">
        <v>3350</v>
      </c>
      <c r="AN35" s="18">
        <f>iferror(USD_GBP*lookup(if(AM35="",E35,AM35),{0,1,10,100,250,500,1000,5000,25000,50000,100000},{0.0,0.089,0.089,0.083,0.077,0.072,0.066,0.019,0.017,0.016,0.015}),"")</f>
        <v>0</v>
      </c>
      <c r="AO35" s="19">
        <f>iferror(if(AM35="",E35,AM35)*AN35,"")</f>
        <v>0</v>
      </c>
      <c r="AP35" s="20" t="s">
        <v>257</v>
      </c>
    </row>
    <row r="36" spans="1:47">
      <c r="A36" s="17" t="s">
        <v>101</v>
      </c>
      <c r="B36" s="17" t="s">
        <v>102</v>
      </c>
      <c r="C36" s="17" t="s">
        <v>69</v>
      </c>
      <c r="D36" s="17" t="s">
        <v>103</v>
      </c>
      <c r="E36" s="17">
        <f>CEILING(BoardQty*3.0,1)</f>
        <v>300</v>
      </c>
      <c r="F36" s="18">
        <f>MINA(J36,O36,T36,Y36,AD36,AI36,AN36,AS36)</f>
        <v>0</v>
      </c>
      <c r="G36" s="19">
        <f>iferror(E36*F36,"")</f>
        <v>0</v>
      </c>
      <c r="H36" s="17">
        <v>49</v>
      </c>
      <c r="J36" s="18">
        <f>iferror(lookup(if(I36="",E36,I36),{0,1,10,100,250,1000},{0.0,0.0959,0.0351,0.0138,0.0137,0.0067}),"")</f>
        <v>0</v>
      </c>
      <c r="K36" s="19">
        <f>iferror(if(I36="",E36,I36)*J36,"")</f>
        <v>0</v>
      </c>
      <c r="L36" s="20" t="s">
        <v>103</v>
      </c>
      <c r="M36" s="17">
        <v>69322</v>
      </c>
      <c r="O36" s="18">
        <f>iferror(lookup(if(N36="",E36,N36),{0,1,10,100,1000,2500,5000},{0.0,0.1,0.04,0.0163,0.00731,0.00635,0.00524}),"")</f>
        <v>0</v>
      </c>
      <c r="P36" s="19">
        <f>iferror(if(N36="",E36,N36)*O36,"")</f>
        <v>0</v>
      </c>
      <c r="Q36" s="20" t="s">
        <v>172</v>
      </c>
      <c r="AB36" s="17">
        <v>138976</v>
      </c>
      <c r="AD36" s="18">
        <f>iferror(lookup(if(AC36="",E36,AC36),{0,1,10,50,100,1000,10000},{0.0,0.1,0.042,0.042,0.019,0.009,0.005}),"")</f>
        <v>0</v>
      </c>
      <c r="AE36" s="19">
        <f>iferror(if(AC36="",E36,AC36)*AD36,"")</f>
        <v>0</v>
      </c>
      <c r="AF36" s="20" t="s">
        <v>223</v>
      </c>
      <c r="AG36" s="21" t="s">
        <v>155</v>
      </c>
      <c r="AI36" s="18">
        <f>iferror(lookup(if(AH36="",E36,AH36),{0,1,250,500,1000,5000,40000},{0.0,0.011,0.009,0.008,0.007,0.007,0.005}),"")</f>
        <v>0</v>
      </c>
      <c r="AJ36" s="19">
        <f>iferror(if(AH36="",E36,AH36)*AI36,"")</f>
        <v>0</v>
      </c>
      <c r="AK36" s="20" t="s">
        <v>247</v>
      </c>
    </row>
    <row r="37" spans="1:47">
      <c r="A37" s="17" t="s">
        <v>104</v>
      </c>
      <c r="B37" s="17" t="s">
        <v>105</v>
      </c>
      <c r="C37" s="17" t="s">
        <v>69</v>
      </c>
      <c r="D37" s="17" t="s">
        <v>106</v>
      </c>
      <c r="E37" s="17">
        <f>CEILING(BoardQty*1.0,1)</f>
        <v>100</v>
      </c>
      <c r="F37" s="18">
        <f>MINA(J37,O37,T37,Y37,AD37,AI37,AN37,AS37)</f>
        <v>0</v>
      </c>
      <c r="G37" s="19">
        <f>iferror(E37*F37,"")</f>
        <v>0</v>
      </c>
      <c r="M37" s="17">
        <v>722</v>
      </c>
      <c r="O37" s="18">
        <f>iferror(lookup(if(N37="",E37,N37),{0,1,10,100,1000,2500,5000},{0.0,0.1,0.067,0.0271,0.01219,0.01058,0.00874}),"")</f>
        <v>0</v>
      </c>
      <c r="P37" s="19">
        <f>iferror(if(N37="",E37,N37)*O37,"")</f>
        <v>0</v>
      </c>
      <c r="Q37" s="20" t="s">
        <v>173</v>
      </c>
      <c r="R37" s="17">
        <v>9755</v>
      </c>
      <c r="T37" s="18">
        <f>iferror(USD_GBP*lookup(if(S37="",E37,S37),{0,1,10,100,500,1000,5000,25000},{0.0,0.047,0.047,0.022,0.019,0.01,0.0052,0.0043}),"")</f>
        <v>0</v>
      </c>
      <c r="U37" s="19">
        <f>iferror(if(S37="",E37,S37)*T37,"")</f>
        <v>0</v>
      </c>
      <c r="V37" s="20" t="s">
        <v>190</v>
      </c>
      <c r="AB37" s="17">
        <v>686</v>
      </c>
      <c r="AD37" s="18">
        <f>iferror(lookup(if(AC37="",E37,AC37),{0,1,10,50,100,1000,10000},{0.0,0.1,0.061,0.061,0.028,0.013,0.008}),"")</f>
        <v>0</v>
      </c>
      <c r="AE37" s="19">
        <f>iferror(if(AC37="",E37,AC37)*AD37,"")</f>
        <v>0</v>
      </c>
      <c r="AF37" s="20" t="s">
        <v>224</v>
      </c>
      <c r="AG37" s="17">
        <v>2610</v>
      </c>
      <c r="AI37" s="18">
        <f>iferror(lookup(if(AH37="",E37,AH37),{0,1,25,50,100,250,500,20000},{0.0,0.008,0.061,0.045,0.028,0.027,0.025,0.008}),"")</f>
        <v>0</v>
      </c>
      <c r="AJ37" s="19">
        <f>iferror(if(AH37="",E37,AH37)*AI37,"")</f>
        <v>0</v>
      </c>
      <c r="AK37" s="20" t="s">
        <v>248</v>
      </c>
    </row>
    <row r="38" spans="1:47">
      <c r="A38" s="17" t="s">
        <v>107</v>
      </c>
      <c r="B38" s="17" t="s">
        <v>108</v>
      </c>
      <c r="C38" s="17" t="s">
        <v>69</v>
      </c>
      <c r="D38" s="17" t="s">
        <v>109</v>
      </c>
      <c r="E38" s="17">
        <f>CEILING(BoardQty*1.0,1)</f>
        <v>100</v>
      </c>
      <c r="F38" s="18">
        <f>MINA(J38,O38,T38,Y38,AD38,AI38,AN38,AS38)</f>
        <v>0</v>
      </c>
      <c r="G38" s="19">
        <f>iferror(E38*F38,"")</f>
        <v>0</v>
      </c>
      <c r="AB38" s="17">
        <v>20432</v>
      </c>
      <c r="AD38" s="18">
        <f>iferror(lookup(if(AC38="",E38,AC38),{0,1,10,50,100,1000,10000},{0.0,0.1,0.037,0.037,0.015,0.007,0.004}),"")</f>
        <v>0</v>
      </c>
      <c r="AE38" s="19">
        <f>iferror(if(AC38="",E38,AC38)*AD38,"")</f>
        <v>0</v>
      </c>
      <c r="AF38" s="20" t="s">
        <v>225</v>
      </c>
    </row>
    <row r="39" spans="1:47">
      <c r="A39" s="17" t="s">
        <v>110</v>
      </c>
      <c r="B39" s="17" t="s">
        <v>111</v>
      </c>
      <c r="C39" s="17" t="s">
        <v>111</v>
      </c>
      <c r="D39" s="17" t="s">
        <v>111</v>
      </c>
      <c r="E39" s="17">
        <f>CEILING(BoardQty*1.0,1)</f>
        <v>100</v>
      </c>
      <c r="F39" s="18">
        <f>MINA(J39,O39,T39,Y39,AD39,AI39,AN39,AS39)</f>
        <v>0</v>
      </c>
      <c r="G39" s="19">
        <f>iferror(E39*F39,"")</f>
        <v>0</v>
      </c>
      <c r="H39" s="17">
        <v>750</v>
      </c>
      <c r="J39" s="18">
        <f>iferror(lookup(if(I39="",E39,I39),{0,1,10,25,60,120,300,540,1020,2520},{0.0,2.6337,2.2056,1.8672,1.748,1.6564,1.6042,1.5565,1.5093,1.3485}),"")</f>
        <v>0</v>
      </c>
      <c r="K39" s="19">
        <f>iferror(if(I39="",E39,I39)*J39,"")</f>
        <v>0</v>
      </c>
      <c r="L39" s="20" t="s">
        <v>111</v>
      </c>
      <c r="M39" s="21" t="s">
        <v>155</v>
      </c>
      <c r="O39" s="18">
        <f>iferror(lookup(if(N39="",E39,N39),{0,1,10,25,60,120,240,480,960,4920},{0.0,2.96,2.397,1.938,1.81567,1.734,1.683,1.632,1.581,1.4535}),"")</f>
        <v>0</v>
      </c>
      <c r="P39" s="19">
        <f>iferror(if(N39="",E39,N39)*O39,"")</f>
        <v>0</v>
      </c>
      <c r="Q39" s="20" t="s">
        <v>174</v>
      </c>
      <c r="AB39" s="17">
        <v>2751</v>
      </c>
      <c r="AD39" s="18">
        <f>iferror(lookup(if(AC39="",E39,AC39),{0,1,10,50,100,1000,10000},{0.0,2.86,2.36,1.98,1.86,1.66,1.48}),"")</f>
        <v>0</v>
      </c>
      <c r="AE39" s="19">
        <f>iferror(if(AC39="",E39,AC39)*AD39,"")</f>
        <v>0</v>
      </c>
      <c r="AF39" s="20" t="s">
        <v>226</v>
      </c>
    </row>
    <row r="40" spans="1:47">
      <c r="A40" s="17" t="s">
        <v>112</v>
      </c>
      <c r="B40" s="17" t="s">
        <v>113</v>
      </c>
      <c r="C40" s="17" t="s">
        <v>114</v>
      </c>
      <c r="D40" s="17" t="s">
        <v>115</v>
      </c>
      <c r="E40" s="17">
        <f>CEILING(BoardQty*1.0,1)</f>
        <v>100</v>
      </c>
      <c r="F40" s="18">
        <f>MINA(J40,O40,T40,Y40,AD40,AI40,AN40,AS40)</f>
        <v>0</v>
      </c>
      <c r="G40" s="19">
        <f>iferror(E40*F40,"")</f>
        <v>0</v>
      </c>
      <c r="H40" s="17">
        <v>2609</v>
      </c>
      <c r="J40" s="18">
        <f>iferror(lookup(if(I40="",E40,I40),{0,1,10,100},{0.0,1.4703,1.2677,0.7189}),"")</f>
        <v>0</v>
      </c>
      <c r="K40" s="19">
        <f>iferror(if(I40="",E40,I40)*J40,"")</f>
        <v>0</v>
      </c>
      <c r="L40" s="20" t="s">
        <v>115</v>
      </c>
      <c r="M40" s="17">
        <v>3797</v>
      </c>
      <c r="O40" s="18">
        <f>iferror(lookup(if(N40="",E40,N40),{0,1,10,25,100,250,500,1000,4000},{0.0,1.61,1.438,1.3652,1.1215,1.04832,0.92644,0.7314,0.7875}),"")</f>
        <v>0</v>
      </c>
      <c r="P40" s="19">
        <f>iferror(if(N40="",E40,N40)*O40,"")</f>
        <v>0</v>
      </c>
      <c r="Q40" s="20" t="s">
        <v>175</v>
      </c>
      <c r="R40" s="17">
        <v>3969</v>
      </c>
      <c r="T40" s="18">
        <f>iferror(USD_GBP*lookup(if(S40="",E40,S40),{0,1,5,10,100,500,4000,8000,12000},{0.0,1.32,1.32,1.13,0.87,0.59,0.578,0.566,0.555}),"")</f>
        <v>0</v>
      </c>
      <c r="U40" s="19">
        <f>iferror(if(S40="",E40,S40)*T40,"")</f>
        <v>0</v>
      </c>
      <c r="V40" s="20" t="s">
        <v>191</v>
      </c>
      <c r="AB40" s="17">
        <v>1355</v>
      </c>
      <c r="AD40" s="18">
        <f>iferror(lookup(if(AC40="",E40,AC40),{0,1,10,50,100,1000,10000},{0.0,1.57,1.41,1.34,1.1,0.716,0.697}),"")</f>
        <v>0</v>
      </c>
      <c r="AE40" s="19">
        <f>iferror(if(AC40="",E40,AC40)*AD40,"")</f>
        <v>0</v>
      </c>
      <c r="AF40" s="20" t="s">
        <v>227</v>
      </c>
      <c r="AG40" s="17">
        <v>3969</v>
      </c>
      <c r="AI40" s="18">
        <f>iferror(lookup(if(AH40="",E40,AH40),{0,1,5,10,100},{0.0,1.67,1.67,1.49,1.16}),"")</f>
        <v>0</v>
      </c>
      <c r="AJ40" s="19">
        <f>iferror(if(AH40="",E40,AH40)*AI40,"")</f>
        <v>0</v>
      </c>
      <c r="AK40" s="20" t="s">
        <v>249</v>
      </c>
    </row>
    <row r="41" spans="1:47">
      <c r="A41" s="17" t="s">
        <v>116</v>
      </c>
      <c r="B41" s="17" t="s">
        <v>117</v>
      </c>
      <c r="C41" s="17" t="s">
        <v>118</v>
      </c>
      <c r="D41" s="17" t="s">
        <v>117</v>
      </c>
      <c r="E41" s="17">
        <f>CEILING(BoardQty*1.0,1)</f>
        <v>100</v>
      </c>
      <c r="F41" s="18">
        <f>MINA(J41,O41,T41,Y41,AD41,AI41,AN41,AS41)</f>
        <v>0</v>
      </c>
      <c r="G41" s="19">
        <f>iferror(E41*F41,"")</f>
        <v>0</v>
      </c>
      <c r="M41" s="21" t="s">
        <v>155</v>
      </c>
      <c r="O41" s="18">
        <f>iferror(lookup(if(N41="",E41,N41),{0,1,10,100,1000},{0.0,0.81,0.53,0.3474,0.30188}),"")</f>
        <v>0</v>
      </c>
      <c r="P41" s="19">
        <f>iferror(if(N41="",E41,N41)*O41,"")</f>
        <v>0</v>
      </c>
      <c r="Q41" s="20" t="s">
        <v>176</v>
      </c>
      <c r="R41" s="17">
        <v>2957</v>
      </c>
      <c r="T41" s="18">
        <f>iferror(USD_GBP*lookup(if(S41="",E41,S41),{0,1,10,25,50},{0.0,0.841,0.626,0.613,0.601}),"")</f>
        <v>0</v>
      </c>
      <c r="U41" s="19">
        <f>iferror(if(S41="",E41,S41)*T41,"")</f>
        <v>0</v>
      </c>
      <c r="V41" s="20" t="s">
        <v>192</v>
      </c>
      <c r="AB41" s="17">
        <v>462</v>
      </c>
      <c r="AD41" s="18">
        <f>iferror(lookup(if(AC41="",E41,AC41),{0,1,10,50,100,1000,10000},{0.0,0.81,0.604,0.604,0.348,0.275,0.267}),"")</f>
        <v>0</v>
      </c>
      <c r="AE41" s="19">
        <f>iferror(if(AC41="",E41,AC41)*AD41,"")</f>
        <v>0</v>
      </c>
      <c r="AF41" s="20" t="s">
        <v>228</v>
      </c>
      <c r="AG41" s="17">
        <v>2158</v>
      </c>
      <c r="AI41" s="18">
        <f>iferror(lookup(if(AH41="",E41,AH41),{0,1,10,100,500,1000},{0.0,1.11,0.729,0.478,0.445,0.414}),"")</f>
        <v>0</v>
      </c>
      <c r="AJ41" s="19">
        <f>iferror(if(AH41="",E41,AH41)*AI41,"")</f>
        <v>0</v>
      </c>
      <c r="AK41" s="20" t="s">
        <v>250</v>
      </c>
      <c r="AQ41" s="17">
        <v>3</v>
      </c>
      <c r="AS41" s="18">
        <f>iferror(USD_GBP*lookup(if(AR41="",E41,AR41),{0,1,5,25,100,500},{0.0,0.55,0.354,0.2608,0.2106,0.1767}),"")</f>
        <v>0</v>
      </c>
      <c r="AT41" s="19">
        <f>iferror(if(AR41="",E41,AR41)*AS41,"")</f>
        <v>0</v>
      </c>
      <c r="AU41" s="20" t="s">
        <v>117</v>
      </c>
    </row>
    <row r="42" spans="1:47">
      <c r="A42" s="17" t="s">
        <v>119</v>
      </c>
      <c r="B42" s="17" t="s">
        <v>120</v>
      </c>
      <c r="C42" s="17" t="s">
        <v>121</v>
      </c>
      <c r="D42" s="17" t="s">
        <v>122</v>
      </c>
      <c r="E42" s="17">
        <f>CEILING(BoardQty*1.0,1)</f>
        <v>100</v>
      </c>
      <c r="F42" s="18">
        <f>MINA(J42,O42,T42,Y42,AD42,AI42,AN42,AS42)</f>
        <v>0</v>
      </c>
      <c r="G42" s="19">
        <f>iferror(E42*F42,"")</f>
        <v>0</v>
      </c>
      <c r="R42" s="21" t="s">
        <v>155</v>
      </c>
      <c r="T42" s="18">
        <f>iferror(USD_GBP*lookup(if(S42="",E42,S42),{0,1,5,10,50,100,150,250,500,1000,2000,5000,6000,10000,20000},{0.0,0.397,0.175,0.292,0.162,0.0746,0.192,0.144,0.119,0.0465,0.106,0.0462,0.0937,0.0458,0.0844}),"")</f>
        <v>0</v>
      </c>
      <c r="U42" s="19">
        <f>iferror(if(S42="",E42,S42)*T42,"")</f>
        <v>0</v>
      </c>
      <c r="V42" s="20" t="s">
        <v>193</v>
      </c>
    </row>
    <row r="43" spans="1:47">
      <c r="A43" s="17" t="s">
        <v>123</v>
      </c>
      <c r="B43" s="17" t="s">
        <v>124</v>
      </c>
      <c r="C43" s="17" t="s">
        <v>121</v>
      </c>
      <c r="D43" s="17" t="s">
        <v>125</v>
      </c>
      <c r="E43" s="17">
        <f>CEILING(BoardQty*1.0,1)</f>
        <v>100</v>
      </c>
      <c r="F43" s="18">
        <f>MINA(J43,O43,T43,Y43,AD43,AI43,AN43,AS43)</f>
        <v>0</v>
      </c>
      <c r="G43" s="19">
        <f>iferror(E43*F43,"")</f>
        <v>0</v>
      </c>
      <c r="M43" s="17">
        <v>58</v>
      </c>
      <c r="O43" s="18">
        <f>iferror(lookup(if(N43="",E43,N43),{0,1},{0.0,22.49}),"")</f>
        <v>0</v>
      </c>
      <c r="P43" s="19">
        <f>iferror(if(N43="",E43,N43)*O43,"")</f>
        <v>0</v>
      </c>
      <c r="Q43" s="20" t="s">
        <v>177</v>
      </c>
      <c r="R43" s="17">
        <v>2</v>
      </c>
      <c r="T43" s="18">
        <f>iferror(USD_GBP*lookup(if(S43="",E43,S43),{0,1},{0.0,16.54}),"")</f>
        <v>0</v>
      </c>
      <c r="U43" s="19">
        <f>iferror(if(S43="",E43,S43)*T43,"")</f>
        <v>0</v>
      </c>
      <c r="V43" s="20" t="s">
        <v>194</v>
      </c>
      <c r="AG43" s="17">
        <v>2</v>
      </c>
      <c r="AI43" s="18">
        <f>iferror(lookup(if(AH43="",E43,AH43),{0,1},{0.0,19.99}),"")</f>
        <v>0</v>
      </c>
      <c r="AJ43" s="19">
        <f>iferror(if(AH43="",E43,AH43)*AI43,"")</f>
        <v>0</v>
      </c>
      <c r="AK43" s="20" t="s">
        <v>251</v>
      </c>
    </row>
    <row r="45" spans="1:47">
      <c r="B45" s="22" t="s">
        <v>128</v>
      </c>
      <c r="F45" s="1" t="s">
        <v>126</v>
      </c>
      <c r="G45" s="5">
        <f>SUM(K45,P45,U45,Z45,AE45,AJ45,AO45,AT45)</f>
        <v>0</v>
      </c>
      <c r="H45" s="20" t="s">
        <v>147</v>
      </c>
      <c r="I45" s="6" t="str">
        <f>IFERROR(IF(OR(I7:I43),COUNTIFS(I7:I43,"&gt;0",K7:K43,"&lt;&gt;")&amp;" of "&amp;(ROWS(K7:K43)-COUNTBLANK(K7:K43))&amp;" parts purchased",""),"")</f>
        <v/>
      </c>
      <c r="K45" s="5">
        <f>SUMIF(I7:I43,"&gt;0",K7:K43)</f>
        <v>0</v>
      </c>
      <c r="M45" s="20" t="s">
        <v>147</v>
      </c>
      <c r="N45" s="6" t="str">
        <f>IFERROR(IF(OR(N7:N43),COUNTIFS(N7:N43,"&gt;0",P7:P43,"&lt;&gt;")&amp;" of "&amp;(ROWS(P7:P43)-COUNTBLANK(P7:P43))&amp;" parts purchased",""),"")</f>
        <v/>
      </c>
      <c r="P45" s="5">
        <f>SUMIF(N7:N43,"&gt;0",P7:P43)</f>
        <v>0</v>
      </c>
      <c r="R45" s="20" t="s">
        <v>147</v>
      </c>
      <c r="S45" s="6" t="str">
        <f>IFERROR(IF(OR(S7:S43),COUNTIFS(S7:S43,"&gt;0",U7:U43,"&lt;&gt;")&amp;" of "&amp;(ROWS(U7:U43)-COUNTBLANK(U7:U43))&amp;" parts purchased",""),"")</f>
        <v/>
      </c>
      <c r="U45" s="5">
        <f>SUMIF(S7:S43,"&gt;0",U7:U43)</f>
        <v>0</v>
      </c>
      <c r="W45" s="20" t="s">
        <v>147</v>
      </c>
      <c r="X45" s="6" t="str">
        <f>IFERROR(IF(OR(X7:X43),COUNTIFS(X7:X43,"&gt;0",Z7:Z43,"&lt;&gt;")&amp;" of "&amp;(ROWS(Z7:Z43)-COUNTBLANK(Z7:Z43))&amp;" parts purchased",""),"")</f>
        <v/>
      </c>
      <c r="Z45" s="5">
        <f>SUMIF(X7:X43,"&gt;0",Z7:Z43)</f>
        <v>0</v>
      </c>
      <c r="AB45" s="20" t="s">
        <v>147</v>
      </c>
      <c r="AC45" s="6" t="str">
        <f>IFERROR(IF(OR(AC7:AC43),COUNTIFS(AC7:AC43,"&gt;0",AE7:AE43,"&lt;&gt;")&amp;" of "&amp;(ROWS(AE7:AE43)-COUNTBLANK(AE7:AE43))&amp;" parts purchased",""),"")</f>
        <v/>
      </c>
      <c r="AE45" s="5">
        <f>SUMIF(AC7:AC43,"&gt;0",AE7:AE43)</f>
        <v>0</v>
      </c>
      <c r="AG45" s="20" t="s">
        <v>147</v>
      </c>
      <c r="AH45" s="6" t="str">
        <f>IFERROR(IF(OR(AH7:AH43),COUNTIFS(AH7:AH43,"&gt;0",AJ7:AJ43,"&lt;&gt;")&amp;" of "&amp;(ROWS(AJ7:AJ43)-COUNTBLANK(AJ7:AJ43))&amp;" parts purchased",""),"")</f>
        <v/>
      </c>
      <c r="AJ45" s="5">
        <f>SUMIF(AH7:AH43,"&gt;0",AJ7:AJ43)</f>
        <v>0</v>
      </c>
      <c r="AL45" s="20" t="s">
        <v>147</v>
      </c>
      <c r="AM45" s="6" t="str">
        <f>IFERROR(IF(OR(AM7:AM43),COUNTIFS(AM7:AM43,"&gt;0",AO7:AO43,"&lt;&gt;")&amp;" of "&amp;(ROWS(AO7:AO43)-COUNTBLANK(AO7:AO43))&amp;" parts purchased",""),"")</f>
        <v/>
      </c>
      <c r="AO45" s="5">
        <f>SUMIF(AM7:AM43,"&gt;0",AO7:AO43)</f>
        <v>0</v>
      </c>
      <c r="AQ45" s="20" t="s">
        <v>147</v>
      </c>
      <c r="AR45" s="6" t="str">
        <f>IFERROR(IF(OR(AR7:AR43),COUNTIFS(AR7:AR43,"&gt;0",AT7:AT43,"&lt;&gt;")&amp;" of "&amp;(ROWS(AT7:AT43)-COUNTBLANK(AT7:AT43))&amp;" parts purchased",""),"")</f>
        <v/>
      </c>
      <c r="AT45" s="5">
        <f>SUMIF(AR7:AR43,"&gt;0",AT7:AT43)</f>
        <v>0</v>
      </c>
    </row>
    <row r="46" spans="1:47">
      <c r="B46" s="22" t="s">
        <v>129</v>
      </c>
      <c r="C46">
        <v>1.357189484303602</v>
      </c>
      <c r="F46" s="22" t="s">
        <v>127</v>
      </c>
      <c r="I46" s="23" t="str">
        <f>CONCATENATE(I84,I85,I86,I87,I88,I89,I90,I91,I92,I93,I94,I95,I96,I97,I98,I99,I100,I101,I102,I103,I104,I105,I106,I107,I108,I109,I110,I111,I112,I113,I114,I115,I116,I117,I118,I119,I120)</f>
        <v/>
      </c>
      <c r="N46" s="23" t="str">
        <f>CONCATENATE(N84,N85,N86,N87,N88,N89,N90,N91,N92,N93,N94,N95,N96,N97,N98,N99,N100,N101,N102,N103,N104,N105,N106,N107,N108,N109,N110,N111,N112,N113,N114,N115,N116,N117,N118,N119,N120)</f>
        <v/>
      </c>
      <c r="S46" s="23" t="str">
        <f>CONCATENATE(S84,S85,S86,S87,S88,S89,S90,S91,S92,S93,S94,S95,S96,S97,S98,S99,S100,S101,S102,S103,S104,S105,S106,S107,S108,S109,S110,S111,S112,S113,S114,S115,S116,S117,S118,S119,S120)</f>
        <v/>
      </c>
      <c r="X46" s="23" t="str">
        <f>CONCATENATE(X121,X84,X85,X86,X87,X88,X89,X90,X91,X92,X93,X94,X95,X96,X97,X98,X99,X100,X101,X102,X103,X104,X105,X106,X107,X108,X109,X110,X111,X112,X113,X114,X115,X116,X117,X118,X119,X120)</f>
        <v>Copy this header and order to a CSV
file and use it for JLCPCB 
manufacturer PCB house.
The multipart components that use
"#" symbol are not allowed by JLCPCB.</v>
      </c>
      <c r="AC46" s="23" t="str">
        <f>CONCATENATE(AC84,AC85,AC86,AC87,AC88,AC89,AC90,AC91,AC92,AC93,AC94,AC95,AC96,AC97,AC98,AC99,AC100,AC101,AC102,AC103,AC104,AC105,AC106,AC107,AC108,AC109,AC110,AC111,AC112,AC113,AC114,AC115,AC116,AC117,AC118,AC119,AC120)</f>
        <v/>
      </c>
      <c r="AH46" s="23" t="str">
        <f>CONCATENATE(AH84,AH85,AH86,AH87,AH88,AH89,AH90,AH91,AH92,AH93,AH94,AH95,AH96,AH97,AH98,AH99,AH100,AH101,AH102,AH103,AH104,AH105,AH106,AH107,AH108,AH109,AH110,AH111,AH112,AH113,AH114,AH115,AH116,AH117,AH118,AH119,AH120)</f>
        <v/>
      </c>
      <c r="AM46" s="23" t="str">
        <f>CONCATENATE(AM84,AM85,AM86,AM87,AM88,AM89,AM90,AM91,AM92,AM93,AM94,AM95,AM96,AM97,AM98,AM99,AM100,AM101,AM102,AM103,AM104,AM105,AM106,AM107,AM108,AM109,AM110,AM111,AM112,AM113,AM114,AM115,AM116,AM117,AM118,AM119,AM120)</f>
        <v/>
      </c>
      <c r="AR46" s="23" t="str">
        <f>CONCATENATE(AR84,AR85,AR86,AR87,AR88,AR89,AR90,AR91,AR92,AR93,AR94,AR95,AR96,AR97,AR98,AR99,AR100,AR101,AR102,AR103,AR104,AR105,AR106,AR107,AR108,AR109,AR110,AR111,AR112,AR113,AR114,AR115,AR116,AR117,AR118,AR119,AR120)</f>
        <v/>
      </c>
    </row>
    <row r="48" spans="1:47">
      <c r="A48" s="2" t="s">
        <v>259</v>
      </c>
    </row>
    <row r="84" spans="9:44" ht="30" hidden="1" customHeight="1">
      <c r="I84" t="str">
        <f t="array" ref="I84:I120">IF(ISNUMBER(I7:I43)*(I7:I43&gt;0)*(L7:L43&lt;&gt;""),L7:L43&amp;","&amp;TEXT(I7:I43,"##0")&amp;","&amp;SUBSTITUTE(IF(PURCHASE_DESCRIPTION&lt;&gt;"",PURCHASE_DESCRIPTION&amp;":","")&amp;A7:A43,",",";")&amp;CHAR(10),"")</f>
        <v/>
      </c>
      <c r="N84" t="str">
        <f t="array" ref="N84:N120">IF(ISNUMBER(N7:N43)*(N7:N43&gt;0)*(Q7:Q43&lt;&gt;""),TEXT(N7:N43,"##0")&amp;","&amp;Q7:Q43&amp;","&amp;SUBSTITUTE(IF(PURCHASE_DESCRIPTION&lt;&gt;"",PURCHASE_DESCRIPTION&amp;":","")&amp;A7:A43,",",";")&amp;CHAR(10),"")</f>
        <v/>
      </c>
      <c r="S84" t="str">
        <f t="array" ref="S84:S120">IF(ISNUMBER(S7:S43)*(S7:S43&gt;0)*(V7:V43&lt;&gt;""),V7:V43&amp;","&amp;TEXT(S7:S43,"##0")&amp;","&amp;""&amp;","&amp;LEFT(SUBSTITUTE(SUBSTITUTE(IF(PURCHASE_DESCRIPTION&lt;&gt;"",PURCHASE_DESCRIPTION&amp;":","")&amp;A7:A43,",",";"),"
",";"),30)&amp;CHAR(10),"")</f>
        <v/>
      </c>
      <c r="X84" t="str">
        <f t="array" ref="X84:X120">IF(ISNUMBER(X7:X43)*(X7:X43&gt;0)*(AA7:AA43&lt;&gt;""),TEXT(X7:X43,"##0")&amp;","&amp;SUBSTITUTE(IF(PURCHASE_DESCRIPTION&lt;&gt;"",PURCHASE_DESCRIPTION&amp;":","")&amp;A7:A43,",",";")&amp;","&amp;SUBSTITUTE(IF(PURCHASE_DESCRIPTION&lt;&gt;"",PURCHASE_DESCRIPTION&amp;":","")&amp;C7:C43,",",";")&amp;","&amp;AA7:AA43&amp;CHAR(10),"")</f>
        <v/>
      </c>
      <c r="AC84" t="str">
        <f t="array" ref="AC84:AC120">IF(ISNUMBER(AC7:AC43)*(AC7:AC43&gt;0)*(AF7:AF43&lt;&gt;""),AF7:AF43&amp;"|"&amp;TEXT(AC7:AC43,"##0")&amp;"|"&amp;SUBSTITUTE(SUBSTITUTE(IF(PURCHASE_DESCRIPTION&lt;&gt;"",PURCHASE_DESCRIPTION&amp;":","")&amp;A7:A43,"|",";")," ","_")&amp;CHAR(10),"")</f>
        <v/>
      </c>
      <c r="AH84" t="str">
        <f t="array" ref="AH84:AH120">IF(ISNUMBER(AH7:AH43)*(AH7:AH43&gt;0)*(AK7:AK43&lt;&gt;""),AK7:AK43&amp;","&amp;TEXT(AH7:AH43,"##0")&amp;","&amp;SUBSTITUTE(SUBSTITUTE(IF(PURCHASE_DESCRIPTION&lt;&gt;"",PURCHASE_DESCRIPTION&amp;":","")&amp;A7:A43,",",";"),"
",";")&amp;","&amp;""&amp;CHAR(10),"")</f>
        <v/>
      </c>
      <c r="AM84" t="str">
        <f t="array" ref="AM84:AM120">IF(ISNUMBER(AM7:AM43)*(AM7:AM43&gt;0)*(AP7:AP43&lt;&gt;""),AP7:AP43&amp;","&amp;TEXT(AM7:AM43,"##0")&amp;","&amp;""&amp;","&amp;""&amp;","&amp;""&amp;","&amp;D7:D43&amp;","&amp;SUBSTITUTE(IF(PURCHASE_DESCRIPTION&lt;&gt;"",PURCHASE_DESCRIPTION&amp;":","")&amp;A7:A43,",",";")&amp;CHAR(10),"")</f>
        <v/>
      </c>
      <c r="AR84" t="str">
        <f t="array" ref="AR84:AR120">IF(ISNUMBER(AR7:AR43)*(AR7:AR43&gt;0)*(AU7:AU43&lt;&gt;""),AU7:AU43&amp;" "&amp;TEXT(AR7:AR43,"##0")&amp;" "&amp;SUBSTITUTE(IF(PURCHASE_DESCRIPTION&lt;&gt;"",PURCHASE_DESCRIPTION&amp;":","")&amp;A7:A43," ",";")&amp;CHAR(10),"")</f>
        <v/>
      </c>
    </row>
    <row r="85" spans="9:44" ht="30" hidden="1" customHeight="1">
      <c r="I85">
        <v>0</v>
      </c>
      <c r="N85">
        <v>0</v>
      </c>
      <c r="S85">
        <v>0</v>
      </c>
      <c r="X85">
        <v>0</v>
      </c>
      <c r="AC85">
        <v>0</v>
      </c>
      <c r="AH85">
        <v>0</v>
      </c>
      <c r="AM85">
        <v>0</v>
      </c>
      <c r="AR85">
        <v>0</v>
      </c>
    </row>
    <row r="86" spans="9:44" ht="30" hidden="1" customHeight="1">
      <c r="I86">
        <v>0</v>
      </c>
      <c r="N86">
        <v>0</v>
      </c>
      <c r="S86">
        <v>0</v>
      </c>
      <c r="X86">
        <v>0</v>
      </c>
      <c r="AC86">
        <v>0</v>
      </c>
      <c r="AH86">
        <v>0</v>
      </c>
      <c r="AM86">
        <v>0</v>
      </c>
      <c r="AR86">
        <v>0</v>
      </c>
    </row>
    <row r="87" spans="9:44" ht="30" hidden="1" customHeight="1">
      <c r="I87">
        <v>0</v>
      </c>
      <c r="N87">
        <v>0</v>
      </c>
      <c r="S87">
        <v>0</v>
      </c>
      <c r="X87">
        <v>0</v>
      </c>
      <c r="AC87">
        <v>0</v>
      </c>
      <c r="AH87">
        <v>0</v>
      </c>
      <c r="AM87">
        <v>0</v>
      </c>
      <c r="AR87">
        <v>0</v>
      </c>
    </row>
    <row r="88" spans="9:44" ht="30" hidden="1" customHeight="1">
      <c r="I88">
        <v>0</v>
      </c>
      <c r="N88">
        <v>0</v>
      </c>
      <c r="S88">
        <v>0</v>
      </c>
      <c r="X88">
        <v>0</v>
      </c>
      <c r="AC88">
        <v>0</v>
      </c>
      <c r="AH88">
        <v>0</v>
      </c>
      <c r="AM88">
        <v>0</v>
      </c>
      <c r="AR88">
        <v>0</v>
      </c>
    </row>
    <row r="89" spans="9:44" ht="30" hidden="1" customHeight="1">
      <c r="I89">
        <v>0</v>
      </c>
      <c r="N89">
        <v>0</v>
      </c>
      <c r="S89">
        <v>0</v>
      </c>
      <c r="X89">
        <v>0</v>
      </c>
      <c r="AC89">
        <v>0</v>
      </c>
      <c r="AH89">
        <v>0</v>
      </c>
      <c r="AM89">
        <v>0</v>
      </c>
      <c r="AR89">
        <v>0</v>
      </c>
    </row>
    <row r="90" spans="9:44" ht="30" hidden="1" customHeight="1">
      <c r="I90">
        <v>0</v>
      </c>
      <c r="N90">
        <v>0</v>
      </c>
      <c r="S90">
        <v>0</v>
      </c>
      <c r="X90">
        <v>0</v>
      </c>
      <c r="AC90">
        <v>0</v>
      </c>
      <c r="AH90">
        <v>0</v>
      </c>
      <c r="AM90">
        <v>0</v>
      </c>
      <c r="AR90">
        <v>0</v>
      </c>
    </row>
    <row r="91" spans="9:44" ht="30" hidden="1" customHeight="1">
      <c r="I91">
        <v>0</v>
      </c>
      <c r="N91">
        <v>0</v>
      </c>
      <c r="S91">
        <v>0</v>
      </c>
      <c r="X91">
        <v>0</v>
      </c>
      <c r="AC91">
        <v>0</v>
      </c>
      <c r="AH91">
        <v>0</v>
      </c>
      <c r="AM91">
        <v>0</v>
      </c>
      <c r="AR91">
        <v>0</v>
      </c>
    </row>
    <row r="92" spans="9:44" ht="30" hidden="1" customHeight="1">
      <c r="I92">
        <v>0</v>
      </c>
      <c r="N92">
        <v>0</v>
      </c>
      <c r="S92">
        <v>0</v>
      </c>
      <c r="X92">
        <v>0</v>
      </c>
      <c r="AC92">
        <v>0</v>
      </c>
      <c r="AH92">
        <v>0</v>
      </c>
      <c r="AM92">
        <v>0</v>
      </c>
      <c r="AR92">
        <v>0</v>
      </c>
    </row>
    <row r="93" spans="9:44" ht="30" hidden="1" customHeight="1">
      <c r="I93">
        <v>0</v>
      </c>
      <c r="N93">
        <v>0</v>
      </c>
      <c r="S93">
        <v>0</v>
      </c>
      <c r="X93">
        <v>0</v>
      </c>
      <c r="AC93">
        <v>0</v>
      </c>
      <c r="AH93">
        <v>0</v>
      </c>
      <c r="AM93">
        <v>0</v>
      </c>
      <c r="AR93">
        <v>0</v>
      </c>
    </row>
    <row r="94" spans="9:44" ht="30" hidden="1" customHeight="1">
      <c r="I94">
        <v>0</v>
      </c>
      <c r="N94">
        <v>0</v>
      </c>
      <c r="S94">
        <v>0</v>
      </c>
      <c r="X94">
        <v>0</v>
      </c>
      <c r="AC94">
        <v>0</v>
      </c>
      <c r="AH94">
        <v>0</v>
      </c>
      <c r="AM94">
        <v>0</v>
      </c>
      <c r="AR94">
        <v>0</v>
      </c>
    </row>
    <row r="95" spans="9:44" ht="30" hidden="1" customHeight="1">
      <c r="I95">
        <v>0</v>
      </c>
      <c r="N95">
        <v>0</v>
      </c>
      <c r="S95">
        <v>0</v>
      </c>
      <c r="X95">
        <v>0</v>
      </c>
      <c r="AC95">
        <v>0</v>
      </c>
      <c r="AH95">
        <v>0</v>
      </c>
      <c r="AM95">
        <v>0</v>
      </c>
      <c r="AR95">
        <v>0</v>
      </c>
    </row>
    <row r="96" spans="9:44" ht="30" hidden="1" customHeight="1">
      <c r="I96">
        <v>0</v>
      </c>
      <c r="N96">
        <v>0</v>
      </c>
      <c r="S96">
        <v>0</v>
      </c>
      <c r="X96">
        <v>0</v>
      </c>
      <c r="AC96">
        <v>0</v>
      </c>
      <c r="AH96">
        <v>0</v>
      </c>
      <c r="AM96">
        <v>0</v>
      </c>
      <c r="AR96">
        <v>0</v>
      </c>
    </row>
    <row r="97" spans="9:44" ht="30" hidden="1" customHeight="1">
      <c r="I97">
        <v>0</v>
      </c>
      <c r="N97">
        <v>0</v>
      </c>
      <c r="S97">
        <v>0</v>
      </c>
      <c r="X97">
        <v>0</v>
      </c>
      <c r="AC97">
        <v>0</v>
      </c>
      <c r="AH97">
        <v>0</v>
      </c>
      <c r="AM97">
        <v>0</v>
      </c>
      <c r="AR97">
        <v>0</v>
      </c>
    </row>
    <row r="98" spans="9:44" ht="30" hidden="1" customHeight="1">
      <c r="I98">
        <v>0</v>
      </c>
      <c r="N98">
        <v>0</v>
      </c>
      <c r="S98">
        <v>0</v>
      </c>
      <c r="X98">
        <v>0</v>
      </c>
      <c r="AC98">
        <v>0</v>
      </c>
      <c r="AH98">
        <v>0</v>
      </c>
      <c r="AM98">
        <v>0</v>
      </c>
      <c r="AR98">
        <v>0</v>
      </c>
    </row>
    <row r="99" spans="9:44" ht="30" hidden="1" customHeight="1">
      <c r="I99">
        <v>0</v>
      </c>
      <c r="N99">
        <v>0</v>
      </c>
      <c r="S99">
        <v>0</v>
      </c>
      <c r="X99">
        <v>0</v>
      </c>
      <c r="AC99">
        <v>0</v>
      </c>
      <c r="AH99">
        <v>0</v>
      </c>
      <c r="AM99">
        <v>0</v>
      </c>
      <c r="AR99">
        <v>0</v>
      </c>
    </row>
    <row r="100" spans="9:44" ht="30" hidden="1" customHeight="1">
      <c r="I100">
        <v>0</v>
      </c>
      <c r="N100">
        <v>0</v>
      </c>
      <c r="S100">
        <v>0</v>
      </c>
      <c r="X100">
        <v>0</v>
      </c>
      <c r="AC100">
        <v>0</v>
      </c>
      <c r="AH100">
        <v>0</v>
      </c>
      <c r="AM100">
        <v>0</v>
      </c>
      <c r="AR100">
        <v>0</v>
      </c>
    </row>
    <row r="101" spans="9:44" ht="30" hidden="1" customHeight="1">
      <c r="I101">
        <v>0</v>
      </c>
      <c r="N101">
        <v>0</v>
      </c>
      <c r="S101">
        <v>0</v>
      </c>
      <c r="X101">
        <v>0</v>
      </c>
      <c r="AC101">
        <v>0</v>
      </c>
      <c r="AH101">
        <v>0</v>
      </c>
      <c r="AM101">
        <v>0</v>
      </c>
      <c r="AR101">
        <v>0</v>
      </c>
    </row>
    <row r="102" spans="9:44" ht="30" hidden="1" customHeight="1">
      <c r="I102">
        <v>0</v>
      </c>
      <c r="N102">
        <v>0</v>
      </c>
      <c r="S102">
        <v>0</v>
      </c>
      <c r="X102">
        <v>0</v>
      </c>
      <c r="AC102">
        <v>0</v>
      </c>
      <c r="AH102">
        <v>0</v>
      </c>
      <c r="AM102">
        <v>0</v>
      </c>
      <c r="AR102">
        <v>0</v>
      </c>
    </row>
    <row r="103" spans="9:44" ht="30" hidden="1" customHeight="1">
      <c r="I103">
        <v>0</v>
      </c>
      <c r="N103">
        <v>0</v>
      </c>
      <c r="S103">
        <v>0</v>
      </c>
      <c r="X103">
        <v>0</v>
      </c>
      <c r="AC103">
        <v>0</v>
      </c>
      <c r="AH103">
        <v>0</v>
      </c>
      <c r="AM103">
        <v>0</v>
      </c>
      <c r="AR103">
        <v>0</v>
      </c>
    </row>
    <row r="104" spans="9:44" ht="30" hidden="1" customHeight="1">
      <c r="I104">
        <v>0</v>
      </c>
      <c r="N104">
        <v>0</v>
      </c>
      <c r="S104">
        <v>0</v>
      </c>
      <c r="X104">
        <v>0</v>
      </c>
      <c r="AC104">
        <v>0</v>
      </c>
      <c r="AH104">
        <v>0</v>
      </c>
      <c r="AM104">
        <v>0</v>
      </c>
      <c r="AR104">
        <v>0</v>
      </c>
    </row>
    <row r="105" spans="9:44" ht="30" hidden="1" customHeight="1">
      <c r="I105">
        <v>0</v>
      </c>
      <c r="N105">
        <v>0</v>
      </c>
      <c r="S105">
        <v>0</v>
      </c>
      <c r="X105">
        <v>0</v>
      </c>
      <c r="AC105">
        <v>0</v>
      </c>
      <c r="AH105">
        <v>0</v>
      </c>
      <c r="AM105">
        <v>0</v>
      </c>
      <c r="AR105">
        <v>0</v>
      </c>
    </row>
    <row r="106" spans="9:44" ht="30" hidden="1" customHeight="1">
      <c r="I106">
        <v>0</v>
      </c>
      <c r="N106">
        <v>0</v>
      </c>
      <c r="S106">
        <v>0</v>
      </c>
      <c r="X106">
        <v>0</v>
      </c>
      <c r="AC106">
        <v>0</v>
      </c>
      <c r="AH106">
        <v>0</v>
      </c>
      <c r="AM106">
        <v>0</v>
      </c>
      <c r="AR106">
        <v>0</v>
      </c>
    </row>
    <row r="107" spans="9:44" ht="30" hidden="1" customHeight="1">
      <c r="I107">
        <v>0</v>
      </c>
      <c r="N107">
        <v>0</v>
      </c>
      <c r="S107">
        <v>0</v>
      </c>
      <c r="X107">
        <v>0</v>
      </c>
      <c r="AC107">
        <v>0</v>
      </c>
      <c r="AH107">
        <v>0</v>
      </c>
      <c r="AM107">
        <v>0</v>
      </c>
      <c r="AR107">
        <v>0</v>
      </c>
    </row>
    <row r="108" spans="9:44" ht="30" hidden="1" customHeight="1">
      <c r="I108">
        <v>0</v>
      </c>
      <c r="N108">
        <v>0</v>
      </c>
      <c r="S108">
        <v>0</v>
      </c>
      <c r="X108">
        <v>0</v>
      </c>
      <c r="AC108">
        <v>0</v>
      </c>
      <c r="AH108">
        <v>0</v>
      </c>
      <c r="AM108">
        <v>0</v>
      </c>
      <c r="AR108">
        <v>0</v>
      </c>
    </row>
    <row r="109" spans="9:44" ht="30" hidden="1" customHeight="1">
      <c r="I109">
        <v>0</v>
      </c>
      <c r="N109">
        <v>0</v>
      </c>
      <c r="S109">
        <v>0</v>
      </c>
      <c r="X109">
        <v>0</v>
      </c>
      <c r="AC109">
        <v>0</v>
      </c>
      <c r="AH109">
        <v>0</v>
      </c>
      <c r="AM109">
        <v>0</v>
      </c>
      <c r="AR109">
        <v>0</v>
      </c>
    </row>
    <row r="110" spans="9:44" ht="30" hidden="1" customHeight="1">
      <c r="I110">
        <v>0</v>
      </c>
      <c r="N110">
        <v>0</v>
      </c>
      <c r="S110">
        <v>0</v>
      </c>
      <c r="X110">
        <v>0</v>
      </c>
      <c r="AC110">
        <v>0</v>
      </c>
      <c r="AH110">
        <v>0</v>
      </c>
      <c r="AM110">
        <v>0</v>
      </c>
      <c r="AR110">
        <v>0</v>
      </c>
    </row>
    <row r="111" spans="9:44" ht="30" hidden="1" customHeight="1">
      <c r="I111">
        <v>0</v>
      </c>
      <c r="N111">
        <v>0</v>
      </c>
      <c r="S111">
        <v>0</v>
      </c>
      <c r="X111">
        <v>0</v>
      </c>
      <c r="AC111">
        <v>0</v>
      </c>
      <c r="AH111">
        <v>0</v>
      </c>
      <c r="AM111">
        <v>0</v>
      </c>
      <c r="AR111">
        <v>0</v>
      </c>
    </row>
    <row r="112" spans="9:44" ht="30" hidden="1" customHeight="1">
      <c r="I112">
        <v>0</v>
      </c>
      <c r="N112">
        <v>0</v>
      </c>
      <c r="S112">
        <v>0</v>
      </c>
      <c r="X112">
        <v>0</v>
      </c>
      <c r="AC112">
        <v>0</v>
      </c>
      <c r="AH112">
        <v>0</v>
      </c>
      <c r="AM112">
        <v>0</v>
      </c>
      <c r="AR112">
        <v>0</v>
      </c>
    </row>
    <row r="113" spans="9:44" ht="30" hidden="1" customHeight="1">
      <c r="I113">
        <v>0</v>
      </c>
      <c r="N113">
        <v>0</v>
      </c>
      <c r="S113">
        <v>0</v>
      </c>
      <c r="X113">
        <v>0</v>
      </c>
      <c r="AC113">
        <v>0</v>
      </c>
      <c r="AH113">
        <v>0</v>
      </c>
      <c r="AM113">
        <v>0</v>
      </c>
      <c r="AR113">
        <v>0</v>
      </c>
    </row>
    <row r="114" spans="9:44" ht="30" hidden="1" customHeight="1">
      <c r="I114">
        <v>0</v>
      </c>
      <c r="N114">
        <v>0</v>
      </c>
      <c r="S114">
        <v>0</v>
      </c>
      <c r="X114">
        <v>0</v>
      </c>
      <c r="AC114">
        <v>0</v>
      </c>
      <c r="AH114">
        <v>0</v>
      </c>
      <c r="AM114">
        <v>0</v>
      </c>
      <c r="AR114">
        <v>0</v>
      </c>
    </row>
    <row r="115" spans="9:44" ht="30" hidden="1" customHeight="1">
      <c r="I115">
        <v>0</v>
      </c>
      <c r="N115">
        <v>0</v>
      </c>
      <c r="S115">
        <v>0</v>
      </c>
      <c r="X115">
        <v>0</v>
      </c>
      <c r="AC115">
        <v>0</v>
      </c>
      <c r="AH115">
        <v>0</v>
      </c>
      <c r="AM115">
        <v>0</v>
      </c>
      <c r="AR115">
        <v>0</v>
      </c>
    </row>
    <row r="116" spans="9:44" ht="30" hidden="1" customHeight="1">
      <c r="I116">
        <v>0</v>
      </c>
      <c r="N116">
        <v>0</v>
      </c>
      <c r="S116">
        <v>0</v>
      </c>
      <c r="X116">
        <v>0</v>
      </c>
      <c r="AC116">
        <v>0</v>
      </c>
      <c r="AH116">
        <v>0</v>
      </c>
      <c r="AM116">
        <v>0</v>
      </c>
      <c r="AR116">
        <v>0</v>
      </c>
    </row>
    <row r="117" spans="9:44" ht="30" hidden="1" customHeight="1">
      <c r="I117">
        <v>0</v>
      </c>
      <c r="N117">
        <v>0</v>
      </c>
      <c r="S117">
        <v>0</v>
      </c>
      <c r="X117">
        <v>0</v>
      </c>
      <c r="AC117">
        <v>0</v>
      </c>
      <c r="AH117">
        <v>0</v>
      </c>
      <c r="AM117">
        <v>0</v>
      </c>
      <c r="AR117">
        <v>0</v>
      </c>
    </row>
    <row r="118" spans="9:44" ht="30" hidden="1" customHeight="1">
      <c r="I118">
        <v>0</v>
      </c>
      <c r="N118">
        <v>0</v>
      </c>
      <c r="S118">
        <v>0</v>
      </c>
      <c r="X118">
        <v>0</v>
      </c>
      <c r="AC118">
        <v>0</v>
      </c>
      <c r="AH118">
        <v>0</v>
      </c>
      <c r="AM118">
        <v>0</v>
      </c>
      <c r="AR118">
        <v>0</v>
      </c>
    </row>
    <row r="119" spans="9:44" ht="30" hidden="1" customHeight="1">
      <c r="I119">
        <v>0</v>
      </c>
      <c r="N119">
        <v>0</v>
      </c>
      <c r="S119">
        <v>0</v>
      </c>
      <c r="X119">
        <v>0</v>
      </c>
      <c r="AC119">
        <v>0</v>
      </c>
      <c r="AH119">
        <v>0</v>
      </c>
      <c r="AM119">
        <v>0</v>
      </c>
      <c r="AR119">
        <v>0</v>
      </c>
    </row>
    <row r="120" spans="9:44" ht="30" hidden="1" customHeight="1">
      <c r="I120">
        <v>0</v>
      </c>
      <c r="N120">
        <v>0</v>
      </c>
      <c r="S120">
        <v>0</v>
      </c>
      <c r="X120">
        <v>0</v>
      </c>
      <c r="AC120">
        <v>0</v>
      </c>
      <c r="AH120">
        <v>0</v>
      </c>
      <c r="AM120">
        <v>0</v>
      </c>
      <c r="AR120">
        <v>0</v>
      </c>
    </row>
    <row r="121" spans="9:44" ht="30" hidden="1" customHeight="1">
      <c r="X121" t="str">
        <f>IFERROR(IF(COUNTIFS(X7:X43,"&gt;0",Z7:Z43,"&lt;&gt;")&gt;0,"Quantity,Comment,Designator,Footprint,LCSC Part #(optional)"&amp;CHAR(10),""),"")</f>
        <v/>
      </c>
    </row>
  </sheetData>
  <mergeCells count="17">
    <mergeCell ref="A5:G5"/>
    <mergeCell ref="H5:L5"/>
    <mergeCell ref="I46:L83"/>
    <mergeCell ref="M5:Q5"/>
    <mergeCell ref="N46:Q83"/>
    <mergeCell ref="R5:V5"/>
    <mergeCell ref="S46:V83"/>
    <mergeCell ref="W5:AA5"/>
    <mergeCell ref="X46:AA83"/>
    <mergeCell ref="AB5:AF5"/>
    <mergeCell ref="AC46:AF83"/>
    <mergeCell ref="AG5:AK5"/>
    <mergeCell ref="AH46:AK83"/>
    <mergeCell ref="AL5:AP5"/>
    <mergeCell ref="AM46:AP83"/>
    <mergeCell ref="AQ5:AU5"/>
    <mergeCell ref="AR46:AU83"/>
  </mergeCells>
  <conditionalFormatting sqref="AB10">
    <cfRule type="cellIs" dxfId="1" priority="519" operator="equal">
      <formula>0</formula>
    </cfRule>
    <cfRule type="cellIs" dxfId="2" priority="520" operator="lessThan">
      <formula>E10</formula>
    </cfRule>
  </conditionalFormatting>
  <conditionalFormatting sqref="AB11">
    <cfRule type="cellIs" dxfId="1" priority="524" operator="equal">
      <formula>0</formula>
    </cfRule>
    <cfRule type="cellIs" dxfId="2" priority="525" operator="lessThan">
      <formula>E11</formula>
    </cfRule>
  </conditionalFormatting>
  <conditionalFormatting sqref="AB12">
    <cfRule type="cellIs" dxfId="1" priority="529" operator="equal">
      <formula>0</formula>
    </cfRule>
    <cfRule type="cellIs" dxfId="2" priority="530" operator="lessThan">
      <formula>E12</formula>
    </cfRule>
  </conditionalFormatting>
  <conditionalFormatting sqref="AB13">
    <cfRule type="cellIs" dxfId="1" priority="534" operator="equal">
      <formula>0</formula>
    </cfRule>
    <cfRule type="cellIs" dxfId="2" priority="535" operator="lessThan">
      <formula>E13</formula>
    </cfRule>
  </conditionalFormatting>
  <conditionalFormatting sqref="AB14">
    <cfRule type="cellIs" dxfId="1" priority="539" operator="equal">
      <formula>0</formula>
    </cfRule>
    <cfRule type="cellIs" dxfId="2" priority="540" operator="lessThan">
      <formula>E14</formula>
    </cfRule>
  </conditionalFormatting>
  <conditionalFormatting sqref="AB15">
    <cfRule type="cellIs" dxfId="1" priority="544" operator="equal">
      <formula>0</formula>
    </cfRule>
    <cfRule type="cellIs" dxfId="2" priority="545" operator="lessThan">
      <formula>E15</formula>
    </cfRule>
  </conditionalFormatting>
  <conditionalFormatting sqref="AB17">
    <cfRule type="cellIs" dxfId="1" priority="549" operator="equal">
      <formula>0</formula>
    </cfRule>
    <cfRule type="cellIs" dxfId="2" priority="550" operator="lessThan">
      <formula>E17</formula>
    </cfRule>
  </conditionalFormatting>
  <conditionalFormatting sqref="AB18">
    <cfRule type="cellIs" dxfId="1" priority="554" operator="equal">
      <formula>0</formula>
    </cfRule>
    <cfRule type="cellIs" dxfId="2" priority="555" operator="lessThan">
      <formula>E18</formula>
    </cfRule>
  </conditionalFormatting>
  <conditionalFormatting sqref="AB20">
    <cfRule type="cellIs" dxfId="1" priority="559" operator="equal">
      <formula>0</formula>
    </cfRule>
    <cfRule type="cellIs" dxfId="2" priority="560" operator="lessThan">
      <formula>E20</formula>
    </cfRule>
  </conditionalFormatting>
  <conditionalFormatting sqref="AB21">
    <cfRule type="cellIs" dxfId="1" priority="564" operator="equal">
      <formula>0</formula>
    </cfRule>
    <cfRule type="cellIs" dxfId="2" priority="565" operator="lessThan">
      <formula>E21</formula>
    </cfRule>
  </conditionalFormatting>
  <conditionalFormatting sqref="AB22">
    <cfRule type="cellIs" dxfId="1" priority="569" operator="equal">
      <formula>0</formula>
    </cfRule>
    <cfRule type="cellIs" dxfId="2" priority="570" operator="lessThan">
      <formula>E22</formula>
    </cfRule>
  </conditionalFormatting>
  <conditionalFormatting sqref="AB23">
    <cfRule type="cellIs" dxfId="1" priority="574" operator="equal">
      <formula>0</formula>
    </cfRule>
    <cfRule type="cellIs" dxfId="2" priority="575" operator="lessThan">
      <formula>E23</formula>
    </cfRule>
  </conditionalFormatting>
  <conditionalFormatting sqref="AB25">
    <cfRule type="cellIs" dxfId="1" priority="579" operator="equal">
      <formula>0</formula>
    </cfRule>
    <cfRule type="cellIs" dxfId="2" priority="580" operator="lessThan">
      <formula>E25</formula>
    </cfRule>
  </conditionalFormatting>
  <conditionalFormatting sqref="AB28">
    <cfRule type="cellIs" dxfId="1" priority="584" operator="equal">
      <formula>0</formula>
    </cfRule>
    <cfRule type="cellIs" dxfId="2" priority="585" operator="lessThan">
      <formula>E28</formula>
    </cfRule>
  </conditionalFormatting>
  <conditionalFormatting sqref="AB29">
    <cfRule type="cellIs" dxfId="1" priority="589" operator="equal">
      <formula>0</formula>
    </cfRule>
    <cfRule type="cellIs" dxfId="2" priority="590" operator="lessThan">
      <formula>E29</formula>
    </cfRule>
  </conditionalFormatting>
  <conditionalFormatting sqref="AB30">
    <cfRule type="cellIs" dxfId="1" priority="594" operator="equal">
      <formula>0</formula>
    </cfRule>
    <cfRule type="cellIs" dxfId="2" priority="595" operator="lessThan">
      <formula>E30</formula>
    </cfRule>
  </conditionalFormatting>
  <conditionalFormatting sqref="AB31">
    <cfRule type="cellIs" dxfId="1" priority="599" operator="equal">
      <formula>0</formula>
    </cfRule>
    <cfRule type="cellIs" dxfId="2" priority="600" operator="lessThan">
      <formula>E31</formula>
    </cfRule>
  </conditionalFormatting>
  <conditionalFormatting sqref="AB32">
    <cfRule type="cellIs" dxfId="1" priority="604" operator="equal">
      <formula>0</formula>
    </cfRule>
    <cfRule type="cellIs" dxfId="2" priority="605" operator="lessThan">
      <formula>E32</formula>
    </cfRule>
  </conditionalFormatting>
  <conditionalFormatting sqref="AB33">
    <cfRule type="cellIs" dxfId="1" priority="609" operator="equal">
      <formula>0</formula>
    </cfRule>
    <cfRule type="cellIs" dxfId="2" priority="610" operator="lessThan">
      <formula>E33</formula>
    </cfRule>
  </conditionalFormatting>
  <conditionalFormatting sqref="AB34">
    <cfRule type="cellIs" dxfId="1" priority="614" operator="equal">
      <formula>0</formula>
    </cfRule>
    <cfRule type="cellIs" dxfId="2" priority="615" operator="lessThan">
      <formula>E34</formula>
    </cfRule>
  </conditionalFormatting>
  <conditionalFormatting sqref="AB35">
    <cfRule type="cellIs" dxfId="1" priority="619" operator="equal">
      <formula>0</formula>
    </cfRule>
    <cfRule type="cellIs" dxfId="2" priority="620" operator="lessThan">
      <formula>E35</formula>
    </cfRule>
  </conditionalFormatting>
  <conditionalFormatting sqref="AB36">
    <cfRule type="cellIs" dxfId="1" priority="624" operator="equal">
      <formula>0</formula>
    </cfRule>
    <cfRule type="cellIs" dxfId="2" priority="625" operator="lessThan">
      <formula>E36</formula>
    </cfRule>
  </conditionalFormatting>
  <conditionalFormatting sqref="AB37">
    <cfRule type="cellIs" dxfId="1" priority="629" operator="equal">
      <formula>0</formula>
    </cfRule>
    <cfRule type="cellIs" dxfId="2" priority="630" operator="lessThan">
      <formula>E37</formula>
    </cfRule>
  </conditionalFormatting>
  <conditionalFormatting sqref="AB38">
    <cfRule type="cellIs" dxfId="1" priority="634" operator="equal">
      <formula>0</formula>
    </cfRule>
    <cfRule type="cellIs" dxfId="2" priority="635" operator="lessThan">
      <formula>E38</formula>
    </cfRule>
  </conditionalFormatting>
  <conditionalFormatting sqref="AB39">
    <cfRule type="cellIs" dxfId="1" priority="639" operator="equal">
      <formula>0</formula>
    </cfRule>
    <cfRule type="cellIs" dxfId="2" priority="640" operator="lessThan">
      <formula>E39</formula>
    </cfRule>
  </conditionalFormatting>
  <conditionalFormatting sqref="AB40">
    <cfRule type="cellIs" dxfId="1" priority="644" operator="equal">
      <formula>0</formula>
    </cfRule>
    <cfRule type="cellIs" dxfId="2" priority="645" operator="lessThan">
      <formula>E40</formula>
    </cfRule>
  </conditionalFormatting>
  <conditionalFormatting sqref="AB41">
    <cfRule type="cellIs" dxfId="1" priority="649" operator="equal">
      <formula>0</formula>
    </cfRule>
    <cfRule type="cellIs" dxfId="2" priority="650" operator="lessThan">
      <formula>E41</formula>
    </cfRule>
  </conditionalFormatting>
  <conditionalFormatting sqref="AB7">
    <cfRule type="cellIs" dxfId="1" priority="504" operator="equal">
      <formula>0</formula>
    </cfRule>
    <cfRule type="cellIs" dxfId="2" priority="505" operator="lessThan">
      <formula>E7</formula>
    </cfRule>
  </conditionalFormatting>
  <conditionalFormatting sqref="AB8">
    <cfRule type="cellIs" dxfId="1" priority="509" operator="equal">
      <formula>0</formula>
    </cfRule>
    <cfRule type="cellIs" dxfId="2" priority="510" operator="lessThan">
      <formula>E8</formula>
    </cfRule>
  </conditionalFormatting>
  <conditionalFormatting sqref="AB9">
    <cfRule type="cellIs" dxfId="1" priority="514" operator="equal">
      <formula>0</formula>
    </cfRule>
    <cfRule type="cellIs" dxfId="2" priority="515" operator="lessThan">
      <formula>E9</formula>
    </cfRule>
  </conditionalFormatting>
  <conditionalFormatting sqref="AC10">
    <cfRule type="cellIs" dxfId="1" priority="521" operator="greaterThan">
      <formula>AB10</formula>
    </cfRule>
  </conditionalFormatting>
  <conditionalFormatting sqref="AC11">
    <cfRule type="cellIs" dxfId="1" priority="526" operator="greaterThan">
      <formula>AB11</formula>
    </cfRule>
  </conditionalFormatting>
  <conditionalFormatting sqref="AC12">
    <cfRule type="cellIs" dxfId="1" priority="531" operator="greaterThan">
      <formula>AB12</formula>
    </cfRule>
  </conditionalFormatting>
  <conditionalFormatting sqref="AC13">
    <cfRule type="cellIs" dxfId="1" priority="536" operator="greaterThan">
      <formula>AB13</formula>
    </cfRule>
  </conditionalFormatting>
  <conditionalFormatting sqref="AC14">
    <cfRule type="cellIs" dxfId="1" priority="541" operator="greaterThan">
      <formula>AB14</formula>
    </cfRule>
  </conditionalFormatting>
  <conditionalFormatting sqref="AC15">
    <cfRule type="cellIs" dxfId="1" priority="546" operator="greaterThan">
      <formula>AB15</formula>
    </cfRule>
  </conditionalFormatting>
  <conditionalFormatting sqref="AC17">
    <cfRule type="cellIs" dxfId="1" priority="551" operator="greaterThan">
      <formula>AB17</formula>
    </cfRule>
  </conditionalFormatting>
  <conditionalFormatting sqref="AC18">
    <cfRule type="cellIs" dxfId="1" priority="556" operator="greaterThan">
      <formula>AB18</formula>
    </cfRule>
  </conditionalFormatting>
  <conditionalFormatting sqref="AC20">
    <cfRule type="cellIs" dxfId="1" priority="561" operator="greaterThan">
      <formula>AB20</formula>
    </cfRule>
  </conditionalFormatting>
  <conditionalFormatting sqref="AC21">
    <cfRule type="cellIs" dxfId="1" priority="566" operator="greaterThan">
      <formula>AB21</formula>
    </cfRule>
  </conditionalFormatting>
  <conditionalFormatting sqref="AC22">
    <cfRule type="cellIs" dxfId="1" priority="571" operator="greaterThan">
      <formula>AB22</formula>
    </cfRule>
  </conditionalFormatting>
  <conditionalFormatting sqref="AC23">
    <cfRule type="cellIs" dxfId="1" priority="576" operator="greaterThan">
      <formula>AB23</formula>
    </cfRule>
  </conditionalFormatting>
  <conditionalFormatting sqref="AC25">
    <cfRule type="cellIs" dxfId="1" priority="581" operator="greaterThan">
      <formula>AB25</formula>
    </cfRule>
  </conditionalFormatting>
  <conditionalFormatting sqref="AC28">
    <cfRule type="cellIs" dxfId="1" priority="586" operator="greaterThan">
      <formula>AB28</formula>
    </cfRule>
  </conditionalFormatting>
  <conditionalFormatting sqref="AC29">
    <cfRule type="cellIs" dxfId="1" priority="591" operator="greaterThan">
      <formula>AB29</formula>
    </cfRule>
  </conditionalFormatting>
  <conditionalFormatting sqref="AC30">
    <cfRule type="cellIs" dxfId="1" priority="596" operator="greaterThan">
      <formula>AB30</formula>
    </cfRule>
  </conditionalFormatting>
  <conditionalFormatting sqref="AC31">
    <cfRule type="cellIs" dxfId="1" priority="601" operator="greaterThan">
      <formula>AB31</formula>
    </cfRule>
  </conditionalFormatting>
  <conditionalFormatting sqref="AC32">
    <cfRule type="cellIs" dxfId="1" priority="606" operator="greaterThan">
      <formula>AB32</formula>
    </cfRule>
  </conditionalFormatting>
  <conditionalFormatting sqref="AC33">
    <cfRule type="cellIs" dxfId="1" priority="611" operator="greaterThan">
      <formula>AB33</formula>
    </cfRule>
  </conditionalFormatting>
  <conditionalFormatting sqref="AC34">
    <cfRule type="cellIs" dxfId="1" priority="616" operator="greaterThan">
      <formula>AB34</formula>
    </cfRule>
  </conditionalFormatting>
  <conditionalFormatting sqref="AC35">
    <cfRule type="cellIs" dxfId="1" priority="621" operator="greaterThan">
      <formula>AB35</formula>
    </cfRule>
  </conditionalFormatting>
  <conditionalFormatting sqref="AC36">
    <cfRule type="cellIs" dxfId="1" priority="626" operator="greaterThan">
      <formula>AB36</formula>
    </cfRule>
  </conditionalFormatting>
  <conditionalFormatting sqref="AC37">
    <cfRule type="cellIs" dxfId="1" priority="631" operator="greaterThan">
      <formula>AB37</formula>
    </cfRule>
  </conditionalFormatting>
  <conditionalFormatting sqref="AC38">
    <cfRule type="cellIs" dxfId="1" priority="636" operator="greaterThan">
      <formula>AB38</formula>
    </cfRule>
  </conditionalFormatting>
  <conditionalFormatting sqref="AC39">
    <cfRule type="cellIs" dxfId="1" priority="641" operator="greaterThan">
      <formula>AB39</formula>
    </cfRule>
  </conditionalFormatting>
  <conditionalFormatting sqref="AC40">
    <cfRule type="cellIs" dxfId="1" priority="646" operator="greaterThan">
      <formula>AB40</formula>
    </cfRule>
  </conditionalFormatting>
  <conditionalFormatting sqref="AC41">
    <cfRule type="cellIs" dxfId="1" priority="651" operator="greaterThan">
      <formula>AB41</formula>
    </cfRule>
  </conditionalFormatting>
  <conditionalFormatting sqref="AC7">
    <cfRule type="cellIs" dxfId="1" priority="506" operator="greaterThan">
      <formula>AB7</formula>
    </cfRule>
  </conditionalFormatting>
  <conditionalFormatting sqref="AC8">
    <cfRule type="cellIs" dxfId="1" priority="511" operator="greaterThan">
      <formula>AB8</formula>
    </cfRule>
  </conditionalFormatting>
  <conditionalFormatting sqref="AC9">
    <cfRule type="cellIs" dxfId="1" priority="516" operator="greaterThan">
      <formula>AB9</formula>
    </cfRule>
  </conditionalFormatting>
  <conditionalFormatting sqref="AD10">
    <cfRule type="cellIs" dxfId="4" priority="523" operator="lessThanOrEqual">
      <formula>F10</formula>
    </cfRule>
  </conditionalFormatting>
  <conditionalFormatting sqref="AD11">
    <cfRule type="cellIs" dxfId="4" priority="528" operator="lessThanOrEqual">
      <formula>F11</formula>
    </cfRule>
  </conditionalFormatting>
  <conditionalFormatting sqref="AD12">
    <cfRule type="cellIs" dxfId="4" priority="533" operator="lessThanOrEqual">
      <formula>F12</formula>
    </cfRule>
  </conditionalFormatting>
  <conditionalFormatting sqref="AD13">
    <cfRule type="cellIs" dxfId="4" priority="538" operator="lessThanOrEqual">
      <formula>F13</formula>
    </cfRule>
  </conditionalFormatting>
  <conditionalFormatting sqref="AD14">
    <cfRule type="cellIs" dxfId="4" priority="543" operator="lessThanOrEqual">
      <formula>F14</formula>
    </cfRule>
  </conditionalFormatting>
  <conditionalFormatting sqref="AD15">
    <cfRule type="cellIs" dxfId="4" priority="548" operator="lessThanOrEqual">
      <formula>F15</formula>
    </cfRule>
  </conditionalFormatting>
  <conditionalFormatting sqref="AD17">
    <cfRule type="cellIs" dxfId="4" priority="553" operator="lessThanOrEqual">
      <formula>F17</formula>
    </cfRule>
  </conditionalFormatting>
  <conditionalFormatting sqref="AD18">
    <cfRule type="cellIs" dxfId="4" priority="558" operator="lessThanOrEqual">
      <formula>F18</formula>
    </cfRule>
  </conditionalFormatting>
  <conditionalFormatting sqref="AD20">
    <cfRule type="cellIs" dxfId="4" priority="563" operator="lessThanOrEqual">
      <formula>F20</formula>
    </cfRule>
  </conditionalFormatting>
  <conditionalFormatting sqref="AD21">
    <cfRule type="cellIs" dxfId="4" priority="568" operator="lessThanOrEqual">
      <formula>F21</formula>
    </cfRule>
  </conditionalFormatting>
  <conditionalFormatting sqref="AD22">
    <cfRule type="cellIs" dxfId="4" priority="573" operator="lessThanOrEqual">
      <formula>F22</formula>
    </cfRule>
  </conditionalFormatting>
  <conditionalFormatting sqref="AD23">
    <cfRule type="cellIs" dxfId="4" priority="578" operator="lessThanOrEqual">
      <formula>F23</formula>
    </cfRule>
  </conditionalFormatting>
  <conditionalFormatting sqref="AD25">
    <cfRule type="cellIs" dxfId="4" priority="583" operator="lessThanOrEqual">
      <formula>F25</formula>
    </cfRule>
  </conditionalFormatting>
  <conditionalFormatting sqref="AD28">
    <cfRule type="cellIs" dxfId="4" priority="588" operator="lessThanOrEqual">
      <formula>F28</formula>
    </cfRule>
  </conditionalFormatting>
  <conditionalFormatting sqref="AD29">
    <cfRule type="cellIs" dxfId="4" priority="593" operator="lessThanOrEqual">
      <formula>F29</formula>
    </cfRule>
  </conditionalFormatting>
  <conditionalFormatting sqref="AD30">
    <cfRule type="cellIs" dxfId="4" priority="598" operator="lessThanOrEqual">
      <formula>F30</formula>
    </cfRule>
  </conditionalFormatting>
  <conditionalFormatting sqref="AD31">
    <cfRule type="cellIs" dxfId="4" priority="603" operator="lessThanOrEqual">
      <formula>F31</formula>
    </cfRule>
  </conditionalFormatting>
  <conditionalFormatting sqref="AD32">
    <cfRule type="cellIs" dxfId="4" priority="608" operator="lessThanOrEqual">
      <formula>F32</formula>
    </cfRule>
  </conditionalFormatting>
  <conditionalFormatting sqref="AD33">
    <cfRule type="cellIs" dxfId="4" priority="613" operator="lessThanOrEqual">
      <formula>F33</formula>
    </cfRule>
  </conditionalFormatting>
  <conditionalFormatting sqref="AD34">
    <cfRule type="cellIs" dxfId="4" priority="618" operator="lessThanOrEqual">
      <formula>F34</formula>
    </cfRule>
  </conditionalFormatting>
  <conditionalFormatting sqref="AD35">
    <cfRule type="cellIs" dxfId="4" priority="623" operator="lessThanOrEqual">
      <formula>F35</formula>
    </cfRule>
  </conditionalFormatting>
  <conditionalFormatting sqref="AD36">
    <cfRule type="cellIs" dxfId="4" priority="628" operator="lessThanOrEqual">
      <formula>F36</formula>
    </cfRule>
  </conditionalFormatting>
  <conditionalFormatting sqref="AD37">
    <cfRule type="cellIs" dxfId="4" priority="633" operator="lessThanOrEqual">
      <formula>F37</formula>
    </cfRule>
  </conditionalFormatting>
  <conditionalFormatting sqref="AD38">
    <cfRule type="cellIs" dxfId="4" priority="638" operator="lessThanOrEqual">
      <formula>F38</formula>
    </cfRule>
  </conditionalFormatting>
  <conditionalFormatting sqref="AD39">
    <cfRule type="cellIs" dxfId="4" priority="643" operator="lessThanOrEqual">
      <formula>F39</formula>
    </cfRule>
  </conditionalFormatting>
  <conditionalFormatting sqref="AD40">
    <cfRule type="cellIs" dxfId="4" priority="648" operator="lessThanOrEqual">
      <formula>F40</formula>
    </cfRule>
  </conditionalFormatting>
  <conditionalFormatting sqref="AD41">
    <cfRule type="cellIs" dxfId="4" priority="653" operator="lessThanOrEqual">
      <formula>F41</formula>
    </cfRule>
  </conditionalFormatting>
  <conditionalFormatting sqref="AD7">
    <cfRule type="cellIs" dxfId="4" priority="508" operator="lessThanOrEqual">
      <formula>F7</formula>
    </cfRule>
  </conditionalFormatting>
  <conditionalFormatting sqref="AD8">
    <cfRule type="cellIs" dxfId="4" priority="513" operator="lessThanOrEqual">
      <formula>F8</formula>
    </cfRule>
  </conditionalFormatting>
  <conditionalFormatting sqref="AD9">
    <cfRule type="cellIs" dxfId="4" priority="518" operator="lessThanOrEqual">
      <formula>F9</formula>
    </cfRule>
  </conditionalFormatting>
  <conditionalFormatting sqref="AE10">
    <cfRule type="cellIs" dxfId="4" priority="522" operator="lessThanOrEqual">
      <formula>G10</formula>
    </cfRule>
  </conditionalFormatting>
  <conditionalFormatting sqref="AE11">
    <cfRule type="cellIs" dxfId="4" priority="527" operator="lessThanOrEqual">
      <formula>G11</formula>
    </cfRule>
  </conditionalFormatting>
  <conditionalFormatting sqref="AE12">
    <cfRule type="cellIs" dxfId="4" priority="532" operator="lessThanOrEqual">
      <formula>G12</formula>
    </cfRule>
  </conditionalFormatting>
  <conditionalFormatting sqref="AE13">
    <cfRule type="cellIs" dxfId="4" priority="537" operator="lessThanOrEqual">
      <formula>G13</formula>
    </cfRule>
  </conditionalFormatting>
  <conditionalFormatting sqref="AE14">
    <cfRule type="cellIs" dxfId="4" priority="542" operator="lessThanOrEqual">
      <formula>G14</formula>
    </cfRule>
  </conditionalFormatting>
  <conditionalFormatting sqref="AE15">
    <cfRule type="cellIs" dxfId="4" priority="547" operator="lessThanOrEqual">
      <formula>G15</formula>
    </cfRule>
  </conditionalFormatting>
  <conditionalFormatting sqref="AE17">
    <cfRule type="cellIs" dxfId="4" priority="552" operator="lessThanOrEqual">
      <formula>G17</formula>
    </cfRule>
  </conditionalFormatting>
  <conditionalFormatting sqref="AE18">
    <cfRule type="cellIs" dxfId="4" priority="557" operator="lessThanOrEqual">
      <formula>G18</formula>
    </cfRule>
  </conditionalFormatting>
  <conditionalFormatting sqref="AE20">
    <cfRule type="cellIs" dxfId="4" priority="562" operator="lessThanOrEqual">
      <formula>G20</formula>
    </cfRule>
  </conditionalFormatting>
  <conditionalFormatting sqref="AE21">
    <cfRule type="cellIs" dxfId="4" priority="567" operator="lessThanOrEqual">
      <formula>G21</formula>
    </cfRule>
  </conditionalFormatting>
  <conditionalFormatting sqref="AE22">
    <cfRule type="cellIs" dxfId="4" priority="572" operator="lessThanOrEqual">
      <formula>G22</formula>
    </cfRule>
  </conditionalFormatting>
  <conditionalFormatting sqref="AE23">
    <cfRule type="cellIs" dxfId="4" priority="577" operator="lessThanOrEqual">
      <formula>G23</formula>
    </cfRule>
  </conditionalFormatting>
  <conditionalFormatting sqref="AE25">
    <cfRule type="cellIs" dxfId="4" priority="582" operator="lessThanOrEqual">
      <formula>G25</formula>
    </cfRule>
  </conditionalFormatting>
  <conditionalFormatting sqref="AE28">
    <cfRule type="cellIs" dxfId="4" priority="587" operator="lessThanOrEqual">
      <formula>G28</formula>
    </cfRule>
  </conditionalFormatting>
  <conditionalFormatting sqref="AE29">
    <cfRule type="cellIs" dxfId="4" priority="592" operator="lessThanOrEqual">
      <formula>G29</formula>
    </cfRule>
  </conditionalFormatting>
  <conditionalFormatting sqref="AE30">
    <cfRule type="cellIs" dxfId="4" priority="597" operator="lessThanOrEqual">
      <formula>G30</formula>
    </cfRule>
  </conditionalFormatting>
  <conditionalFormatting sqref="AE31">
    <cfRule type="cellIs" dxfId="4" priority="602" operator="lessThanOrEqual">
      <formula>G31</formula>
    </cfRule>
  </conditionalFormatting>
  <conditionalFormatting sqref="AE32">
    <cfRule type="cellIs" dxfId="4" priority="607" operator="lessThanOrEqual">
      <formula>G32</formula>
    </cfRule>
  </conditionalFormatting>
  <conditionalFormatting sqref="AE33">
    <cfRule type="cellIs" dxfId="4" priority="612" operator="lessThanOrEqual">
      <formula>G33</formula>
    </cfRule>
  </conditionalFormatting>
  <conditionalFormatting sqref="AE34">
    <cfRule type="cellIs" dxfId="4" priority="617" operator="lessThanOrEqual">
      <formula>G34</formula>
    </cfRule>
  </conditionalFormatting>
  <conditionalFormatting sqref="AE35">
    <cfRule type="cellIs" dxfId="4" priority="622" operator="lessThanOrEqual">
      <formula>G35</formula>
    </cfRule>
  </conditionalFormatting>
  <conditionalFormatting sqref="AE36">
    <cfRule type="cellIs" dxfId="4" priority="627" operator="lessThanOrEqual">
      <formula>G36</formula>
    </cfRule>
  </conditionalFormatting>
  <conditionalFormatting sqref="AE37">
    <cfRule type="cellIs" dxfId="4" priority="632" operator="lessThanOrEqual">
      <formula>G37</formula>
    </cfRule>
  </conditionalFormatting>
  <conditionalFormatting sqref="AE38">
    <cfRule type="cellIs" dxfId="4" priority="637" operator="lessThanOrEqual">
      <formula>G38</formula>
    </cfRule>
  </conditionalFormatting>
  <conditionalFormatting sqref="AE39">
    <cfRule type="cellIs" dxfId="4" priority="642" operator="lessThanOrEqual">
      <formula>G39</formula>
    </cfRule>
  </conditionalFormatting>
  <conditionalFormatting sqref="AE40">
    <cfRule type="cellIs" dxfId="4" priority="647" operator="lessThanOrEqual">
      <formula>G40</formula>
    </cfRule>
  </conditionalFormatting>
  <conditionalFormatting sqref="AE41">
    <cfRule type="cellIs" dxfId="4" priority="652" operator="lessThanOrEqual">
      <formula>G41</formula>
    </cfRule>
  </conditionalFormatting>
  <conditionalFormatting sqref="AE7">
    <cfRule type="cellIs" dxfId="4" priority="507" operator="lessThanOrEqual">
      <formula>G7</formula>
    </cfRule>
  </conditionalFormatting>
  <conditionalFormatting sqref="AE8">
    <cfRule type="cellIs" dxfId="4" priority="512" operator="lessThanOrEqual">
      <formula>G8</formula>
    </cfRule>
  </conditionalFormatting>
  <conditionalFormatting sqref="AE9">
    <cfRule type="cellIs" dxfId="4" priority="517" operator="lessThanOrEqual">
      <formula>G9</formula>
    </cfRule>
  </conditionalFormatting>
  <conditionalFormatting sqref="AG10">
    <cfRule type="cellIs" dxfId="1" priority="664" operator="equal">
      <formula>0</formula>
    </cfRule>
    <cfRule type="cellIs" dxfId="2" priority="665" operator="lessThan">
      <formula>E10</formula>
    </cfRule>
  </conditionalFormatting>
  <conditionalFormatting sqref="AG11">
    <cfRule type="cellIs" dxfId="1" priority="669" operator="equal">
      <formula>0</formula>
    </cfRule>
    <cfRule type="cellIs" dxfId="2" priority="670" operator="lessThan">
      <formula>E11</formula>
    </cfRule>
  </conditionalFormatting>
  <conditionalFormatting sqref="AG13">
    <cfRule type="cellIs" dxfId="1" priority="675" operator="equal">
      <formula>0</formula>
    </cfRule>
    <cfRule type="cellIs" dxfId="2" priority="676" operator="lessThan">
      <formula>E13</formula>
    </cfRule>
  </conditionalFormatting>
  <conditionalFormatting sqref="AG14">
    <cfRule type="cellIs" dxfId="1" priority="680" operator="equal">
      <formula>0</formula>
    </cfRule>
    <cfRule type="cellIs" dxfId="2" priority="681" operator="lessThan">
      <formula>E14</formula>
    </cfRule>
  </conditionalFormatting>
  <conditionalFormatting sqref="AG15">
    <cfRule type="cellIs" dxfId="1" priority="686" operator="equal">
      <formula>0</formula>
    </cfRule>
    <cfRule type="cellIs" dxfId="2" priority="687" operator="lessThan">
      <formula>E15</formula>
    </cfRule>
  </conditionalFormatting>
  <conditionalFormatting sqref="AG17">
    <cfRule type="cellIs" dxfId="1" priority="691" operator="equal">
      <formula>0</formula>
    </cfRule>
    <cfRule type="cellIs" dxfId="2" priority="692" operator="lessThan">
      <formula>E17</formula>
    </cfRule>
  </conditionalFormatting>
  <conditionalFormatting sqref="AG20">
    <cfRule type="cellIs" dxfId="1" priority="696" operator="equal">
      <formula>0</formula>
    </cfRule>
    <cfRule type="cellIs" dxfId="2" priority="697" operator="lessThan">
      <formula>E20</formula>
    </cfRule>
  </conditionalFormatting>
  <conditionalFormatting sqref="AG21">
    <cfRule type="cellIs" dxfId="1" priority="701" operator="equal">
      <formula>0</formula>
    </cfRule>
    <cfRule type="cellIs" dxfId="2" priority="702" operator="lessThan">
      <formula>E21</formula>
    </cfRule>
  </conditionalFormatting>
  <conditionalFormatting sqref="AG22">
    <cfRule type="cellIs" dxfId="1" priority="706" operator="equal">
      <formula>0</formula>
    </cfRule>
    <cfRule type="cellIs" dxfId="2" priority="707" operator="lessThan">
      <formula>E22</formula>
    </cfRule>
  </conditionalFormatting>
  <conditionalFormatting sqref="AG23">
    <cfRule type="cellIs" dxfId="1" priority="711" operator="equal">
      <formula>0</formula>
    </cfRule>
    <cfRule type="cellIs" dxfId="2" priority="712" operator="lessThan">
      <formula>E23</formula>
    </cfRule>
  </conditionalFormatting>
  <conditionalFormatting sqref="AG25">
    <cfRule type="cellIs" dxfId="1" priority="716" operator="equal">
      <formula>0</formula>
    </cfRule>
    <cfRule type="cellIs" dxfId="2" priority="717" operator="lessThan">
      <formula>E25</formula>
    </cfRule>
  </conditionalFormatting>
  <conditionalFormatting sqref="AG28">
    <cfRule type="cellIs" dxfId="1" priority="721" operator="equal">
      <formula>0</formula>
    </cfRule>
    <cfRule type="cellIs" dxfId="2" priority="722" operator="lessThan">
      <formula>E28</formula>
    </cfRule>
  </conditionalFormatting>
  <conditionalFormatting sqref="AG30">
    <cfRule type="cellIs" dxfId="1" priority="727" operator="equal">
      <formula>0</formula>
    </cfRule>
    <cfRule type="cellIs" dxfId="2" priority="728" operator="lessThan">
      <formula>E30</formula>
    </cfRule>
  </conditionalFormatting>
  <conditionalFormatting sqref="AG32">
    <cfRule type="cellIs" dxfId="1" priority="733" operator="equal">
      <formula>0</formula>
    </cfRule>
    <cfRule type="cellIs" dxfId="2" priority="734" operator="lessThan">
      <formula>E32</formula>
    </cfRule>
  </conditionalFormatting>
  <conditionalFormatting sqref="AG33">
    <cfRule type="cellIs" dxfId="1" priority="739" operator="equal">
      <formula>0</formula>
    </cfRule>
    <cfRule type="cellIs" dxfId="2" priority="740" operator="lessThan">
      <formula>E33</formula>
    </cfRule>
  </conditionalFormatting>
  <conditionalFormatting sqref="AG34">
    <cfRule type="cellIs" dxfId="1" priority="744" operator="equal">
      <formula>0</formula>
    </cfRule>
    <cfRule type="cellIs" dxfId="2" priority="745" operator="lessThan">
      <formula>E34</formula>
    </cfRule>
  </conditionalFormatting>
  <conditionalFormatting sqref="AG35">
    <cfRule type="cellIs" dxfId="1" priority="749" operator="equal">
      <formula>0</formula>
    </cfRule>
    <cfRule type="cellIs" dxfId="2" priority="750" operator="lessThan">
      <formula>E35</formula>
    </cfRule>
  </conditionalFormatting>
  <conditionalFormatting sqref="AG36">
    <cfRule type="cellIs" dxfId="1" priority="754" operator="equal">
      <formula>0</formula>
    </cfRule>
    <cfRule type="cellIs" dxfId="2" priority="755" operator="lessThan">
      <formula>E36</formula>
    </cfRule>
  </conditionalFormatting>
  <conditionalFormatting sqref="AG37">
    <cfRule type="cellIs" dxfId="1" priority="759" operator="equal">
      <formula>0</formula>
    </cfRule>
    <cfRule type="cellIs" dxfId="2" priority="760" operator="lessThan">
      <formula>E37</formula>
    </cfRule>
  </conditionalFormatting>
  <conditionalFormatting sqref="AG40">
    <cfRule type="cellIs" dxfId="1" priority="764" operator="equal">
      <formula>0</formula>
    </cfRule>
    <cfRule type="cellIs" dxfId="2" priority="765" operator="lessThan">
      <formula>E40</formula>
    </cfRule>
  </conditionalFormatting>
  <conditionalFormatting sqref="AG41">
    <cfRule type="cellIs" dxfId="1" priority="769" operator="equal">
      <formula>0</formula>
    </cfRule>
    <cfRule type="cellIs" dxfId="2" priority="770" operator="lessThan">
      <formula>E41</formula>
    </cfRule>
  </conditionalFormatting>
  <conditionalFormatting sqref="AG43">
    <cfRule type="cellIs" dxfId="1" priority="774" operator="equal">
      <formula>0</formula>
    </cfRule>
    <cfRule type="cellIs" dxfId="2" priority="775" operator="lessThan">
      <formula>E43</formula>
    </cfRule>
  </conditionalFormatting>
  <conditionalFormatting sqref="AG7">
    <cfRule type="cellIs" dxfId="1" priority="654" operator="equal">
      <formula>0</formula>
    </cfRule>
    <cfRule type="cellIs" dxfId="2" priority="655" operator="lessThan">
      <formula>E7</formula>
    </cfRule>
  </conditionalFormatting>
  <conditionalFormatting sqref="AG9">
    <cfRule type="cellIs" dxfId="1" priority="659" operator="equal">
      <formula>0</formula>
    </cfRule>
    <cfRule type="cellIs" dxfId="2" priority="660" operator="lessThan">
      <formula>E9</formula>
    </cfRule>
  </conditionalFormatting>
  <conditionalFormatting sqref="AH10">
    <cfRule type="cellIs" dxfId="1" priority="666" operator="greaterThan">
      <formula>AG10</formula>
    </cfRule>
  </conditionalFormatting>
  <conditionalFormatting sqref="AH11">
    <cfRule type="expression" dxfId="3" priority="671">
      <formula>AND(AH11&gt;0,AH11&lt;2000)</formula>
    </cfRule>
    <cfRule type="cellIs" dxfId="1" priority="672" operator="greaterThan">
      <formula>AG11</formula>
    </cfRule>
  </conditionalFormatting>
  <conditionalFormatting sqref="AH13">
    <cfRule type="cellIs" dxfId="1" priority="677" operator="greaterThan">
      <formula>AG13</formula>
    </cfRule>
  </conditionalFormatting>
  <conditionalFormatting sqref="AH14">
    <cfRule type="expression" dxfId="3" priority="682">
      <formula>AND(AH14&gt;0,AH14&lt;1500)</formula>
    </cfRule>
    <cfRule type="cellIs" dxfId="1" priority="683" operator="greaterThan">
      <formula>AG14</formula>
    </cfRule>
  </conditionalFormatting>
  <conditionalFormatting sqref="AH15">
    <cfRule type="cellIs" dxfId="1" priority="688" operator="greaterThan">
      <formula>AG15</formula>
    </cfRule>
  </conditionalFormatting>
  <conditionalFormatting sqref="AH17">
    <cfRule type="cellIs" dxfId="1" priority="693" operator="greaterThan">
      <formula>AG17</formula>
    </cfRule>
  </conditionalFormatting>
  <conditionalFormatting sqref="AH20">
    <cfRule type="cellIs" dxfId="1" priority="698" operator="greaterThan">
      <formula>AG20</formula>
    </cfRule>
  </conditionalFormatting>
  <conditionalFormatting sqref="AH21">
    <cfRule type="cellIs" dxfId="1" priority="703" operator="greaterThan">
      <formula>AG21</formula>
    </cfRule>
  </conditionalFormatting>
  <conditionalFormatting sqref="AH22">
    <cfRule type="cellIs" dxfId="1" priority="708" operator="greaterThan">
      <formula>AG22</formula>
    </cfRule>
  </conditionalFormatting>
  <conditionalFormatting sqref="AH23">
    <cfRule type="cellIs" dxfId="1" priority="713" operator="greaterThan">
      <formula>AG23</formula>
    </cfRule>
  </conditionalFormatting>
  <conditionalFormatting sqref="AH25">
    <cfRule type="cellIs" dxfId="1" priority="718" operator="greaterThan">
      <formula>AG25</formula>
    </cfRule>
  </conditionalFormatting>
  <conditionalFormatting sqref="AH28">
    <cfRule type="expression" dxfId="3" priority="723">
      <formula>AND(AH28&gt;0,AH28&lt;10)</formula>
    </cfRule>
    <cfRule type="cellIs" dxfId="1" priority="724" operator="greaterThan">
      <formula>AG28</formula>
    </cfRule>
  </conditionalFormatting>
  <conditionalFormatting sqref="AH30">
    <cfRule type="expression" dxfId="3" priority="729">
      <formula>AND(AH30&gt;0,AH30&lt;25000)</formula>
    </cfRule>
    <cfRule type="cellIs" dxfId="1" priority="730" operator="greaterThan">
      <formula>AG30</formula>
    </cfRule>
  </conditionalFormatting>
  <conditionalFormatting sqref="AH32">
    <cfRule type="expression" dxfId="3" priority="735">
      <formula>AND(AH32&gt;0,AH32&lt;25000)</formula>
    </cfRule>
    <cfRule type="cellIs" dxfId="1" priority="736" operator="greaterThan">
      <formula>AG32</formula>
    </cfRule>
  </conditionalFormatting>
  <conditionalFormatting sqref="AH33">
    <cfRule type="cellIs" dxfId="1" priority="741" operator="greaterThan">
      <formula>AG33</formula>
    </cfRule>
  </conditionalFormatting>
  <conditionalFormatting sqref="AH34">
    <cfRule type="cellIs" dxfId="1" priority="746" operator="greaterThan">
      <formula>AG34</formula>
    </cfRule>
  </conditionalFormatting>
  <conditionalFormatting sqref="AH35">
    <cfRule type="cellIs" dxfId="1" priority="751" operator="greaterThan">
      <formula>AG35</formula>
    </cfRule>
  </conditionalFormatting>
  <conditionalFormatting sqref="AH36">
    <cfRule type="cellIs" dxfId="1" priority="756" operator="greaterThan">
      <formula>AG36</formula>
    </cfRule>
  </conditionalFormatting>
  <conditionalFormatting sqref="AH37">
    <cfRule type="cellIs" dxfId="1" priority="761" operator="greaterThan">
      <formula>AG37</formula>
    </cfRule>
  </conditionalFormatting>
  <conditionalFormatting sqref="AH40">
    <cfRule type="cellIs" dxfId="1" priority="766" operator="greaterThan">
      <formula>AG40</formula>
    </cfRule>
  </conditionalFormatting>
  <conditionalFormatting sqref="AH41">
    <cfRule type="cellIs" dxfId="1" priority="771" operator="greaterThan">
      <formula>AG41</formula>
    </cfRule>
  </conditionalFormatting>
  <conditionalFormatting sqref="AH43">
    <cfRule type="cellIs" dxfId="1" priority="776" operator="greaterThan">
      <formula>AG43</formula>
    </cfRule>
  </conditionalFormatting>
  <conditionalFormatting sqref="AH7">
    <cfRule type="cellIs" dxfId="1" priority="656" operator="greaterThan">
      <formula>AG7</formula>
    </cfRule>
  </conditionalFormatting>
  <conditionalFormatting sqref="AH9">
    <cfRule type="cellIs" dxfId="1" priority="661" operator="greaterThan">
      <formula>AG9</formula>
    </cfRule>
  </conditionalFormatting>
  <conditionalFormatting sqref="AI10">
    <cfRule type="cellIs" dxfId="4" priority="668" operator="lessThanOrEqual">
      <formula>F10</formula>
    </cfRule>
  </conditionalFormatting>
  <conditionalFormatting sqref="AI11">
    <cfRule type="cellIs" dxfId="4" priority="674" operator="lessThanOrEqual">
      <formula>F11</formula>
    </cfRule>
  </conditionalFormatting>
  <conditionalFormatting sqref="AI13">
    <cfRule type="cellIs" dxfId="4" priority="679" operator="lessThanOrEqual">
      <formula>F13</formula>
    </cfRule>
  </conditionalFormatting>
  <conditionalFormatting sqref="AI14">
    <cfRule type="cellIs" dxfId="4" priority="685" operator="lessThanOrEqual">
      <formula>F14</formula>
    </cfRule>
  </conditionalFormatting>
  <conditionalFormatting sqref="AI15">
    <cfRule type="cellIs" dxfId="4" priority="690" operator="lessThanOrEqual">
      <formula>F15</formula>
    </cfRule>
  </conditionalFormatting>
  <conditionalFormatting sqref="AI17">
    <cfRule type="cellIs" dxfId="4" priority="695" operator="lessThanOrEqual">
      <formula>F17</formula>
    </cfRule>
  </conditionalFormatting>
  <conditionalFormatting sqref="AI20">
    <cfRule type="cellIs" dxfId="4" priority="700" operator="lessThanOrEqual">
      <formula>F20</formula>
    </cfRule>
  </conditionalFormatting>
  <conditionalFormatting sqref="AI21">
    <cfRule type="cellIs" dxfId="4" priority="705" operator="lessThanOrEqual">
      <formula>F21</formula>
    </cfRule>
  </conditionalFormatting>
  <conditionalFormatting sqref="AI22">
    <cfRule type="cellIs" dxfId="4" priority="710" operator="lessThanOrEqual">
      <formula>F22</formula>
    </cfRule>
  </conditionalFormatting>
  <conditionalFormatting sqref="AI23">
    <cfRule type="cellIs" dxfId="4" priority="715" operator="lessThanOrEqual">
      <formula>F23</formula>
    </cfRule>
  </conditionalFormatting>
  <conditionalFormatting sqref="AI25">
    <cfRule type="cellIs" dxfId="4" priority="720" operator="lessThanOrEqual">
      <formula>F25</formula>
    </cfRule>
  </conditionalFormatting>
  <conditionalFormatting sqref="AI28">
    <cfRule type="cellIs" dxfId="4" priority="726" operator="lessThanOrEqual">
      <formula>F28</formula>
    </cfRule>
  </conditionalFormatting>
  <conditionalFormatting sqref="AI30">
    <cfRule type="cellIs" dxfId="4" priority="732" operator="lessThanOrEqual">
      <formula>F30</formula>
    </cfRule>
  </conditionalFormatting>
  <conditionalFormatting sqref="AI32">
    <cfRule type="cellIs" dxfId="4" priority="738" operator="lessThanOrEqual">
      <formula>F32</formula>
    </cfRule>
  </conditionalFormatting>
  <conditionalFormatting sqref="AI33">
    <cfRule type="cellIs" dxfId="4" priority="743" operator="lessThanOrEqual">
      <formula>F33</formula>
    </cfRule>
  </conditionalFormatting>
  <conditionalFormatting sqref="AI34">
    <cfRule type="cellIs" dxfId="4" priority="748" operator="lessThanOrEqual">
      <formula>F34</formula>
    </cfRule>
  </conditionalFormatting>
  <conditionalFormatting sqref="AI35">
    <cfRule type="cellIs" dxfId="4" priority="753" operator="lessThanOrEqual">
      <formula>F35</formula>
    </cfRule>
  </conditionalFormatting>
  <conditionalFormatting sqref="AI36">
    <cfRule type="cellIs" dxfId="4" priority="758" operator="lessThanOrEqual">
      <formula>F36</formula>
    </cfRule>
  </conditionalFormatting>
  <conditionalFormatting sqref="AI37">
    <cfRule type="cellIs" dxfId="4" priority="763" operator="lessThanOrEqual">
      <formula>F37</formula>
    </cfRule>
  </conditionalFormatting>
  <conditionalFormatting sqref="AI40">
    <cfRule type="cellIs" dxfId="4" priority="768" operator="lessThanOrEqual">
      <formula>F40</formula>
    </cfRule>
  </conditionalFormatting>
  <conditionalFormatting sqref="AI41">
    <cfRule type="cellIs" dxfId="4" priority="773" operator="lessThanOrEqual">
      <formula>F41</formula>
    </cfRule>
  </conditionalFormatting>
  <conditionalFormatting sqref="AI43">
    <cfRule type="cellIs" dxfId="4" priority="778" operator="lessThanOrEqual">
      <formula>F43</formula>
    </cfRule>
  </conditionalFormatting>
  <conditionalFormatting sqref="AI7">
    <cfRule type="cellIs" dxfId="4" priority="658" operator="lessThanOrEqual">
      <formula>F7</formula>
    </cfRule>
  </conditionalFormatting>
  <conditionalFormatting sqref="AI9">
    <cfRule type="cellIs" dxfId="4" priority="663" operator="lessThanOrEqual">
      <formula>F9</formula>
    </cfRule>
  </conditionalFormatting>
  <conditionalFormatting sqref="AJ10">
    <cfRule type="cellIs" dxfId="4" priority="667" operator="lessThanOrEqual">
      <formula>G10</formula>
    </cfRule>
  </conditionalFormatting>
  <conditionalFormatting sqref="AJ11">
    <cfRule type="cellIs" dxfId="4" priority="673" operator="lessThanOrEqual">
      <formula>G11</formula>
    </cfRule>
  </conditionalFormatting>
  <conditionalFormatting sqref="AJ13">
    <cfRule type="cellIs" dxfId="4" priority="678" operator="lessThanOrEqual">
      <formula>G13</formula>
    </cfRule>
  </conditionalFormatting>
  <conditionalFormatting sqref="AJ14">
    <cfRule type="cellIs" dxfId="4" priority="684" operator="lessThanOrEqual">
      <formula>G14</formula>
    </cfRule>
  </conditionalFormatting>
  <conditionalFormatting sqref="AJ15">
    <cfRule type="cellIs" dxfId="4" priority="689" operator="lessThanOrEqual">
      <formula>G15</formula>
    </cfRule>
  </conditionalFormatting>
  <conditionalFormatting sqref="AJ17">
    <cfRule type="cellIs" dxfId="4" priority="694" operator="lessThanOrEqual">
      <formula>G17</formula>
    </cfRule>
  </conditionalFormatting>
  <conditionalFormatting sqref="AJ20">
    <cfRule type="cellIs" dxfId="4" priority="699" operator="lessThanOrEqual">
      <formula>G20</formula>
    </cfRule>
  </conditionalFormatting>
  <conditionalFormatting sqref="AJ21">
    <cfRule type="cellIs" dxfId="4" priority="704" operator="lessThanOrEqual">
      <formula>G21</formula>
    </cfRule>
  </conditionalFormatting>
  <conditionalFormatting sqref="AJ22">
    <cfRule type="cellIs" dxfId="4" priority="709" operator="lessThanOrEqual">
      <formula>G22</formula>
    </cfRule>
  </conditionalFormatting>
  <conditionalFormatting sqref="AJ23">
    <cfRule type="cellIs" dxfId="4" priority="714" operator="lessThanOrEqual">
      <formula>G23</formula>
    </cfRule>
  </conditionalFormatting>
  <conditionalFormatting sqref="AJ25">
    <cfRule type="cellIs" dxfId="4" priority="719" operator="lessThanOrEqual">
      <formula>G25</formula>
    </cfRule>
  </conditionalFormatting>
  <conditionalFormatting sqref="AJ28">
    <cfRule type="cellIs" dxfId="4" priority="725" operator="lessThanOrEqual">
      <formula>G28</formula>
    </cfRule>
  </conditionalFormatting>
  <conditionalFormatting sqref="AJ30">
    <cfRule type="cellIs" dxfId="4" priority="731" operator="lessThanOrEqual">
      <formula>G30</formula>
    </cfRule>
  </conditionalFormatting>
  <conditionalFormatting sqref="AJ32">
    <cfRule type="cellIs" dxfId="4" priority="737" operator="lessThanOrEqual">
      <formula>G32</formula>
    </cfRule>
  </conditionalFormatting>
  <conditionalFormatting sqref="AJ33">
    <cfRule type="cellIs" dxfId="4" priority="742" operator="lessThanOrEqual">
      <formula>G33</formula>
    </cfRule>
  </conditionalFormatting>
  <conditionalFormatting sqref="AJ34">
    <cfRule type="cellIs" dxfId="4" priority="747" operator="lessThanOrEqual">
      <formula>G34</formula>
    </cfRule>
  </conditionalFormatting>
  <conditionalFormatting sqref="AJ35">
    <cfRule type="cellIs" dxfId="4" priority="752" operator="lessThanOrEqual">
      <formula>G35</formula>
    </cfRule>
  </conditionalFormatting>
  <conditionalFormatting sqref="AJ36">
    <cfRule type="cellIs" dxfId="4" priority="757" operator="lessThanOrEqual">
      <formula>G36</formula>
    </cfRule>
  </conditionalFormatting>
  <conditionalFormatting sqref="AJ37">
    <cfRule type="cellIs" dxfId="4" priority="762" operator="lessThanOrEqual">
      <formula>G37</formula>
    </cfRule>
  </conditionalFormatting>
  <conditionalFormatting sqref="AJ40">
    <cfRule type="cellIs" dxfId="4" priority="767" operator="lessThanOrEqual">
      <formula>G40</formula>
    </cfRule>
  </conditionalFormatting>
  <conditionalFormatting sqref="AJ41">
    <cfRule type="cellIs" dxfId="4" priority="772" operator="lessThanOrEqual">
      <formula>G41</formula>
    </cfRule>
  </conditionalFormatting>
  <conditionalFormatting sqref="AJ43">
    <cfRule type="cellIs" dxfId="4" priority="777" operator="lessThanOrEqual">
      <formula>G43</formula>
    </cfRule>
  </conditionalFormatting>
  <conditionalFormatting sqref="AJ7">
    <cfRule type="cellIs" dxfId="4" priority="657" operator="lessThanOrEqual">
      <formula>G7</formula>
    </cfRule>
  </conditionalFormatting>
  <conditionalFormatting sqref="AJ9">
    <cfRule type="cellIs" dxfId="4" priority="662" operator="lessThanOrEqual">
      <formula>G9</formula>
    </cfRule>
  </conditionalFormatting>
  <conditionalFormatting sqref="AL10">
    <cfRule type="cellIs" dxfId="1" priority="779" operator="equal">
      <formula>0</formula>
    </cfRule>
    <cfRule type="cellIs" dxfId="2" priority="780" operator="lessThan">
      <formula>E10</formula>
    </cfRule>
  </conditionalFormatting>
  <conditionalFormatting sqref="AL15">
    <cfRule type="cellIs" dxfId="1" priority="785" operator="equal">
      <formula>0</formula>
    </cfRule>
    <cfRule type="cellIs" dxfId="2" priority="786" operator="lessThan">
      <formula>E15</formula>
    </cfRule>
  </conditionalFormatting>
  <conditionalFormatting sqref="AL21">
    <cfRule type="cellIs" dxfId="1" priority="791" operator="equal">
      <formula>0</formula>
    </cfRule>
    <cfRule type="cellIs" dxfId="2" priority="792" operator="lessThan">
      <formula>E21</formula>
    </cfRule>
  </conditionalFormatting>
  <conditionalFormatting sqref="AL22">
    <cfRule type="cellIs" dxfId="1" priority="797" operator="equal">
      <formula>0</formula>
    </cfRule>
    <cfRule type="cellIs" dxfId="2" priority="798" operator="lessThan">
      <formula>E22</formula>
    </cfRule>
  </conditionalFormatting>
  <conditionalFormatting sqref="AL23">
    <cfRule type="cellIs" dxfId="1" priority="803" operator="equal">
      <formula>0</formula>
    </cfRule>
    <cfRule type="cellIs" dxfId="2" priority="804" operator="lessThan">
      <formula>E23</formula>
    </cfRule>
  </conditionalFormatting>
  <conditionalFormatting sqref="AL35">
    <cfRule type="cellIs" dxfId="1" priority="809" operator="equal">
      <formula>0</formula>
    </cfRule>
    <cfRule type="cellIs" dxfId="2" priority="810" operator="lessThan">
      <formula>E35</formula>
    </cfRule>
  </conditionalFormatting>
  <conditionalFormatting sqref="AM10">
    <cfRule type="expression" dxfId="3" priority="781">
      <formula>AND(AM10&gt;0,AM10&lt;10)</formula>
    </cfRule>
    <cfRule type="cellIs" dxfId="1" priority="782" operator="greaterThan">
      <formula>AL10</formula>
    </cfRule>
  </conditionalFormatting>
  <conditionalFormatting sqref="AM15">
    <cfRule type="expression" dxfId="3" priority="787">
      <formula>AND(AM15&gt;0,AM15&lt;4000)</formula>
    </cfRule>
    <cfRule type="cellIs" dxfId="1" priority="788" operator="greaterThan">
      <formula>AL15</formula>
    </cfRule>
  </conditionalFormatting>
  <conditionalFormatting sqref="AM21">
    <cfRule type="expression" dxfId="3" priority="793">
      <formula>AND(AM21&gt;0,AM21&lt;200)</formula>
    </cfRule>
    <cfRule type="cellIs" dxfId="1" priority="794" operator="greaterThan">
      <formula>AL21</formula>
    </cfRule>
  </conditionalFormatting>
  <conditionalFormatting sqref="AM22">
    <cfRule type="expression" dxfId="3" priority="799">
      <formula>AND(AM22&gt;0,AM22&lt;100)</formula>
    </cfRule>
    <cfRule type="cellIs" dxfId="1" priority="800" operator="greaterThan">
      <formula>AL22</formula>
    </cfRule>
  </conditionalFormatting>
  <conditionalFormatting sqref="AM23">
    <cfRule type="expression" dxfId="3" priority="805">
      <formula>AND(AM23&gt;0,AM23&lt;100)</formula>
    </cfRule>
    <cfRule type="cellIs" dxfId="1" priority="806" operator="greaterThan">
      <formula>AL23</formula>
    </cfRule>
  </conditionalFormatting>
  <conditionalFormatting sqref="AM35">
    <cfRule type="expression" dxfId="3" priority="811">
      <formula>AND(AM35&gt;0,AM35&lt;10)</formula>
    </cfRule>
    <cfRule type="cellIs" dxfId="1" priority="812" operator="greaterThan">
      <formula>AL35</formula>
    </cfRule>
  </conditionalFormatting>
  <conditionalFormatting sqref="AN10">
    <cfRule type="cellIs" dxfId="4" priority="784" operator="lessThanOrEqual">
      <formula>F10</formula>
    </cfRule>
  </conditionalFormatting>
  <conditionalFormatting sqref="AN15">
    <cfRule type="cellIs" dxfId="4" priority="790" operator="lessThanOrEqual">
      <formula>F15</formula>
    </cfRule>
  </conditionalFormatting>
  <conditionalFormatting sqref="AN21">
    <cfRule type="cellIs" dxfId="4" priority="796" operator="lessThanOrEqual">
      <formula>F21</formula>
    </cfRule>
  </conditionalFormatting>
  <conditionalFormatting sqref="AN22">
    <cfRule type="cellIs" dxfId="4" priority="802" operator="lessThanOrEqual">
      <formula>F22</formula>
    </cfRule>
  </conditionalFormatting>
  <conditionalFormatting sqref="AN23">
    <cfRule type="cellIs" dxfId="4" priority="808" operator="lessThanOrEqual">
      <formula>F23</formula>
    </cfRule>
  </conditionalFormatting>
  <conditionalFormatting sqref="AN35">
    <cfRule type="cellIs" dxfId="4" priority="814" operator="lessThanOrEqual">
      <formula>F35</formula>
    </cfRule>
  </conditionalFormatting>
  <conditionalFormatting sqref="AO10">
    <cfRule type="cellIs" dxfId="4" priority="783" operator="lessThanOrEqual">
      <formula>G10</formula>
    </cfRule>
  </conditionalFormatting>
  <conditionalFormatting sqref="AO15">
    <cfRule type="cellIs" dxfId="4" priority="789" operator="lessThanOrEqual">
      <formula>G15</formula>
    </cfRule>
  </conditionalFormatting>
  <conditionalFormatting sqref="AO21">
    <cfRule type="cellIs" dxfId="4" priority="795" operator="lessThanOrEqual">
      <formula>G21</formula>
    </cfRule>
  </conditionalFormatting>
  <conditionalFormatting sqref="AO22">
    <cfRule type="cellIs" dxfId="4" priority="801" operator="lessThanOrEqual">
      <formula>G22</formula>
    </cfRule>
  </conditionalFormatting>
  <conditionalFormatting sqref="AO23">
    <cfRule type="cellIs" dxfId="4" priority="807" operator="lessThanOrEqual">
      <formula>G23</formula>
    </cfRule>
  </conditionalFormatting>
  <conditionalFormatting sqref="AO35">
    <cfRule type="cellIs" dxfId="4" priority="813" operator="lessThanOrEqual">
      <formula>G35</formula>
    </cfRule>
  </conditionalFormatting>
  <conditionalFormatting sqref="AQ15">
    <cfRule type="cellIs" dxfId="1" priority="827" operator="equal">
      <formula>0</formula>
    </cfRule>
    <cfRule type="cellIs" dxfId="2" priority="828" operator="lessThan">
      <formula>E15</formula>
    </cfRule>
  </conditionalFormatting>
  <conditionalFormatting sqref="AQ18">
    <cfRule type="cellIs" dxfId="1" priority="833" operator="equal">
      <formula>0</formula>
    </cfRule>
    <cfRule type="cellIs" dxfId="2" priority="834" operator="lessThan">
      <formula>E18</formula>
    </cfRule>
  </conditionalFormatting>
  <conditionalFormatting sqref="AQ21">
    <cfRule type="cellIs" dxfId="1" priority="839" operator="equal">
      <formula>0</formula>
    </cfRule>
    <cfRule type="cellIs" dxfId="2" priority="840" operator="lessThan">
      <formula>E21</formula>
    </cfRule>
  </conditionalFormatting>
  <conditionalFormatting sqref="AQ22">
    <cfRule type="cellIs" dxfId="1" priority="845" operator="equal">
      <formula>0</formula>
    </cfRule>
    <cfRule type="cellIs" dxfId="2" priority="846" operator="lessThan">
      <formula>E22</formula>
    </cfRule>
  </conditionalFormatting>
  <conditionalFormatting sqref="AQ23">
    <cfRule type="cellIs" dxfId="1" priority="851" operator="equal">
      <formula>0</formula>
    </cfRule>
    <cfRule type="cellIs" dxfId="2" priority="852" operator="lessThan">
      <formula>E23</formula>
    </cfRule>
  </conditionalFormatting>
  <conditionalFormatting sqref="AQ34">
    <cfRule type="cellIs" dxfId="1" priority="857" operator="equal">
      <formula>0</formula>
    </cfRule>
    <cfRule type="cellIs" dxfId="2" priority="858" operator="lessThan">
      <formula>E34</formula>
    </cfRule>
  </conditionalFormatting>
  <conditionalFormatting sqref="AQ41">
    <cfRule type="cellIs" dxfId="1" priority="863" operator="equal">
      <formula>0</formula>
    </cfRule>
    <cfRule type="cellIs" dxfId="2" priority="864" operator="lessThan">
      <formula>E41</formula>
    </cfRule>
  </conditionalFormatting>
  <conditionalFormatting sqref="AQ7">
    <cfRule type="cellIs" dxfId="1" priority="815" operator="equal">
      <formula>0</formula>
    </cfRule>
    <cfRule type="cellIs" dxfId="2" priority="816" operator="lessThan">
      <formula>E7</formula>
    </cfRule>
  </conditionalFormatting>
  <conditionalFormatting sqref="AQ9">
    <cfRule type="cellIs" dxfId="1" priority="821" operator="equal">
      <formula>0</formula>
    </cfRule>
    <cfRule type="cellIs" dxfId="2" priority="822" operator="lessThan">
      <formula>E9</formula>
    </cfRule>
  </conditionalFormatting>
  <conditionalFormatting sqref="AR15">
    <cfRule type="expression" dxfId="3" priority="829">
      <formula>AND(AR15&gt;0,AR15&lt;100)</formula>
    </cfRule>
    <cfRule type="cellIs" dxfId="1" priority="830" operator="greaterThan">
      <formula>AQ15</formula>
    </cfRule>
  </conditionalFormatting>
  <conditionalFormatting sqref="AR18">
    <cfRule type="expression" dxfId="3" priority="835">
      <formula>AND(AR18&gt;0,AR18&lt;100)</formula>
    </cfRule>
    <cfRule type="cellIs" dxfId="1" priority="836" operator="greaterThan">
      <formula>AQ18</formula>
    </cfRule>
  </conditionalFormatting>
  <conditionalFormatting sqref="AR21">
    <cfRule type="expression" dxfId="3" priority="841">
      <formula>AND(AR21&gt;0,AR21&lt;25)</formula>
    </cfRule>
    <cfRule type="cellIs" dxfId="1" priority="842" operator="greaterThan">
      <formula>AQ21</formula>
    </cfRule>
  </conditionalFormatting>
  <conditionalFormatting sqref="AR22">
    <cfRule type="expression" dxfId="3" priority="847">
      <formula>AND(AR22&gt;0,AR22&lt;20)</formula>
    </cfRule>
    <cfRule type="cellIs" dxfId="1" priority="848" operator="greaterThan">
      <formula>AQ22</formula>
    </cfRule>
  </conditionalFormatting>
  <conditionalFormatting sqref="AR23">
    <cfRule type="expression" dxfId="3" priority="853">
      <formula>AND(AR23&gt;0,AR23&lt;20)</formula>
    </cfRule>
    <cfRule type="cellIs" dxfId="1" priority="854" operator="greaterThan">
      <formula>AQ23</formula>
    </cfRule>
  </conditionalFormatting>
  <conditionalFormatting sqref="AR34">
    <cfRule type="expression" dxfId="3" priority="859">
      <formula>AND(AR34&gt;0,AR34&lt;100)</formula>
    </cfRule>
    <cfRule type="cellIs" dxfId="1" priority="860" operator="greaterThan">
      <formula>AQ34</formula>
    </cfRule>
  </conditionalFormatting>
  <conditionalFormatting sqref="AR41">
    <cfRule type="cellIs" dxfId="1" priority="865" operator="greaterThan">
      <formula>AQ41</formula>
    </cfRule>
  </conditionalFormatting>
  <conditionalFormatting sqref="AR7">
    <cfRule type="expression" dxfId="3" priority="817">
      <formula>AND(AR7&gt;0,AR7&lt;500)</formula>
    </cfRule>
    <cfRule type="cellIs" dxfId="1" priority="818" operator="greaterThan">
      <formula>AQ7</formula>
    </cfRule>
  </conditionalFormatting>
  <conditionalFormatting sqref="AR9">
    <cfRule type="expression" dxfId="3" priority="823">
      <formula>AND(AR9&gt;0,AR9&lt;100)</formula>
    </cfRule>
    <cfRule type="cellIs" dxfId="1" priority="824" operator="greaterThan">
      <formula>AQ9</formula>
    </cfRule>
  </conditionalFormatting>
  <conditionalFormatting sqref="AS15">
    <cfRule type="cellIs" dxfId="4" priority="832" operator="lessThanOrEqual">
      <formula>F15</formula>
    </cfRule>
  </conditionalFormatting>
  <conditionalFormatting sqref="AS18">
    <cfRule type="cellIs" dxfId="4" priority="838" operator="lessThanOrEqual">
      <formula>F18</formula>
    </cfRule>
  </conditionalFormatting>
  <conditionalFormatting sqref="AS21">
    <cfRule type="cellIs" dxfId="4" priority="844" operator="lessThanOrEqual">
      <formula>F21</formula>
    </cfRule>
  </conditionalFormatting>
  <conditionalFormatting sqref="AS22">
    <cfRule type="cellIs" dxfId="4" priority="850" operator="lessThanOrEqual">
      <formula>F22</formula>
    </cfRule>
  </conditionalFormatting>
  <conditionalFormatting sqref="AS23">
    <cfRule type="cellIs" dxfId="4" priority="856" operator="lessThanOrEqual">
      <formula>F23</formula>
    </cfRule>
  </conditionalFormatting>
  <conditionalFormatting sqref="AS34">
    <cfRule type="cellIs" dxfId="4" priority="862" operator="lessThanOrEqual">
      <formula>F34</formula>
    </cfRule>
  </conditionalFormatting>
  <conditionalFormatting sqref="AS41">
    <cfRule type="cellIs" dxfId="4" priority="867" operator="lessThanOrEqual">
      <formula>F41</formula>
    </cfRule>
  </conditionalFormatting>
  <conditionalFormatting sqref="AS7">
    <cfRule type="cellIs" dxfId="4" priority="820" operator="lessThanOrEqual">
      <formula>F7</formula>
    </cfRule>
  </conditionalFormatting>
  <conditionalFormatting sqref="AS9">
    <cfRule type="cellIs" dxfId="4" priority="826" operator="lessThanOrEqual">
      <formula>F9</formula>
    </cfRule>
  </conditionalFormatting>
  <conditionalFormatting sqref="AT15">
    <cfRule type="cellIs" dxfId="4" priority="831" operator="lessThanOrEqual">
      <formula>G15</formula>
    </cfRule>
  </conditionalFormatting>
  <conditionalFormatting sqref="AT18">
    <cfRule type="cellIs" dxfId="4" priority="837" operator="lessThanOrEqual">
      <formula>G18</formula>
    </cfRule>
  </conditionalFormatting>
  <conditionalFormatting sqref="AT21">
    <cfRule type="cellIs" dxfId="4" priority="843" operator="lessThanOrEqual">
      <formula>G21</formula>
    </cfRule>
  </conditionalFormatting>
  <conditionalFormatting sqref="AT22">
    <cfRule type="cellIs" dxfId="4" priority="849" operator="lessThanOrEqual">
      <formula>G22</formula>
    </cfRule>
  </conditionalFormatting>
  <conditionalFormatting sqref="AT23">
    <cfRule type="cellIs" dxfId="4" priority="855" operator="lessThanOrEqual">
      <formula>G23</formula>
    </cfRule>
  </conditionalFormatting>
  <conditionalFormatting sqref="AT34">
    <cfRule type="cellIs" dxfId="4" priority="861" operator="lessThanOrEqual">
      <formula>G34</formula>
    </cfRule>
  </conditionalFormatting>
  <conditionalFormatting sqref="AT41">
    <cfRule type="cellIs" dxfId="4" priority="866" operator="lessThanOrEqual">
      <formula>G41</formula>
    </cfRule>
  </conditionalFormatting>
  <conditionalFormatting sqref="AT7">
    <cfRule type="cellIs" dxfId="4" priority="819" operator="lessThanOrEqual">
      <formula>G7</formula>
    </cfRule>
  </conditionalFormatting>
  <conditionalFormatting sqref="AT9">
    <cfRule type="cellIs" dxfId="4" priority="825" operator="lessThanOrEqual">
      <formula>G9</formula>
    </cfRule>
  </conditionalFormatting>
  <conditionalFormatting sqref="E10">
    <cfRule type="expression" dxfId="0" priority="13">
      <formula>AND(ISBLANK(D10),ISBLANK(L10),ISBLANK(Q10),ISBLANK(V10),ISBLANK(AA10),ISBLANK(AF10),ISBLANK(AK10),ISBLANK(AP10),ISBLANK(AU10))</formula>
    </cfRule>
    <cfRule type="expression" dxfId="1" priority="14">
      <formula>IF(SUM(H10,M10,R10,W10,AB10,AG10,AL10,AQ10)=0,1,0)</formula>
    </cfRule>
    <cfRule type="cellIs" dxfId="2" priority="15" operator="greaterThan">
      <formula>SUM(H10,M10,R10,W10,AB10,AG10,AL10,AQ10)</formula>
    </cfRule>
    <cfRule type="cellIs" dxfId="3" priority="16" operator="greaterThan">
      <formula>SUM(IF(ISNUMBER(J10),I10,0),IF(ISNUMBER(O10),N10,0),IF(ISNUMBER(T10),S10,0),IF(ISNUMBER(Y10),X10,0),IF(ISNUMBER(AD10),AC10,0),IF(ISNUMBER(AI10),AH10,0),IF(ISNUMBER(AN10),AM10,0),IF(ISNUMBER(AS10),AR10,0))</formula>
    </cfRule>
  </conditionalFormatting>
  <conditionalFormatting sqref="E11">
    <cfRule type="expression" dxfId="0" priority="17">
      <formula>AND(ISBLANK(D11),ISBLANK(L11),ISBLANK(Q11),ISBLANK(V11),ISBLANK(AA11),ISBLANK(AF11),ISBLANK(AK11),ISBLANK(AP11),ISBLANK(AU11))</formula>
    </cfRule>
    <cfRule type="expression" dxfId="1" priority="18">
      <formula>IF(SUM(H11,M11,R11,W11,AB11,AG11,AL11,AQ11)=0,1,0)</formula>
    </cfRule>
    <cfRule type="cellIs" dxfId="2" priority="19" operator="greaterThan">
      <formula>SUM(H11,M11,R11,W11,AB11,AG11,AL11,AQ11)</formula>
    </cfRule>
    <cfRule type="cellIs" dxfId="3" priority="20" operator="greaterThan">
      <formula>SUM(IF(ISNUMBER(J11),I11,0),IF(ISNUMBER(O11),N11,0),IF(ISNUMBER(T11),S11,0),IF(ISNUMBER(Y11),X11,0),IF(ISNUMBER(AD11),AC11,0),IF(ISNUMBER(AI11),AH11,0),IF(ISNUMBER(AN11),AM11,0),IF(ISNUMBER(AS11),AR11,0))</formula>
    </cfRule>
  </conditionalFormatting>
  <conditionalFormatting sqref="E12">
    <cfRule type="expression" dxfId="0" priority="21">
      <formula>AND(ISBLANK(D12),ISBLANK(L12),ISBLANK(Q12),ISBLANK(V12),ISBLANK(AA12),ISBLANK(AF12),ISBLANK(AK12),ISBLANK(AP12),ISBLANK(AU12))</formula>
    </cfRule>
    <cfRule type="expression" dxfId="1" priority="22">
      <formula>IF(SUM(H12,M12,R12,W12,AB12,AG12,AL12,AQ12)=0,1,0)</formula>
    </cfRule>
    <cfRule type="cellIs" dxfId="2" priority="23" operator="greaterThan">
      <formula>SUM(H12,M12,R12,W12,AB12,AG12,AL12,AQ12)</formula>
    </cfRule>
    <cfRule type="cellIs" dxfId="3" priority="24" operator="greaterThan">
      <formula>SUM(IF(ISNUMBER(J12),I12,0),IF(ISNUMBER(O12),N12,0),IF(ISNUMBER(T12),S12,0),IF(ISNUMBER(Y12),X12,0),IF(ISNUMBER(AD12),AC12,0),IF(ISNUMBER(AI12),AH12,0),IF(ISNUMBER(AN12),AM12,0),IF(ISNUMBER(AS12),AR12,0))</formula>
    </cfRule>
  </conditionalFormatting>
  <conditionalFormatting sqref="E13">
    <cfRule type="expression" dxfId="0" priority="25">
      <formula>AND(ISBLANK(D13),ISBLANK(L13),ISBLANK(Q13),ISBLANK(V13),ISBLANK(AA13),ISBLANK(AF13),ISBLANK(AK13),ISBLANK(AP13),ISBLANK(AU13))</formula>
    </cfRule>
    <cfRule type="expression" dxfId="1" priority="26">
      <formula>IF(SUM(H13,M13,R13,W13,AB13,AG13,AL13,AQ13)=0,1,0)</formula>
    </cfRule>
    <cfRule type="cellIs" dxfId="2" priority="27" operator="greaterThan">
      <formula>SUM(H13,M13,R13,W13,AB13,AG13,AL13,AQ13)</formula>
    </cfRule>
    <cfRule type="cellIs" dxfId="3" priority="28" operator="greaterThan">
      <formula>SUM(IF(ISNUMBER(J13),I13,0),IF(ISNUMBER(O13),N13,0),IF(ISNUMBER(T13),S13,0),IF(ISNUMBER(Y13),X13,0),IF(ISNUMBER(AD13),AC13,0),IF(ISNUMBER(AI13),AH13,0),IF(ISNUMBER(AN13),AM13,0),IF(ISNUMBER(AS13),AR13,0))</formula>
    </cfRule>
  </conditionalFormatting>
  <conditionalFormatting sqref="E14">
    <cfRule type="expression" dxfId="0" priority="29">
      <formula>AND(ISBLANK(D14),ISBLANK(L14),ISBLANK(Q14),ISBLANK(V14),ISBLANK(AA14),ISBLANK(AF14),ISBLANK(AK14),ISBLANK(AP14),ISBLANK(AU14))</formula>
    </cfRule>
    <cfRule type="expression" dxfId="1" priority="30">
      <formula>IF(SUM(H14,M14,R14,W14,AB14,AG14,AL14,AQ14)=0,1,0)</formula>
    </cfRule>
    <cfRule type="cellIs" dxfId="2" priority="31" operator="greaterThan">
      <formula>SUM(H14,M14,R14,W14,AB14,AG14,AL14,AQ14)</formula>
    </cfRule>
    <cfRule type="cellIs" dxfId="3" priority="32" operator="greaterThan">
      <formula>SUM(IF(ISNUMBER(J14),I14,0),IF(ISNUMBER(O14),N14,0),IF(ISNUMBER(T14),S14,0),IF(ISNUMBER(Y14),X14,0),IF(ISNUMBER(AD14),AC14,0),IF(ISNUMBER(AI14),AH14,0),IF(ISNUMBER(AN14),AM14,0),IF(ISNUMBER(AS14),AR14,0))</formula>
    </cfRule>
  </conditionalFormatting>
  <conditionalFormatting sqref="E15">
    <cfRule type="expression" dxfId="0" priority="33">
      <formula>AND(ISBLANK(D15),ISBLANK(L15),ISBLANK(Q15),ISBLANK(V15),ISBLANK(AA15),ISBLANK(AF15),ISBLANK(AK15),ISBLANK(AP15),ISBLANK(AU15))</formula>
    </cfRule>
    <cfRule type="expression" dxfId="1" priority="34">
      <formula>IF(SUM(H15,M15,R15,W15,AB15,AG15,AL15,AQ15)=0,1,0)</formula>
    </cfRule>
    <cfRule type="cellIs" dxfId="2" priority="35" operator="greaterThan">
      <formula>SUM(H15,M15,R15,W15,AB15,AG15,AL15,AQ15)</formula>
    </cfRule>
    <cfRule type="cellIs" dxfId="3" priority="36" operator="greaterThan">
      <formula>SUM(IF(ISNUMBER(J15),I15,0),IF(ISNUMBER(O15),N15,0),IF(ISNUMBER(T15),S15,0),IF(ISNUMBER(Y15),X15,0),IF(ISNUMBER(AD15),AC15,0),IF(ISNUMBER(AI15),AH15,0),IF(ISNUMBER(AN15),AM15,0),IF(ISNUMBER(AS15),AR15,0))</formula>
    </cfRule>
  </conditionalFormatting>
  <conditionalFormatting sqref="E16">
    <cfRule type="expression" dxfId="0" priority="37">
      <formula>AND(ISBLANK(D16),ISBLANK(L16),ISBLANK(Q16),ISBLANK(V16),ISBLANK(AA16),ISBLANK(AF16),ISBLANK(AK16),ISBLANK(AP16),ISBLANK(AU16))</formula>
    </cfRule>
    <cfRule type="expression" dxfId="1" priority="38">
      <formula>IF(SUM(H16,M16,R16,W16,AB16,AG16,AL16,AQ16)=0,1,0)</formula>
    </cfRule>
    <cfRule type="cellIs" dxfId="2" priority="39" operator="greaterThan">
      <formula>SUM(H16,M16,R16,W16,AB16,AG16,AL16,AQ16)</formula>
    </cfRule>
    <cfRule type="cellIs" dxfId="3" priority="40" operator="greaterThan">
      <formula>SUM(IF(ISNUMBER(J16),I16,0),IF(ISNUMBER(O16),N16,0),IF(ISNUMBER(T16),S16,0),IF(ISNUMBER(Y16),X16,0),IF(ISNUMBER(AD16),AC16,0),IF(ISNUMBER(AI16),AH16,0),IF(ISNUMBER(AN16),AM16,0),IF(ISNUMBER(AS16),AR16,0))</formula>
    </cfRule>
  </conditionalFormatting>
  <conditionalFormatting sqref="E17">
    <cfRule type="expression" dxfId="0" priority="41">
      <formula>AND(ISBLANK(D17),ISBLANK(L17),ISBLANK(Q17),ISBLANK(V17),ISBLANK(AA17),ISBLANK(AF17),ISBLANK(AK17),ISBLANK(AP17),ISBLANK(AU17))</formula>
    </cfRule>
    <cfRule type="expression" dxfId="1" priority="42">
      <formula>IF(SUM(H17,M17,R17,W17,AB17,AG17,AL17,AQ17)=0,1,0)</formula>
    </cfRule>
    <cfRule type="cellIs" dxfId="2" priority="43" operator="greaterThan">
      <formula>SUM(H17,M17,R17,W17,AB17,AG17,AL17,AQ17)</formula>
    </cfRule>
    <cfRule type="cellIs" dxfId="3" priority="44" operator="greaterThan">
      <formula>SUM(IF(ISNUMBER(J17),I17,0),IF(ISNUMBER(O17),N17,0),IF(ISNUMBER(T17),S17,0),IF(ISNUMBER(Y17),X17,0),IF(ISNUMBER(AD17),AC17,0),IF(ISNUMBER(AI17),AH17,0),IF(ISNUMBER(AN17),AM17,0),IF(ISNUMBER(AS17),AR17,0))</formula>
    </cfRule>
  </conditionalFormatting>
  <conditionalFormatting sqref="E18">
    <cfRule type="expression" dxfId="0" priority="45">
      <formula>AND(ISBLANK(D18),ISBLANK(L18),ISBLANK(Q18),ISBLANK(V18),ISBLANK(AA18),ISBLANK(AF18),ISBLANK(AK18),ISBLANK(AP18),ISBLANK(AU18))</formula>
    </cfRule>
    <cfRule type="expression" dxfId="1" priority="46">
      <formula>IF(SUM(H18,M18,R18,W18,AB18,AG18,AL18,AQ18)=0,1,0)</formula>
    </cfRule>
    <cfRule type="cellIs" dxfId="2" priority="47" operator="greaterThan">
      <formula>SUM(H18,M18,R18,W18,AB18,AG18,AL18,AQ18)</formula>
    </cfRule>
    <cfRule type="cellIs" dxfId="3" priority="48" operator="greaterThan">
      <formula>SUM(IF(ISNUMBER(J18),I18,0),IF(ISNUMBER(O18),N18,0),IF(ISNUMBER(T18),S18,0),IF(ISNUMBER(Y18),X18,0),IF(ISNUMBER(AD18),AC18,0),IF(ISNUMBER(AI18),AH18,0),IF(ISNUMBER(AN18),AM18,0),IF(ISNUMBER(AS18),AR18,0))</formula>
    </cfRule>
  </conditionalFormatting>
  <conditionalFormatting sqref="E19">
    <cfRule type="expression" dxfId="0" priority="49">
      <formula>AND(ISBLANK(D19),ISBLANK(L19),ISBLANK(Q19),ISBLANK(V19),ISBLANK(AA19),ISBLANK(AF19),ISBLANK(AK19),ISBLANK(AP19),ISBLANK(AU19))</formula>
    </cfRule>
    <cfRule type="expression" dxfId="1" priority="50">
      <formula>IF(SUM(H19,M19,R19,W19,AB19,AG19,AL19,AQ19)=0,1,0)</formula>
    </cfRule>
    <cfRule type="cellIs" dxfId="2" priority="51" operator="greaterThan">
      <formula>SUM(H19,M19,R19,W19,AB19,AG19,AL19,AQ19)</formula>
    </cfRule>
    <cfRule type="cellIs" dxfId="3" priority="52" operator="greaterThan">
      <formula>SUM(IF(ISNUMBER(J19),I19,0),IF(ISNUMBER(O19),N19,0),IF(ISNUMBER(T19),S19,0),IF(ISNUMBER(Y19),X19,0),IF(ISNUMBER(AD19),AC19,0),IF(ISNUMBER(AI19),AH19,0),IF(ISNUMBER(AN19),AM19,0),IF(ISNUMBER(AS19),AR19,0))</formula>
    </cfRule>
  </conditionalFormatting>
  <conditionalFormatting sqref="E20">
    <cfRule type="expression" dxfId="0" priority="53">
      <formula>AND(ISBLANK(D20),ISBLANK(L20),ISBLANK(Q20),ISBLANK(V20),ISBLANK(AA20),ISBLANK(AF20),ISBLANK(AK20),ISBLANK(AP20),ISBLANK(AU20))</formula>
    </cfRule>
    <cfRule type="expression" dxfId="1" priority="54">
      <formula>IF(SUM(H20,M20,R20,W20,AB20,AG20,AL20,AQ20)=0,1,0)</formula>
    </cfRule>
    <cfRule type="cellIs" dxfId="2" priority="55" operator="greaterThan">
      <formula>SUM(H20,M20,R20,W20,AB20,AG20,AL20,AQ20)</formula>
    </cfRule>
    <cfRule type="cellIs" dxfId="3" priority="56" operator="greaterThan">
      <formula>SUM(IF(ISNUMBER(J20),I20,0),IF(ISNUMBER(O20),N20,0),IF(ISNUMBER(T20),S20,0),IF(ISNUMBER(Y20),X20,0),IF(ISNUMBER(AD20),AC20,0),IF(ISNUMBER(AI20),AH20,0),IF(ISNUMBER(AN20),AM20,0),IF(ISNUMBER(AS20),AR20,0))</formula>
    </cfRule>
  </conditionalFormatting>
  <conditionalFormatting sqref="E21">
    <cfRule type="expression" dxfId="0" priority="57">
      <formula>AND(ISBLANK(D21),ISBLANK(L21),ISBLANK(Q21),ISBLANK(V21),ISBLANK(AA21),ISBLANK(AF21),ISBLANK(AK21),ISBLANK(AP21),ISBLANK(AU21))</formula>
    </cfRule>
    <cfRule type="expression" dxfId="1" priority="58">
      <formula>IF(SUM(H21,M21,R21,W21,AB21,AG21,AL21,AQ21)=0,1,0)</formula>
    </cfRule>
    <cfRule type="cellIs" dxfId="2" priority="59" operator="greaterThan">
      <formula>SUM(H21,M21,R21,W21,AB21,AG21,AL21,AQ21)</formula>
    </cfRule>
    <cfRule type="cellIs" dxfId="3" priority="60" operator="greaterThan">
      <formula>SUM(IF(ISNUMBER(J21),I21,0),IF(ISNUMBER(O21),N21,0),IF(ISNUMBER(T21),S21,0),IF(ISNUMBER(Y21),X21,0),IF(ISNUMBER(AD21),AC21,0),IF(ISNUMBER(AI21),AH21,0),IF(ISNUMBER(AN21),AM21,0),IF(ISNUMBER(AS21),AR21,0))</formula>
    </cfRule>
  </conditionalFormatting>
  <conditionalFormatting sqref="E22">
    <cfRule type="expression" dxfId="0" priority="61">
      <formula>AND(ISBLANK(D22),ISBLANK(L22),ISBLANK(Q22),ISBLANK(V22),ISBLANK(AA22),ISBLANK(AF22),ISBLANK(AK22),ISBLANK(AP22),ISBLANK(AU22))</formula>
    </cfRule>
    <cfRule type="expression" dxfId="1" priority="62">
      <formula>IF(SUM(H22,M22,R22,W22,AB22,AG22,AL22,AQ22)=0,1,0)</formula>
    </cfRule>
    <cfRule type="cellIs" dxfId="2" priority="63" operator="greaterThan">
      <formula>SUM(H22,M22,R22,W22,AB22,AG22,AL22,AQ22)</formula>
    </cfRule>
    <cfRule type="cellIs" dxfId="3" priority="64" operator="greaterThan">
      <formula>SUM(IF(ISNUMBER(J22),I22,0),IF(ISNUMBER(O22),N22,0),IF(ISNUMBER(T22),S22,0),IF(ISNUMBER(Y22),X22,0),IF(ISNUMBER(AD22),AC22,0),IF(ISNUMBER(AI22),AH22,0),IF(ISNUMBER(AN22),AM22,0),IF(ISNUMBER(AS22),AR22,0))</formula>
    </cfRule>
  </conditionalFormatting>
  <conditionalFormatting sqref="E23">
    <cfRule type="expression" dxfId="0" priority="65">
      <formula>AND(ISBLANK(D23),ISBLANK(L23),ISBLANK(Q23),ISBLANK(V23),ISBLANK(AA23),ISBLANK(AF23),ISBLANK(AK23),ISBLANK(AP23),ISBLANK(AU23))</formula>
    </cfRule>
    <cfRule type="expression" dxfId="1" priority="66">
      <formula>IF(SUM(H23,M23,R23,W23,AB23,AG23,AL23,AQ23)=0,1,0)</formula>
    </cfRule>
    <cfRule type="cellIs" dxfId="2" priority="67" operator="greaterThan">
      <formula>SUM(H23,M23,R23,W23,AB23,AG23,AL23,AQ23)</formula>
    </cfRule>
    <cfRule type="cellIs" dxfId="3" priority="68" operator="greaterThan">
      <formula>SUM(IF(ISNUMBER(J23),I23,0),IF(ISNUMBER(O23),N23,0),IF(ISNUMBER(T23),S23,0),IF(ISNUMBER(Y23),X23,0),IF(ISNUMBER(AD23),AC23,0),IF(ISNUMBER(AI23),AH23,0),IF(ISNUMBER(AN23),AM23,0),IF(ISNUMBER(AS23),AR23,0))</formula>
    </cfRule>
  </conditionalFormatting>
  <conditionalFormatting sqref="E24">
    <cfRule type="expression" dxfId="0" priority="69">
      <formula>AND(ISBLANK(D24),ISBLANK(L24),ISBLANK(Q24),ISBLANK(V24),ISBLANK(AA24),ISBLANK(AF24),ISBLANK(AK24),ISBLANK(AP24),ISBLANK(AU24))</formula>
    </cfRule>
    <cfRule type="expression" dxfId="1" priority="70">
      <formula>IF(SUM(H24,M24,R24,W24,AB24,AG24,AL24,AQ24)=0,1,0)</formula>
    </cfRule>
    <cfRule type="cellIs" dxfId="2" priority="71" operator="greaterThan">
      <formula>SUM(H24,M24,R24,W24,AB24,AG24,AL24,AQ24)</formula>
    </cfRule>
    <cfRule type="cellIs" dxfId="3" priority="72" operator="greaterThan">
      <formula>SUM(IF(ISNUMBER(J24),I24,0),IF(ISNUMBER(O24),N24,0),IF(ISNUMBER(T24),S24,0),IF(ISNUMBER(Y24),X24,0),IF(ISNUMBER(AD24),AC24,0),IF(ISNUMBER(AI24),AH24,0),IF(ISNUMBER(AN24),AM24,0),IF(ISNUMBER(AS24),AR24,0))</formula>
    </cfRule>
  </conditionalFormatting>
  <conditionalFormatting sqref="E25">
    <cfRule type="expression" dxfId="0" priority="73">
      <formula>AND(ISBLANK(D25),ISBLANK(L25),ISBLANK(Q25),ISBLANK(V25),ISBLANK(AA25),ISBLANK(AF25),ISBLANK(AK25),ISBLANK(AP25),ISBLANK(AU25))</formula>
    </cfRule>
    <cfRule type="expression" dxfId="1" priority="74">
      <formula>IF(SUM(H25,M25,R25,W25,AB25,AG25,AL25,AQ25)=0,1,0)</formula>
    </cfRule>
    <cfRule type="cellIs" dxfId="2" priority="75" operator="greaterThan">
      <formula>SUM(H25,M25,R25,W25,AB25,AG25,AL25,AQ25)</formula>
    </cfRule>
    <cfRule type="cellIs" dxfId="3" priority="76" operator="greaterThan">
      <formula>SUM(IF(ISNUMBER(J25),I25,0),IF(ISNUMBER(O25),N25,0),IF(ISNUMBER(T25),S25,0),IF(ISNUMBER(Y25),X25,0),IF(ISNUMBER(AD25),AC25,0),IF(ISNUMBER(AI25),AH25,0),IF(ISNUMBER(AN25),AM25,0),IF(ISNUMBER(AS25),AR25,0))</formula>
    </cfRule>
  </conditionalFormatting>
  <conditionalFormatting sqref="E26">
    <cfRule type="expression" dxfId="0" priority="77">
      <formula>AND(ISBLANK(D26),ISBLANK(L26),ISBLANK(Q26),ISBLANK(V26),ISBLANK(AA26),ISBLANK(AF26),ISBLANK(AK26),ISBLANK(AP26),ISBLANK(AU26))</formula>
    </cfRule>
    <cfRule type="expression" dxfId="1" priority="78">
      <formula>IF(SUM(H26,M26,R26,W26,AB26,AG26,AL26,AQ26)=0,1,0)</formula>
    </cfRule>
    <cfRule type="cellIs" dxfId="2" priority="79" operator="greaterThan">
      <formula>SUM(H26,M26,R26,W26,AB26,AG26,AL26,AQ26)</formula>
    </cfRule>
    <cfRule type="cellIs" dxfId="3" priority="80" operator="greaterThan">
      <formula>SUM(IF(ISNUMBER(J26),I26,0),IF(ISNUMBER(O26),N26,0),IF(ISNUMBER(T26),S26,0),IF(ISNUMBER(Y26),X26,0),IF(ISNUMBER(AD26),AC26,0),IF(ISNUMBER(AI26),AH26,0),IF(ISNUMBER(AN26),AM26,0),IF(ISNUMBER(AS26),AR26,0))</formula>
    </cfRule>
  </conditionalFormatting>
  <conditionalFormatting sqref="E27">
    <cfRule type="expression" dxfId="0" priority="81">
      <formula>AND(ISBLANK(D27),ISBLANK(L27),ISBLANK(Q27),ISBLANK(V27),ISBLANK(AA27),ISBLANK(AF27),ISBLANK(AK27),ISBLANK(AP27),ISBLANK(AU27))</formula>
    </cfRule>
    <cfRule type="expression" dxfId="1" priority="82">
      <formula>IF(SUM(H27,M27,R27,W27,AB27,AG27,AL27,AQ27)=0,1,0)</formula>
    </cfRule>
    <cfRule type="cellIs" dxfId="2" priority="83" operator="greaterThan">
      <formula>SUM(H27,M27,R27,W27,AB27,AG27,AL27,AQ27)</formula>
    </cfRule>
    <cfRule type="cellIs" dxfId="3" priority="84" operator="greaterThan">
      <formula>SUM(IF(ISNUMBER(J27),I27,0),IF(ISNUMBER(O27),N27,0),IF(ISNUMBER(T27),S27,0),IF(ISNUMBER(Y27),X27,0),IF(ISNUMBER(AD27),AC27,0),IF(ISNUMBER(AI27),AH27,0),IF(ISNUMBER(AN27),AM27,0),IF(ISNUMBER(AS27),AR27,0))</formula>
    </cfRule>
  </conditionalFormatting>
  <conditionalFormatting sqref="E28">
    <cfRule type="expression" dxfId="0" priority="85">
      <formula>AND(ISBLANK(D28),ISBLANK(L28),ISBLANK(Q28),ISBLANK(V28),ISBLANK(AA28),ISBLANK(AF28),ISBLANK(AK28),ISBLANK(AP28),ISBLANK(AU28))</formula>
    </cfRule>
    <cfRule type="expression" dxfId="1" priority="86">
      <formula>IF(SUM(H28,M28,R28,W28,AB28,AG28,AL28,AQ28)=0,1,0)</formula>
    </cfRule>
    <cfRule type="cellIs" dxfId="2" priority="87" operator="greaterThan">
      <formula>SUM(H28,M28,R28,W28,AB28,AG28,AL28,AQ28)</formula>
    </cfRule>
    <cfRule type="cellIs" dxfId="3" priority="88" operator="greaterThan">
      <formula>SUM(IF(ISNUMBER(J28),I28,0),IF(ISNUMBER(O28),N28,0),IF(ISNUMBER(T28),S28,0),IF(ISNUMBER(Y28),X28,0),IF(ISNUMBER(AD28),AC28,0),IF(ISNUMBER(AI28),AH28,0),IF(ISNUMBER(AN28),AM28,0),IF(ISNUMBER(AS28),AR28,0))</formula>
    </cfRule>
  </conditionalFormatting>
  <conditionalFormatting sqref="E29">
    <cfRule type="expression" dxfId="0" priority="89">
      <formula>AND(ISBLANK(D29),ISBLANK(L29),ISBLANK(Q29),ISBLANK(V29),ISBLANK(AA29),ISBLANK(AF29),ISBLANK(AK29),ISBLANK(AP29),ISBLANK(AU29))</formula>
    </cfRule>
    <cfRule type="expression" dxfId="1" priority="90">
      <formula>IF(SUM(H29,M29,R29,W29,AB29,AG29,AL29,AQ29)=0,1,0)</formula>
    </cfRule>
    <cfRule type="cellIs" dxfId="2" priority="91" operator="greaterThan">
      <formula>SUM(H29,M29,R29,W29,AB29,AG29,AL29,AQ29)</formula>
    </cfRule>
    <cfRule type="cellIs" dxfId="3" priority="92" operator="greaterThan">
      <formula>SUM(IF(ISNUMBER(J29),I29,0),IF(ISNUMBER(O29),N29,0),IF(ISNUMBER(T29),S29,0),IF(ISNUMBER(Y29),X29,0),IF(ISNUMBER(AD29),AC29,0),IF(ISNUMBER(AI29),AH29,0),IF(ISNUMBER(AN29),AM29,0),IF(ISNUMBER(AS29),AR29,0))</formula>
    </cfRule>
  </conditionalFormatting>
  <conditionalFormatting sqref="E30">
    <cfRule type="expression" dxfId="0" priority="93">
      <formula>AND(ISBLANK(D30),ISBLANK(L30),ISBLANK(Q30),ISBLANK(V30),ISBLANK(AA30),ISBLANK(AF30),ISBLANK(AK30),ISBLANK(AP30),ISBLANK(AU30))</formula>
    </cfRule>
    <cfRule type="expression" dxfId="1" priority="94">
      <formula>IF(SUM(H30,M30,R30,W30,AB30,AG30,AL30,AQ30)=0,1,0)</formula>
    </cfRule>
    <cfRule type="cellIs" dxfId="2" priority="95" operator="greaterThan">
      <formula>SUM(H30,M30,R30,W30,AB30,AG30,AL30,AQ30)</formula>
    </cfRule>
    <cfRule type="cellIs" dxfId="3" priority="96" operator="greaterThan">
      <formula>SUM(IF(ISNUMBER(J30),I30,0),IF(ISNUMBER(O30),N30,0),IF(ISNUMBER(T30),S30,0),IF(ISNUMBER(Y30),X30,0),IF(ISNUMBER(AD30),AC30,0),IF(ISNUMBER(AI30),AH30,0),IF(ISNUMBER(AN30),AM30,0),IF(ISNUMBER(AS30),AR30,0))</formula>
    </cfRule>
  </conditionalFormatting>
  <conditionalFormatting sqref="E31">
    <cfRule type="expression" dxfId="0" priority="97">
      <formula>AND(ISBLANK(D31),ISBLANK(L31),ISBLANK(Q31),ISBLANK(V31),ISBLANK(AA31),ISBLANK(AF31),ISBLANK(AK31),ISBLANK(AP31),ISBLANK(AU31))</formula>
    </cfRule>
    <cfRule type="expression" dxfId="1" priority="98">
      <formula>IF(SUM(H31,M31,R31,W31,AB31,AG31,AL31,AQ31)=0,1,0)</formula>
    </cfRule>
    <cfRule type="cellIs" dxfId="2" priority="99" operator="greaterThan">
      <formula>SUM(H31,M31,R31,W31,AB31,AG31,AL31,AQ31)</formula>
    </cfRule>
    <cfRule type="cellIs" dxfId="3" priority="100" operator="greaterThan">
      <formula>SUM(IF(ISNUMBER(J31),I31,0),IF(ISNUMBER(O31),N31,0),IF(ISNUMBER(T31),S31,0),IF(ISNUMBER(Y31),X31,0),IF(ISNUMBER(AD31),AC31,0),IF(ISNUMBER(AI31),AH31,0),IF(ISNUMBER(AN31),AM31,0),IF(ISNUMBER(AS31),AR31,0))</formula>
    </cfRule>
  </conditionalFormatting>
  <conditionalFormatting sqref="E32">
    <cfRule type="expression" dxfId="0" priority="101">
      <formula>AND(ISBLANK(D32),ISBLANK(L32),ISBLANK(Q32),ISBLANK(V32),ISBLANK(AA32),ISBLANK(AF32),ISBLANK(AK32),ISBLANK(AP32),ISBLANK(AU32))</formula>
    </cfRule>
    <cfRule type="expression" dxfId="1" priority="102">
      <formula>IF(SUM(H32,M32,R32,W32,AB32,AG32,AL32,AQ32)=0,1,0)</formula>
    </cfRule>
    <cfRule type="cellIs" dxfId="2" priority="103" operator="greaterThan">
      <formula>SUM(H32,M32,R32,W32,AB32,AG32,AL32,AQ32)</formula>
    </cfRule>
    <cfRule type="cellIs" dxfId="3" priority="104" operator="greaterThan">
      <formula>SUM(IF(ISNUMBER(J32),I32,0),IF(ISNUMBER(O32),N32,0),IF(ISNUMBER(T32),S32,0),IF(ISNUMBER(Y32),X32,0),IF(ISNUMBER(AD32),AC32,0),IF(ISNUMBER(AI32),AH32,0),IF(ISNUMBER(AN32),AM32,0),IF(ISNUMBER(AS32),AR32,0))</formula>
    </cfRule>
  </conditionalFormatting>
  <conditionalFormatting sqref="E33">
    <cfRule type="expression" dxfId="0" priority="105">
      <formula>AND(ISBLANK(D33),ISBLANK(L33),ISBLANK(Q33),ISBLANK(V33),ISBLANK(AA33),ISBLANK(AF33),ISBLANK(AK33),ISBLANK(AP33),ISBLANK(AU33))</formula>
    </cfRule>
    <cfRule type="expression" dxfId="1" priority="106">
      <formula>IF(SUM(H33,M33,R33,W33,AB33,AG33,AL33,AQ33)=0,1,0)</formula>
    </cfRule>
    <cfRule type="cellIs" dxfId="2" priority="107" operator="greaterThan">
      <formula>SUM(H33,M33,R33,W33,AB33,AG33,AL33,AQ33)</formula>
    </cfRule>
    <cfRule type="cellIs" dxfId="3" priority="108" operator="greaterThan">
      <formula>SUM(IF(ISNUMBER(J33),I33,0),IF(ISNUMBER(O33),N33,0),IF(ISNUMBER(T33),S33,0),IF(ISNUMBER(Y33),X33,0),IF(ISNUMBER(AD33),AC33,0),IF(ISNUMBER(AI33),AH33,0),IF(ISNUMBER(AN33),AM33,0),IF(ISNUMBER(AS33),AR33,0))</formula>
    </cfRule>
  </conditionalFormatting>
  <conditionalFormatting sqref="E34">
    <cfRule type="expression" dxfId="0" priority="109">
      <formula>AND(ISBLANK(D34),ISBLANK(L34),ISBLANK(Q34),ISBLANK(V34),ISBLANK(AA34),ISBLANK(AF34),ISBLANK(AK34),ISBLANK(AP34),ISBLANK(AU34))</formula>
    </cfRule>
    <cfRule type="expression" dxfId="1" priority="110">
      <formula>IF(SUM(H34,M34,R34,W34,AB34,AG34,AL34,AQ34)=0,1,0)</formula>
    </cfRule>
    <cfRule type="cellIs" dxfId="2" priority="111" operator="greaterThan">
      <formula>SUM(H34,M34,R34,W34,AB34,AG34,AL34,AQ34)</formula>
    </cfRule>
    <cfRule type="cellIs" dxfId="3" priority="112" operator="greaterThan">
      <formula>SUM(IF(ISNUMBER(J34),I34,0),IF(ISNUMBER(O34),N34,0),IF(ISNUMBER(T34),S34,0),IF(ISNUMBER(Y34),X34,0),IF(ISNUMBER(AD34),AC34,0),IF(ISNUMBER(AI34),AH34,0),IF(ISNUMBER(AN34),AM34,0),IF(ISNUMBER(AS34),AR34,0))</formula>
    </cfRule>
  </conditionalFormatting>
  <conditionalFormatting sqref="E35">
    <cfRule type="expression" dxfId="0" priority="113">
      <formula>AND(ISBLANK(D35),ISBLANK(L35),ISBLANK(Q35),ISBLANK(V35),ISBLANK(AA35),ISBLANK(AF35),ISBLANK(AK35),ISBLANK(AP35),ISBLANK(AU35))</formula>
    </cfRule>
    <cfRule type="expression" dxfId="1" priority="114">
      <formula>IF(SUM(H35,M35,R35,W35,AB35,AG35,AL35,AQ35)=0,1,0)</formula>
    </cfRule>
    <cfRule type="cellIs" dxfId="2" priority="115" operator="greaterThan">
      <formula>SUM(H35,M35,R35,W35,AB35,AG35,AL35,AQ35)</formula>
    </cfRule>
    <cfRule type="cellIs" dxfId="3" priority="116" operator="greaterThan">
      <formula>SUM(IF(ISNUMBER(J35),I35,0),IF(ISNUMBER(O35),N35,0),IF(ISNUMBER(T35),S35,0),IF(ISNUMBER(Y35),X35,0),IF(ISNUMBER(AD35),AC35,0),IF(ISNUMBER(AI35),AH35,0),IF(ISNUMBER(AN35),AM35,0),IF(ISNUMBER(AS35),AR35,0))</formula>
    </cfRule>
  </conditionalFormatting>
  <conditionalFormatting sqref="E36">
    <cfRule type="expression" dxfId="0" priority="117">
      <formula>AND(ISBLANK(D36),ISBLANK(L36),ISBLANK(Q36),ISBLANK(V36),ISBLANK(AA36),ISBLANK(AF36),ISBLANK(AK36),ISBLANK(AP36),ISBLANK(AU36))</formula>
    </cfRule>
    <cfRule type="expression" dxfId="1" priority="118">
      <formula>IF(SUM(H36,M36,R36,W36,AB36,AG36,AL36,AQ36)=0,1,0)</formula>
    </cfRule>
    <cfRule type="cellIs" dxfId="2" priority="119" operator="greaterThan">
      <formula>SUM(H36,M36,R36,W36,AB36,AG36,AL36,AQ36)</formula>
    </cfRule>
    <cfRule type="cellIs" dxfId="3" priority="120" operator="greaterThan">
      <formula>SUM(IF(ISNUMBER(J36),I36,0),IF(ISNUMBER(O36),N36,0),IF(ISNUMBER(T36),S36,0),IF(ISNUMBER(Y36),X36,0),IF(ISNUMBER(AD36),AC36,0),IF(ISNUMBER(AI36),AH36,0),IF(ISNUMBER(AN36),AM36,0),IF(ISNUMBER(AS36),AR36,0))</formula>
    </cfRule>
  </conditionalFormatting>
  <conditionalFormatting sqref="E37">
    <cfRule type="expression" dxfId="0" priority="121">
      <formula>AND(ISBLANK(D37),ISBLANK(L37),ISBLANK(Q37),ISBLANK(V37),ISBLANK(AA37),ISBLANK(AF37),ISBLANK(AK37),ISBLANK(AP37),ISBLANK(AU37))</formula>
    </cfRule>
    <cfRule type="expression" dxfId="1" priority="122">
      <formula>IF(SUM(H37,M37,R37,W37,AB37,AG37,AL37,AQ37)=0,1,0)</formula>
    </cfRule>
    <cfRule type="cellIs" dxfId="2" priority="123" operator="greaterThan">
      <formula>SUM(H37,M37,R37,W37,AB37,AG37,AL37,AQ37)</formula>
    </cfRule>
    <cfRule type="cellIs" dxfId="3" priority="124" operator="greaterThan">
      <formula>SUM(IF(ISNUMBER(J37),I37,0),IF(ISNUMBER(O37),N37,0),IF(ISNUMBER(T37),S37,0),IF(ISNUMBER(Y37),X37,0),IF(ISNUMBER(AD37),AC37,0),IF(ISNUMBER(AI37),AH37,0),IF(ISNUMBER(AN37),AM37,0),IF(ISNUMBER(AS37),AR37,0))</formula>
    </cfRule>
  </conditionalFormatting>
  <conditionalFormatting sqref="E38">
    <cfRule type="expression" dxfId="0" priority="125">
      <formula>AND(ISBLANK(D38),ISBLANK(L38),ISBLANK(Q38),ISBLANK(V38),ISBLANK(AA38),ISBLANK(AF38),ISBLANK(AK38),ISBLANK(AP38),ISBLANK(AU38))</formula>
    </cfRule>
    <cfRule type="expression" dxfId="1" priority="126">
      <formula>IF(SUM(H38,M38,R38,W38,AB38,AG38,AL38,AQ38)=0,1,0)</formula>
    </cfRule>
    <cfRule type="cellIs" dxfId="2" priority="127" operator="greaterThan">
      <formula>SUM(H38,M38,R38,W38,AB38,AG38,AL38,AQ38)</formula>
    </cfRule>
    <cfRule type="cellIs" dxfId="3" priority="128" operator="greaterThan">
      <formula>SUM(IF(ISNUMBER(J38),I38,0),IF(ISNUMBER(O38),N38,0),IF(ISNUMBER(T38),S38,0),IF(ISNUMBER(Y38),X38,0),IF(ISNUMBER(AD38),AC38,0),IF(ISNUMBER(AI38),AH38,0),IF(ISNUMBER(AN38),AM38,0),IF(ISNUMBER(AS38),AR38,0))</formula>
    </cfRule>
  </conditionalFormatting>
  <conditionalFormatting sqref="E39">
    <cfRule type="expression" dxfId="0" priority="129">
      <formula>AND(ISBLANK(D39),ISBLANK(L39),ISBLANK(Q39),ISBLANK(V39),ISBLANK(AA39),ISBLANK(AF39),ISBLANK(AK39),ISBLANK(AP39),ISBLANK(AU39))</formula>
    </cfRule>
    <cfRule type="expression" dxfId="1" priority="130">
      <formula>IF(SUM(H39,M39,R39,W39,AB39,AG39,AL39,AQ39)=0,1,0)</formula>
    </cfRule>
    <cfRule type="cellIs" dxfId="2" priority="131" operator="greaterThan">
      <formula>SUM(H39,M39,R39,W39,AB39,AG39,AL39,AQ39)</formula>
    </cfRule>
    <cfRule type="cellIs" dxfId="3" priority="132" operator="greaterThan">
      <formula>SUM(IF(ISNUMBER(J39),I39,0),IF(ISNUMBER(O39),N39,0),IF(ISNUMBER(T39),S39,0),IF(ISNUMBER(Y39),X39,0),IF(ISNUMBER(AD39),AC39,0),IF(ISNUMBER(AI39),AH39,0),IF(ISNUMBER(AN39),AM39,0),IF(ISNUMBER(AS39),AR39,0))</formula>
    </cfRule>
  </conditionalFormatting>
  <conditionalFormatting sqref="E40">
    <cfRule type="expression" dxfId="0" priority="133">
      <formula>AND(ISBLANK(D40),ISBLANK(L40),ISBLANK(Q40),ISBLANK(V40),ISBLANK(AA40),ISBLANK(AF40),ISBLANK(AK40),ISBLANK(AP40),ISBLANK(AU40))</formula>
    </cfRule>
    <cfRule type="expression" dxfId="1" priority="134">
      <formula>IF(SUM(H40,M40,R40,W40,AB40,AG40,AL40,AQ40)=0,1,0)</formula>
    </cfRule>
    <cfRule type="cellIs" dxfId="2" priority="135" operator="greaterThan">
      <formula>SUM(H40,M40,R40,W40,AB40,AG40,AL40,AQ40)</formula>
    </cfRule>
    <cfRule type="cellIs" dxfId="3" priority="136" operator="greaterThan">
      <formula>SUM(IF(ISNUMBER(J40),I40,0),IF(ISNUMBER(O40),N40,0),IF(ISNUMBER(T40),S40,0),IF(ISNUMBER(Y40),X40,0),IF(ISNUMBER(AD40),AC40,0),IF(ISNUMBER(AI40),AH40,0),IF(ISNUMBER(AN40),AM40,0),IF(ISNUMBER(AS40),AR40,0))</formula>
    </cfRule>
  </conditionalFormatting>
  <conditionalFormatting sqref="E41">
    <cfRule type="expression" dxfId="0" priority="137">
      <formula>AND(ISBLANK(D41),ISBLANK(L41),ISBLANK(Q41),ISBLANK(V41),ISBLANK(AA41),ISBLANK(AF41),ISBLANK(AK41),ISBLANK(AP41),ISBLANK(AU41))</formula>
    </cfRule>
    <cfRule type="expression" dxfId="1" priority="138">
      <formula>IF(SUM(H41,M41,R41,W41,AB41,AG41,AL41,AQ41)=0,1,0)</formula>
    </cfRule>
    <cfRule type="cellIs" dxfId="2" priority="139" operator="greaterThan">
      <formula>SUM(H41,M41,R41,W41,AB41,AG41,AL41,AQ41)</formula>
    </cfRule>
    <cfRule type="cellIs" dxfId="3" priority="140" operator="greaterThan">
      <formula>SUM(IF(ISNUMBER(J41),I41,0),IF(ISNUMBER(O41),N41,0),IF(ISNUMBER(T41),S41,0),IF(ISNUMBER(Y41),X41,0),IF(ISNUMBER(AD41),AC41,0),IF(ISNUMBER(AI41),AH41,0),IF(ISNUMBER(AN41),AM41,0),IF(ISNUMBER(AS41),AR41,0))</formula>
    </cfRule>
  </conditionalFormatting>
  <conditionalFormatting sqref="E42">
    <cfRule type="expression" dxfId="0" priority="141">
      <formula>AND(ISBLANK(D42),ISBLANK(L42),ISBLANK(Q42),ISBLANK(V42),ISBLANK(AA42),ISBLANK(AF42),ISBLANK(AK42),ISBLANK(AP42),ISBLANK(AU42))</formula>
    </cfRule>
    <cfRule type="expression" dxfId="1" priority="142">
      <formula>IF(SUM(H42,M42,R42,W42,AB42,AG42,AL42,AQ42)=0,1,0)</formula>
    </cfRule>
    <cfRule type="cellIs" dxfId="2" priority="143" operator="greaterThan">
      <formula>SUM(H42,M42,R42,W42,AB42,AG42,AL42,AQ42)</formula>
    </cfRule>
    <cfRule type="cellIs" dxfId="3" priority="144" operator="greaterThan">
      <formula>SUM(IF(ISNUMBER(J42),I42,0),IF(ISNUMBER(O42),N42,0),IF(ISNUMBER(T42),S42,0),IF(ISNUMBER(Y42),X42,0),IF(ISNUMBER(AD42),AC42,0),IF(ISNUMBER(AI42),AH42,0),IF(ISNUMBER(AN42),AM42,0),IF(ISNUMBER(AS42),AR42,0))</formula>
    </cfRule>
  </conditionalFormatting>
  <conditionalFormatting sqref="E43">
    <cfRule type="expression" dxfId="0" priority="145">
      <formula>AND(ISBLANK(D43),ISBLANK(L43),ISBLANK(Q43),ISBLANK(V43),ISBLANK(AA43),ISBLANK(AF43),ISBLANK(AK43),ISBLANK(AP43),ISBLANK(AU43))</formula>
    </cfRule>
    <cfRule type="expression" dxfId="1" priority="146">
      <formula>IF(SUM(H43,M43,R43,W43,AB43,AG43,AL43,AQ43)=0,1,0)</formula>
    </cfRule>
    <cfRule type="cellIs" dxfId="2" priority="147" operator="greaterThan">
      <formula>SUM(H43,M43,R43,W43,AB43,AG43,AL43,AQ43)</formula>
    </cfRule>
    <cfRule type="cellIs" dxfId="3" priority="148" operator="greaterThan">
      <formula>SUM(IF(ISNUMBER(J43),I43,0),IF(ISNUMBER(O43),N43,0),IF(ISNUMBER(T43),S43,0),IF(ISNUMBER(Y43),X43,0),IF(ISNUMBER(AD43),AC43,0),IF(ISNUMBER(AI43),AH43,0),IF(ISNUMBER(AN43),AM43,0),IF(ISNUMBER(AS43),AR43,0))</formula>
    </cfRule>
  </conditionalFormatting>
  <conditionalFormatting sqref="E7">
    <cfRule type="expression" dxfId="0" priority="1">
      <formula>AND(ISBLANK(D7),ISBLANK(L7),ISBLANK(Q7),ISBLANK(V7),ISBLANK(AA7),ISBLANK(AF7),ISBLANK(AK7),ISBLANK(AP7),ISBLANK(AU7))</formula>
    </cfRule>
    <cfRule type="expression" dxfId="1" priority="2">
      <formula>IF(SUM(H7,M7,R7,W7,AB7,AG7,AL7,AQ7)=0,1,0)</formula>
    </cfRule>
    <cfRule type="cellIs" dxfId="2" priority="3" operator="greaterThan">
      <formula>SUM(H7,M7,R7,W7,AB7,AG7,AL7,AQ7)</formula>
    </cfRule>
    <cfRule type="cellIs" dxfId="3" priority="4" operator="greaterThan">
      <formula>SUM(IF(ISNUMBER(J7),I7,0),IF(ISNUMBER(O7),N7,0),IF(ISNUMBER(T7),S7,0),IF(ISNUMBER(Y7),X7,0),IF(ISNUMBER(AD7),AC7,0),IF(ISNUMBER(AI7),AH7,0),IF(ISNUMBER(AN7),AM7,0),IF(ISNUMBER(AS7),AR7,0))</formula>
    </cfRule>
  </conditionalFormatting>
  <conditionalFormatting sqref="E8">
    <cfRule type="expression" dxfId="0" priority="5">
      <formula>AND(ISBLANK(D8),ISBLANK(L8),ISBLANK(Q8),ISBLANK(V8),ISBLANK(AA8),ISBLANK(AF8),ISBLANK(AK8),ISBLANK(AP8),ISBLANK(AU8))</formula>
    </cfRule>
    <cfRule type="expression" dxfId="1" priority="6">
      <formula>IF(SUM(H8,M8,R8,W8,AB8,AG8,AL8,AQ8)=0,1,0)</formula>
    </cfRule>
    <cfRule type="cellIs" dxfId="2" priority="7" operator="greaterThan">
      <formula>SUM(H8,M8,R8,W8,AB8,AG8,AL8,AQ8)</formula>
    </cfRule>
    <cfRule type="cellIs" dxfId="3" priority="8" operator="greaterThan">
      <formula>SUM(IF(ISNUMBER(J8),I8,0),IF(ISNUMBER(O8),N8,0),IF(ISNUMBER(T8),S8,0),IF(ISNUMBER(Y8),X8,0),IF(ISNUMBER(AD8),AC8,0),IF(ISNUMBER(AI8),AH8,0),IF(ISNUMBER(AN8),AM8,0),IF(ISNUMBER(AS8),AR8,0))</formula>
    </cfRule>
  </conditionalFormatting>
  <conditionalFormatting sqref="E9">
    <cfRule type="expression" dxfId="0" priority="9">
      <formula>AND(ISBLANK(D9),ISBLANK(L9),ISBLANK(Q9),ISBLANK(V9),ISBLANK(AA9),ISBLANK(AF9),ISBLANK(AK9),ISBLANK(AP9),ISBLANK(AU9))</formula>
    </cfRule>
    <cfRule type="expression" dxfId="1" priority="10">
      <formula>IF(SUM(H9,M9,R9,W9,AB9,AG9,AL9,AQ9)=0,1,0)</formula>
    </cfRule>
    <cfRule type="cellIs" dxfId="2" priority="11" operator="greaterThan">
      <formula>SUM(H9,M9,R9,W9,AB9,AG9,AL9,AQ9)</formula>
    </cfRule>
    <cfRule type="cellIs" dxfId="3" priority="12" operator="greaterThan">
      <formula>SUM(IF(ISNUMBER(J9),I9,0),IF(ISNUMBER(O9),N9,0),IF(ISNUMBER(T9),S9,0),IF(ISNUMBER(Y9),X9,0),IF(ISNUMBER(AD9),AC9,0),IF(ISNUMBER(AI9),AH9,0),IF(ISNUMBER(AN9),AM9,0),IF(ISNUMBER(AS9),AR9,0))</formula>
    </cfRule>
  </conditionalFormatting>
  <conditionalFormatting sqref="H10">
    <cfRule type="cellIs" dxfId="1" priority="154" operator="equal">
      <formula>0</formula>
    </cfRule>
    <cfRule type="cellIs" dxfId="2" priority="155" operator="lessThan">
      <formula>E10</formula>
    </cfRule>
  </conditionalFormatting>
  <conditionalFormatting sqref="H11">
    <cfRule type="cellIs" dxfId="1" priority="159" operator="equal">
      <formula>0</formula>
    </cfRule>
    <cfRule type="cellIs" dxfId="2" priority="160" operator="lessThan">
      <formula>E11</formula>
    </cfRule>
  </conditionalFormatting>
  <conditionalFormatting sqref="H15">
    <cfRule type="cellIs" dxfId="1" priority="164" operator="equal">
      <formula>0</formula>
    </cfRule>
    <cfRule type="cellIs" dxfId="2" priority="165" operator="lessThan">
      <formula>E15</formula>
    </cfRule>
  </conditionalFormatting>
  <conditionalFormatting sqref="H21">
    <cfRule type="cellIs" dxfId="1" priority="169" operator="equal">
      <formula>0</formula>
    </cfRule>
    <cfRule type="cellIs" dxfId="2" priority="170" operator="lessThan">
      <formula>E21</formula>
    </cfRule>
  </conditionalFormatting>
  <conditionalFormatting sqref="H22">
    <cfRule type="cellIs" dxfId="1" priority="175" operator="equal">
      <formula>0</formula>
    </cfRule>
    <cfRule type="cellIs" dxfId="2" priority="176" operator="lessThan">
      <formula>E22</formula>
    </cfRule>
  </conditionalFormatting>
  <conditionalFormatting sqref="H23">
    <cfRule type="cellIs" dxfId="1" priority="180" operator="equal">
      <formula>0</formula>
    </cfRule>
    <cfRule type="cellIs" dxfId="2" priority="181" operator="lessThan">
      <formula>E23</formula>
    </cfRule>
  </conditionalFormatting>
  <conditionalFormatting sqref="H31">
    <cfRule type="cellIs" dxfId="1" priority="185" operator="equal">
      <formula>0</formula>
    </cfRule>
    <cfRule type="cellIs" dxfId="2" priority="186" operator="lessThan">
      <formula>E31</formula>
    </cfRule>
  </conditionalFormatting>
  <conditionalFormatting sqref="H33">
    <cfRule type="cellIs" dxfId="1" priority="190" operator="equal">
      <formula>0</formula>
    </cfRule>
    <cfRule type="cellIs" dxfId="2" priority="191" operator="lessThan">
      <formula>E33</formula>
    </cfRule>
  </conditionalFormatting>
  <conditionalFormatting sqref="H34">
    <cfRule type="cellIs" dxfId="1" priority="195" operator="equal">
      <formula>0</formula>
    </cfRule>
    <cfRule type="cellIs" dxfId="2" priority="196" operator="lessThan">
      <formula>E34</formula>
    </cfRule>
  </conditionalFormatting>
  <conditionalFormatting sqref="H35">
    <cfRule type="cellIs" dxfId="1" priority="200" operator="equal">
      <formula>0</formula>
    </cfRule>
    <cfRule type="cellIs" dxfId="2" priority="201" operator="lessThan">
      <formula>E35</formula>
    </cfRule>
  </conditionalFormatting>
  <conditionalFormatting sqref="H36">
    <cfRule type="cellIs" dxfId="1" priority="205" operator="equal">
      <formula>0</formula>
    </cfRule>
    <cfRule type="cellIs" dxfId="2" priority="206" operator="lessThan">
      <formula>E36</formula>
    </cfRule>
  </conditionalFormatting>
  <conditionalFormatting sqref="H39">
    <cfRule type="cellIs" dxfId="1" priority="210" operator="equal">
      <formula>0</formula>
    </cfRule>
    <cfRule type="cellIs" dxfId="2" priority="211" operator="lessThan">
      <formula>E39</formula>
    </cfRule>
  </conditionalFormatting>
  <conditionalFormatting sqref="H40">
    <cfRule type="cellIs" dxfId="1" priority="215" operator="equal">
      <formula>0</formula>
    </cfRule>
    <cfRule type="cellIs" dxfId="2" priority="216" operator="lessThan">
      <formula>E40</formula>
    </cfRule>
  </conditionalFormatting>
  <conditionalFormatting sqref="H9">
    <cfRule type="cellIs" dxfId="1" priority="149" operator="equal">
      <formula>0</formula>
    </cfRule>
    <cfRule type="cellIs" dxfId="2" priority="150" operator="lessThan">
      <formula>E9</formula>
    </cfRule>
  </conditionalFormatting>
  <conditionalFormatting sqref="I10">
    <cfRule type="cellIs" dxfId="1" priority="156" operator="greaterThan">
      <formula>H10</formula>
    </cfRule>
  </conditionalFormatting>
  <conditionalFormatting sqref="I11">
    <cfRule type="cellIs" dxfId="1" priority="161" operator="greaterThan">
      <formula>H11</formula>
    </cfRule>
  </conditionalFormatting>
  <conditionalFormatting sqref="I15">
    <cfRule type="cellIs" dxfId="1" priority="166" operator="greaterThan">
      <formula>H15</formula>
    </cfRule>
  </conditionalFormatting>
  <conditionalFormatting sqref="I21">
    <cfRule type="expression" dxfId="3" priority="171">
      <formula>AND(I21&gt;0,I21&lt;3000)</formula>
    </cfRule>
    <cfRule type="cellIs" dxfId="1" priority="172" operator="greaterThan">
      <formula>H21</formula>
    </cfRule>
  </conditionalFormatting>
  <conditionalFormatting sqref="I22">
    <cfRule type="cellIs" dxfId="1" priority="177" operator="greaterThan">
      <formula>H22</formula>
    </cfRule>
  </conditionalFormatting>
  <conditionalFormatting sqref="I23">
    <cfRule type="cellIs" dxfId="1" priority="182" operator="greaterThan">
      <formula>H23</formula>
    </cfRule>
  </conditionalFormatting>
  <conditionalFormatting sqref="I31">
    <cfRule type="cellIs" dxfId="1" priority="187" operator="greaterThan">
      <formula>H31</formula>
    </cfRule>
  </conditionalFormatting>
  <conditionalFormatting sqref="I33">
    <cfRule type="cellIs" dxfId="1" priority="192" operator="greaterThan">
      <formula>H33</formula>
    </cfRule>
  </conditionalFormatting>
  <conditionalFormatting sqref="I34">
    <cfRule type="cellIs" dxfId="1" priority="197" operator="greaterThan">
      <formula>H34</formula>
    </cfRule>
  </conditionalFormatting>
  <conditionalFormatting sqref="I35">
    <cfRule type="cellIs" dxfId="1" priority="202" operator="greaterThan">
      <formula>H35</formula>
    </cfRule>
  </conditionalFormatting>
  <conditionalFormatting sqref="I36">
    <cfRule type="cellIs" dxfId="1" priority="207" operator="greaterThan">
      <formula>H36</formula>
    </cfRule>
  </conditionalFormatting>
  <conditionalFormatting sqref="I39">
    <cfRule type="cellIs" dxfId="1" priority="212" operator="greaterThan">
      <formula>H39</formula>
    </cfRule>
  </conditionalFormatting>
  <conditionalFormatting sqref="I40">
    <cfRule type="cellIs" dxfId="1" priority="217" operator="greaterThan">
      <formula>H40</formula>
    </cfRule>
  </conditionalFormatting>
  <conditionalFormatting sqref="I9">
    <cfRule type="cellIs" dxfId="1" priority="151" operator="greaterThan">
      <formula>H9</formula>
    </cfRule>
  </conditionalFormatting>
  <conditionalFormatting sqref="J10">
    <cfRule type="cellIs" dxfId="4" priority="158" operator="lessThanOrEqual">
      <formula>F10</formula>
    </cfRule>
  </conditionalFormatting>
  <conditionalFormatting sqref="J11">
    <cfRule type="cellIs" dxfId="4" priority="163" operator="lessThanOrEqual">
      <formula>F11</formula>
    </cfRule>
  </conditionalFormatting>
  <conditionalFormatting sqref="J15">
    <cfRule type="cellIs" dxfId="4" priority="168" operator="lessThanOrEqual">
      <formula>F15</formula>
    </cfRule>
  </conditionalFormatting>
  <conditionalFormatting sqref="J21">
    <cfRule type="cellIs" dxfId="4" priority="174" operator="lessThanOrEqual">
      <formula>F21</formula>
    </cfRule>
  </conditionalFormatting>
  <conditionalFormatting sqref="J22">
    <cfRule type="cellIs" dxfId="4" priority="179" operator="lessThanOrEqual">
      <formula>F22</formula>
    </cfRule>
  </conditionalFormatting>
  <conditionalFormatting sqref="J23">
    <cfRule type="cellIs" dxfId="4" priority="184" operator="lessThanOrEqual">
      <formula>F23</formula>
    </cfRule>
  </conditionalFormatting>
  <conditionalFormatting sqref="J31">
    <cfRule type="cellIs" dxfId="4" priority="189" operator="lessThanOrEqual">
      <formula>F31</formula>
    </cfRule>
  </conditionalFormatting>
  <conditionalFormatting sqref="J33">
    <cfRule type="cellIs" dxfId="4" priority="194" operator="lessThanOrEqual">
      <formula>F33</formula>
    </cfRule>
  </conditionalFormatting>
  <conditionalFormatting sqref="J34">
    <cfRule type="cellIs" dxfId="4" priority="199" operator="lessThanOrEqual">
      <formula>F34</formula>
    </cfRule>
  </conditionalFormatting>
  <conditionalFormatting sqref="J35">
    <cfRule type="cellIs" dxfId="4" priority="204" operator="lessThanOrEqual">
      <formula>F35</formula>
    </cfRule>
  </conditionalFormatting>
  <conditionalFormatting sqref="J36">
    <cfRule type="cellIs" dxfId="4" priority="209" operator="lessThanOrEqual">
      <formula>F36</formula>
    </cfRule>
  </conditionalFormatting>
  <conditionalFormatting sqref="J39">
    <cfRule type="cellIs" dxfId="4" priority="214" operator="lessThanOrEqual">
      <formula>F39</formula>
    </cfRule>
  </conditionalFormatting>
  <conditionalFormatting sqref="J40">
    <cfRule type="cellIs" dxfId="4" priority="219" operator="lessThanOrEqual">
      <formula>F40</formula>
    </cfRule>
  </conditionalFormatting>
  <conditionalFormatting sqref="J9">
    <cfRule type="cellIs" dxfId="4" priority="153" operator="lessThanOrEqual">
      <formula>F9</formula>
    </cfRule>
  </conditionalFormatting>
  <conditionalFormatting sqref="K10">
    <cfRule type="cellIs" dxfId="4" priority="157" operator="lessThanOrEqual">
      <formula>G10</formula>
    </cfRule>
  </conditionalFormatting>
  <conditionalFormatting sqref="K11">
    <cfRule type="cellIs" dxfId="4" priority="162" operator="lessThanOrEqual">
      <formula>G11</formula>
    </cfRule>
  </conditionalFormatting>
  <conditionalFormatting sqref="K15">
    <cfRule type="cellIs" dxfId="4" priority="167" operator="lessThanOrEqual">
      <formula>G15</formula>
    </cfRule>
  </conditionalFormatting>
  <conditionalFormatting sqref="K21">
    <cfRule type="cellIs" dxfId="4" priority="173" operator="lessThanOrEqual">
      <formula>G21</formula>
    </cfRule>
  </conditionalFormatting>
  <conditionalFormatting sqref="K22">
    <cfRule type="cellIs" dxfId="4" priority="178" operator="lessThanOrEqual">
      <formula>G22</formula>
    </cfRule>
  </conditionalFormatting>
  <conditionalFormatting sqref="K23">
    <cfRule type="cellIs" dxfId="4" priority="183" operator="lessThanOrEqual">
      <formula>G23</formula>
    </cfRule>
  </conditionalFormatting>
  <conditionalFormatting sqref="K31">
    <cfRule type="cellIs" dxfId="4" priority="188" operator="lessThanOrEqual">
      <formula>G31</formula>
    </cfRule>
  </conditionalFormatting>
  <conditionalFormatting sqref="K33">
    <cfRule type="cellIs" dxfId="4" priority="193" operator="lessThanOrEqual">
      <formula>G33</formula>
    </cfRule>
  </conditionalFormatting>
  <conditionalFormatting sqref="K34">
    <cfRule type="cellIs" dxfId="4" priority="198" operator="lessThanOrEqual">
      <formula>G34</formula>
    </cfRule>
  </conditionalFormatting>
  <conditionalFormatting sqref="K35">
    <cfRule type="cellIs" dxfId="4" priority="203" operator="lessThanOrEqual">
      <formula>G35</formula>
    </cfRule>
  </conditionalFormatting>
  <conditionalFormatting sqref="K36">
    <cfRule type="cellIs" dxfId="4" priority="208" operator="lessThanOrEqual">
      <formula>G36</formula>
    </cfRule>
  </conditionalFormatting>
  <conditionalFormatting sqref="K39">
    <cfRule type="cellIs" dxfId="4" priority="213" operator="lessThanOrEqual">
      <formula>G39</formula>
    </cfRule>
  </conditionalFormatting>
  <conditionalFormatting sqref="K40">
    <cfRule type="cellIs" dxfId="4" priority="218" operator="lessThanOrEqual">
      <formula>G40</formula>
    </cfRule>
  </conditionalFormatting>
  <conditionalFormatting sqref="K9">
    <cfRule type="cellIs" dxfId="4" priority="152" operator="lessThanOrEqual">
      <formula>G9</formula>
    </cfRule>
  </conditionalFormatting>
  <conditionalFormatting sqref="M10">
    <cfRule type="cellIs" dxfId="1" priority="235" operator="equal">
      <formula>0</formula>
    </cfRule>
    <cfRule type="cellIs" dxfId="2" priority="236" operator="lessThan">
      <formula>E10</formula>
    </cfRule>
  </conditionalFormatting>
  <conditionalFormatting sqref="M11">
    <cfRule type="cellIs" dxfId="1" priority="240" operator="equal">
      <formula>0</formula>
    </cfRule>
    <cfRule type="cellIs" dxfId="2" priority="241" operator="lessThan">
      <formula>E11</formula>
    </cfRule>
  </conditionalFormatting>
  <conditionalFormatting sqref="M12">
    <cfRule type="cellIs" dxfId="1" priority="245" operator="equal">
      <formula>0</formula>
    </cfRule>
    <cfRule type="cellIs" dxfId="2" priority="246" operator="lessThan">
      <formula>E12</formula>
    </cfRule>
  </conditionalFormatting>
  <conditionalFormatting sqref="M13">
    <cfRule type="cellIs" dxfId="1" priority="251" operator="equal">
      <formula>0</formula>
    </cfRule>
    <cfRule type="cellIs" dxfId="2" priority="252" operator="lessThan">
      <formula>E13</formula>
    </cfRule>
  </conditionalFormatting>
  <conditionalFormatting sqref="M14">
    <cfRule type="cellIs" dxfId="1" priority="257" operator="equal">
      <formula>0</formula>
    </cfRule>
    <cfRule type="cellIs" dxfId="2" priority="258" operator="lessThan">
      <formula>E14</formula>
    </cfRule>
  </conditionalFormatting>
  <conditionalFormatting sqref="M15">
    <cfRule type="cellIs" dxfId="1" priority="263" operator="equal">
      <formula>0</formula>
    </cfRule>
    <cfRule type="cellIs" dxfId="2" priority="264" operator="lessThan">
      <formula>E15</formula>
    </cfRule>
  </conditionalFormatting>
  <conditionalFormatting sqref="M17">
    <cfRule type="cellIs" dxfId="1" priority="268" operator="equal">
      <formula>0</formula>
    </cfRule>
    <cfRule type="cellIs" dxfId="2" priority="269" operator="lessThan">
      <formula>E17</formula>
    </cfRule>
  </conditionalFormatting>
  <conditionalFormatting sqref="M18">
    <cfRule type="cellIs" dxfId="1" priority="273" operator="equal">
      <formula>0</formula>
    </cfRule>
    <cfRule type="cellIs" dxfId="2" priority="274" operator="lessThan">
      <formula>E18</formula>
    </cfRule>
  </conditionalFormatting>
  <conditionalFormatting sqref="M20">
    <cfRule type="cellIs" dxfId="1" priority="279" operator="equal">
      <formula>0</formula>
    </cfRule>
    <cfRule type="cellIs" dxfId="2" priority="280" operator="lessThan">
      <formula>E20</formula>
    </cfRule>
  </conditionalFormatting>
  <conditionalFormatting sqref="M21">
    <cfRule type="cellIs" dxfId="1" priority="284" operator="equal">
      <formula>0</formula>
    </cfRule>
    <cfRule type="cellIs" dxfId="2" priority="285" operator="lessThan">
      <formula>E21</formula>
    </cfRule>
  </conditionalFormatting>
  <conditionalFormatting sqref="M22">
    <cfRule type="cellIs" dxfId="1" priority="289" operator="equal">
      <formula>0</formula>
    </cfRule>
    <cfRule type="cellIs" dxfId="2" priority="290" operator="lessThan">
      <formula>E22</formula>
    </cfRule>
  </conditionalFormatting>
  <conditionalFormatting sqref="M23">
    <cfRule type="cellIs" dxfId="1" priority="294" operator="equal">
      <formula>0</formula>
    </cfRule>
    <cfRule type="cellIs" dxfId="2" priority="295" operator="lessThan">
      <formula>E23</formula>
    </cfRule>
  </conditionalFormatting>
  <conditionalFormatting sqref="M25">
    <cfRule type="cellIs" dxfId="1" priority="299" operator="equal">
      <formula>0</formula>
    </cfRule>
    <cfRule type="cellIs" dxfId="2" priority="300" operator="lessThan">
      <formula>E25</formula>
    </cfRule>
  </conditionalFormatting>
  <conditionalFormatting sqref="M28">
    <cfRule type="cellIs" dxfId="1" priority="305" operator="equal">
      <formula>0</formula>
    </cfRule>
    <cfRule type="cellIs" dxfId="2" priority="306" operator="lessThan">
      <formula>E28</formula>
    </cfRule>
  </conditionalFormatting>
  <conditionalFormatting sqref="M29">
    <cfRule type="cellIs" dxfId="1" priority="310" operator="equal">
      <formula>0</formula>
    </cfRule>
    <cfRule type="cellIs" dxfId="2" priority="311" operator="lessThan">
      <formula>E29</formula>
    </cfRule>
  </conditionalFormatting>
  <conditionalFormatting sqref="M30">
    <cfRule type="cellIs" dxfId="1" priority="315" operator="equal">
      <formula>0</formula>
    </cfRule>
    <cfRule type="cellIs" dxfId="2" priority="316" operator="lessThan">
      <formula>E30</formula>
    </cfRule>
  </conditionalFormatting>
  <conditionalFormatting sqref="M31">
    <cfRule type="cellIs" dxfId="1" priority="321" operator="equal">
      <formula>0</formula>
    </cfRule>
    <cfRule type="cellIs" dxfId="2" priority="322" operator="lessThan">
      <formula>E31</formula>
    </cfRule>
  </conditionalFormatting>
  <conditionalFormatting sqref="M32">
    <cfRule type="cellIs" dxfId="1" priority="326" operator="equal">
      <formula>0</formula>
    </cfRule>
    <cfRule type="cellIs" dxfId="2" priority="327" operator="lessThan">
      <formula>E32</formula>
    </cfRule>
  </conditionalFormatting>
  <conditionalFormatting sqref="M33">
    <cfRule type="cellIs" dxfId="1" priority="332" operator="equal">
      <formula>0</formula>
    </cfRule>
    <cfRule type="cellIs" dxfId="2" priority="333" operator="lessThan">
      <formula>E33</formula>
    </cfRule>
  </conditionalFormatting>
  <conditionalFormatting sqref="M34">
    <cfRule type="cellIs" dxfId="1" priority="337" operator="equal">
      <formula>0</formula>
    </cfRule>
    <cfRule type="cellIs" dxfId="2" priority="338" operator="lessThan">
      <formula>E34</formula>
    </cfRule>
  </conditionalFormatting>
  <conditionalFormatting sqref="M35">
    <cfRule type="cellIs" dxfId="1" priority="342" operator="equal">
      <formula>0</formula>
    </cfRule>
    <cfRule type="cellIs" dxfId="2" priority="343" operator="lessThan">
      <formula>E35</formula>
    </cfRule>
  </conditionalFormatting>
  <conditionalFormatting sqref="M36">
    <cfRule type="cellIs" dxfId="1" priority="347" operator="equal">
      <formula>0</formula>
    </cfRule>
    <cfRule type="cellIs" dxfId="2" priority="348" operator="lessThan">
      <formula>E36</formula>
    </cfRule>
  </conditionalFormatting>
  <conditionalFormatting sqref="M37">
    <cfRule type="cellIs" dxfId="1" priority="352" operator="equal">
      <formula>0</formula>
    </cfRule>
    <cfRule type="cellIs" dxfId="2" priority="353" operator="lessThan">
      <formula>E37</formula>
    </cfRule>
  </conditionalFormatting>
  <conditionalFormatting sqref="M39">
    <cfRule type="cellIs" dxfId="1" priority="357" operator="equal">
      <formula>0</formula>
    </cfRule>
    <cfRule type="cellIs" dxfId="2" priority="358" operator="lessThan">
      <formula>E39</formula>
    </cfRule>
  </conditionalFormatting>
  <conditionalFormatting sqref="M40">
    <cfRule type="cellIs" dxfId="1" priority="362" operator="equal">
      <formula>0</formula>
    </cfRule>
    <cfRule type="cellIs" dxfId="2" priority="363" operator="lessThan">
      <formula>E40</formula>
    </cfRule>
  </conditionalFormatting>
  <conditionalFormatting sqref="M41">
    <cfRule type="cellIs" dxfId="1" priority="367" operator="equal">
      <formula>0</formula>
    </cfRule>
    <cfRule type="cellIs" dxfId="2" priority="368" operator="lessThan">
      <formula>E41</formula>
    </cfRule>
  </conditionalFormatting>
  <conditionalFormatting sqref="M43">
    <cfRule type="cellIs" dxfId="1" priority="372" operator="equal">
      <formula>0</formula>
    </cfRule>
    <cfRule type="cellIs" dxfId="2" priority="373" operator="lessThan">
      <formula>E43</formula>
    </cfRule>
  </conditionalFormatting>
  <conditionalFormatting sqref="M7">
    <cfRule type="cellIs" dxfId="1" priority="220" operator="equal">
      <formula>0</formula>
    </cfRule>
    <cfRule type="cellIs" dxfId="2" priority="221" operator="lessThan">
      <formula>E7</formula>
    </cfRule>
  </conditionalFormatting>
  <conditionalFormatting sqref="M8">
    <cfRule type="cellIs" dxfId="1" priority="225" operator="equal">
      <formula>0</formula>
    </cfRule>
    <cfRule type="cellIs" dxfId="2" priority="226" operator="lessThan">
      <formula>E8</formula>
    </cfRule>
  </conditionalFormatting>
  <conditionalFormatting sqref="M9">
    <cfRule type="cellIs" dxfId="1" priority="230" operator="equal">
      <formula>0</formula>
    </cfRule>
    <cfRule type="cellIs" dxfId="2" priority="231" operator="lessThan">
      <formula>E9</formula>
    </cfRule>
  </conditionalFormatting>
  <conditionalFormatting sqref="N10">
    <cfRule type="cellIs" dxfId="1" priority="237" operator="greaterThan">
      <formula>M10</formula>
    </cfRule>
  </conditionalFormatting>
  <conditionalFormatting sqref="N11">
    <cfRule type="cellIs" dxfId="1" priority="242" operator="greaterThan">
      <formula>M11</formula>
    </cfRule>
  </conditionalFormatting>
  <conditionalFormatting sqref="N12">
    <cfRule type="expression" dxfId="3" priority="247">
      <formula>AND(N12&gt;0,N12&lt;3000)</formula>
    </cfRule>
    <cfRule type="cellIs" dxfId="1" priority="248" operator="greaterThan">
      <formula>M12</formula>
    </cfRule>
  </conditionalFormatting>
  <conditionalFormatting sqref="N13">
    <cfRule type="expression" dxfId="3" priority="253">
      <formula>AND(N13&gt;0,N13&lt;500)</formula>
    </cfRule>
    <cfRule type="cellIs" dxfId="1" priority="254" operator="greaterThan">
      <formula>M13</formula>
    </cfRule>
  </conditionalFormatting>
  <conditionalFormatting sqref="N14">
    <cfRule type="expression" dxfId="3" priority="259">
      <formula>AND(N14&gt;0,N14&lt;4000)</formula>
    </cfRule>
    <cfRule type="cellIs" dxfId="1" priority="260" operator="greaterThan">
      <formula>M14</formula>
    </cfRule>
  </conditionalFormatting>
  <conditionalFormatting sqref="N15">
    <cfRule type="cellIs" dxfId="1" priority="265" operator="greaterThan">
      <formula>M15</formula>
    </cfRule>
  </conditionalFormatting>
  <conditionalFormatting sqref="N17">
    <cfRule type="cellIs" dxfId="1" priority="270" operator="greaterThan">
      <formula>M17</formula>
    </cfRule>
  </conditionalFormatting>
  <conditionalFormatting sqref="N18">
    <cfRule type="expression" dxfId="3" priority="275">
      <formula>AND(N18&gt;0,N18&lt;100000)</formula>
    </cfRule>
    <cfRule type="cellIs" dxfId="1" priority="276" operator="greaterThan">
      <formula>M18</formula>
    </cfRule>
  </conditionalFormatting>
  <conditionalFormatting sqref="N20">
    <cfRule type="cellIs" dxfId="1" priority="281" operator="greaterThan">
      <formula>M20</formula>
    </cfRule>
  </conditionalFormatting>
  <conditionalFormatting sqref="N21">
    <cfRule type="cellIs" dxfId="1" priority="286" operator="greaterThan">
      <formula>M21</formula>
    </cfRule>
  </conditionalFormatting>
  <conditionalFormatting sqref="N22">
    <cfRule type="cellIs" dxfId="1" priority="291" operator="greaterThan">
      <formula>M22</formula>
    </cfRule>
  </conditionalFormatting>
  <conditionalFormatting sqref="N23">
    <cfRule type="cellIs" dxfId="1" priority="296" operator="greaterThan">
      <formula>M23</formula>
    </cfRule>
  </conditionalFormatting>
  <conditionalFormatting sqref="N25">
    <cfRule type="expression" dxfId="3" priority="301">
      <formula>AND(N25&gt;0,N25&lt;4000)</formula>
    </cfRule>
    <cfRule type="cellIs" dxfId="1" priority="302" operator="greaterThan">
      <formula>M25</formula>
    </cfRule>
  </conditionalFormatting>
  <conditionalFormatting sqref="N28">
    <cfRule type="cellIs" dxfId="1" priority="307" operator="greaterThan">
      <formula>M28</formula>
    </cfRule>
  </conditionalFormatting>
  <conditionalFormatting sqref="N29">
    <cfRule type="cellIs" dxfId="1" priority="312" operator="greaterThan">
      <formula>M29</formula>
    </cfRule>
  </conditionalFormatting>
  <conditionalFormatting sqref="N30">
    <cfRule type="expression" dxfId="3" priority="317">
      <formula>AND(N30&gt;0,N30&lt;25000)</formula>
    </cfRule>
    <cfRule type="cellIs" dxfId="1" priority="318" operator="greaterThan">
      <formula>M30</formula>
    </cfRule>
  </conditionalFormatting>
  <conditionalFormatting sqref="N31">
    <cfRule type="cellIs" dxfId="1" priority="323" operator="greaterThan">
      <formula>M31</formula>
    </cfRule>
  </conditionalFormatting>
  <conditionalFormatting sqref="N32">
    <cfRule type="expression" dxfId="3" priority="328">
      <formula>AND(N32&gt;0,N32&lt;25000)</formula>
    </cfRule>
    <cfRule type="cellIs" dxfId="1" priority="329" operator="greaterThan">
      <formula>M32</formula>
    </cfRule>
  </conditionalFormatting>
  <conditionalFormatting sqref="N33">
    <cfRule type="cellIs" dxfId="1" priority="334" operator="greaterThan">
      <formula>M33</formula>
    </cfRule>
  </conditionalFormatting>
  <conditionalFormatting sqref="N34">
    <cfRule type="cellIs" dxfId="1" priority="339" operator="greaterThan">
      <formula>M34</formula>
    </cfRule>
  </conditionalFormatting>
  <conditionalFormatting sqref="N35">
    <cfRule type="cellIs" dxfId="1" priority="344" operator="greaterThan">
      <formula>M35</formula>
    </cfRule>
  </conditionalFormatting>
  <conditionalFormatting sqref="N36">
    <cfRule type="cellIs" dxfId="1" priority="349" operator="greaterThan">
      <formula>M36</formula>
    </cfRule>
  </conditionalFormatting>
  <conditionalFormatting sqref="N37">
    <cfRule type="cellIs" dxfId="1" priority="354" operator="greaterThan">
      <formula>M37</formula>
    </cfRule>
  </conditionalFormatting>
  <conditionalFormatting sqref="N39">
    <cfRule type="cellIs" dxfId="1" priority="359" operator="greaterThan">
      <formula>M39</formula>
    </cfRule>
  </conditionalFormatting>
  <conditionalFormatting sqref="N40">
    <cfRule type="cellIs" dxfId="1" priority="364" operator="greaterThan">
      <formula>M40</formula>
    </cfRule>
  </conditionalFormatting>
  <conditionalFormatting sqref="N41">
    <cfRule type="cellIs" dxfId="1" priority="369" operator="greaterThan">
      <formula>M41</formula>
    </cfRule>
  </conditionalFormatting>
  <conditionalFormatting sqref="N43">
    <cfRule type="cellIs" dxfId="1" priority="374" operator="greaterThan">
      <formula>M43</formula>
    </cfRule>
  </conditionalFormatting>
  <conditionalFormatting sqref="N7">
    <cfRule type="cellIs" dxfId="1" priority="222" operator="greaterThan">
      <formula>M7</formula>
    </cfRule>
  </conditionalFormatting>
  <conditionalFormatting sqref="N8">
    <cfRule type="cellIs" dxfId="1" priority="227" operator="greaterThan">
      <formula>M8</formula>
    </cfRule>
  </conditionalFormatting>
  <conditionalFormatting sqref="N9">
    <cfRule type="cellIs" dxfId="1" priority="232" operator="greaterThan">
      <formula>M9</formula>
    </cfRule>
  </conditionalFormatting>
  <conditionalFormatting sqref="O10">
    <cfRule type="cellIs" dxfId="4" priority="239" operator="lessThanOrEqual">
      <formula>F10</formula>
    </cfRule>
  </conditionalFormatting>
  <conditionalFormatting sqref="O11">
    <cfRule type="cellIs" dxfId="4" priority="244" operator="lessThanOrEqual">
      <formula>F11</formula>
    </cfRule>
  </conditionalFormatting>
  <conditionalFormatting sqref="O12">
    <cfRule type="cellIs" dxfId="4" priority="250" operator="lessThanOrEqual">
      <formula>F12</formula>
    </cfRule>
  </conditionalFormatting>
  <conditionalFormatting sqref="O13">
    <cfRule type="cellIs" dxfId="4" priority="256" operator="lessThanOrEqual">
      <formula>F13</formula>
    </cfRule>
  </conditionalFormatting>
  <conditionalFormatting sqref="O14">
    <cfRule type="cellIs" dxfId="4" priority="262" operator="lessThanOrEqual">
      <formula>F14</formula>
    </cfRule>
  </conditionalFormatting>
  <conditionalFormatting sqref="O15">
    <cfRule type="cellIs" dxfId="4" priority="267" operator="lessThanOrEqual">
      <formula>F15</formula>
    </cfRule>
  </conditionalFormatting>
  <conditionalFormatting sqref="O17">
    <cfRule type="cellIs" dxfId="4" priority="272" operator="lessThanOrEqual">
      <formula>F17</formula>
    </cfRule>
  </conditionalFormatting>
  <conditionalFormatting sqref="O18">
    <cfRule type="cellIs" dxfId="4" priority="278" operator="lessThanOrEqual">
      <formula>F18</formula>
    </cfRule>
  </conditionalFormatting>
  <conditionalFormatting sqref="O20">
    <cfRule type="cellIs" dxfId="4" priority="283" operator="lessThanOrEqual">
      <formula>F20</formula>
    </cfRule>
  </conditionalFormatting>
  <conditionalFormatting sqref="O21">
    <cfRule type="cellIs" dxfId="4" priority="288" operator="lessThanOrEqual">
      <formula>F21</formula>
    </cfRule>
  </conditionalFormatting>
  <conditionalFormatting sqref="O22">
    <cfRule type="cellIs" dxfId="4" priority="293" operator="lessThanOrEqual">
      <formula>F22</formula>
    </cfRule>
  </conditionalFormatting>
  <conditionalFormatting sqref="O23">
    <cfRule type="cellIs" dxfId="4" priority="298" operator="lessThanOrEqual">
      <formula>F23</formula>
    </cfRule>
  </conditionalFormatting>
  <conditionalFormatting sqref="O25">
    <cfRule type="cellIs" dxfId="4" priority="304" operator="lessThanOrEqual">
      <formula>F25</formula>
    </cfRule>
  </conditionalFormatting>
  <conditionalFormatting sqref="O28">
    <cfRule type="cellIs" dxfId="4" priority="309" operator="lessThanOrEqual">
      <formula>F28</formula>
    </cfRule>
  </conditionalFormatting>
  <conditionalFormatting sqref="O29">
    <cfRule type="cellIs" dxfId="4" priority="314" operator="lessThanOrEqual">
      <formula>F29</formula>
    </cfRule>
  </conditionalFormatting>
  <conditionalFormatting sqref="O30">
    <cfRule type="cellIs" dxfId="4" priority="320" operator="lessThanOrEqual">
      <formula>F30</formula>
    </cfRule>
  </conditionalFormatting>
  <conditionalFormatting sqref="O31">
    <cfRule type="cellIs" dxfId="4" priority="325" operator="lessThanOrEqual">
      <formula>F31</formula>
    </cfRule>
  </conditionalFormatting>
  <conditionalFormatting sqref="O32">
    <cfRule type="cellIs" dxfId="4" priority="331" operator="lessThanOrEqual">
      <formula>F32</formula>
    </cfRule>
  </conditionalFormatting>
  <conditionalFormatting sqref="O33">
    <cfRule type="cellIs" dxfId="4" priority="336" operator="lessThanOrEqual">
      <formula>F33</formula>
    </cfRule>
  </conditionalFormatting>
  <conditionalFormatting sqref="O34">
    <cfRule type="cellIs" dxfId="4" priority="341" operator="lessThanOrEqual">
      <formula>F34</formula>
    </cfRule>
  </conditionalFormatting>
  <conditionalFormatting sqref="O35">
    <cfRule type="cellIs" dxfId="4" priority="346" operator="lessThanOrEqual">
      <formula>F35</formula>
    </cfRule>
  </conditionalFormatting>
  <conditionalFormatting sqref="O36">
    <cfRule type="cellIs" dxfId="4" priority="351" operator="lessThanOrEqual">
      <formula>F36</formula>
    </cfRule>
  </conditionalFormatting>
  <conditionalFormatting sqref="O37">
    <cfRule type="cellIs" dxfId="4" priority="356" operator="lessThanOrEqual">
      <formula>F37</formula>
    </cfRule>
  </conditionalFormatting>
  <conditionalFormatting sqref="O39">
    <cfRule type="cellIs" dxfId="4" priority="361" operator="lessThanOrEqual">
      <formula>F39</formula>
    </cfRule>
  </conditionalFormatting>
  <conditionalFormatting sqref="O40">
    <cfRule type="cellIs" dxfId="4" priority="366" operator="lessThanOrEqual">
      <formula>F40</formula>
    </cfRule>
  </conditionalFormatting>
  <conditionalFormatting sqref="O41">
    <cfRule type="cellIs" dxfId="4" priority="371" operator="lessThanOrEqual">
      <formula>F41</formula>
    </cfRule>
  </conditionalFormatting>
  <conditionalFormatting sqref="O43">
    <cfRule type="cellIs" dxfId="4" priority="376" operator="lessThanOrEqual">
      <formula>F43</formula>
    </cfRule>
  </conditionalFormatting>
  <conditionalFormatting sqref="O7">
    <cfRule type="cellIs" dxfId="4" priority="224" operator="lessThanOrEqual">
      <formula>F7</formula>
    </cfRule>
  </conditionalFormatting>
  <conditionalFormatting sqref="O8">
    <cfRule type="cellIs" dxfId="4" priority="229" operator="lessThanOrEqual">
      <formula>F8</formula>
    </cfRule>
  </conditionalFormatting>
  <conditionalFormatting sqref="O9">
    <cfRule type="cellIs" dxfId="4" priority="234" operator="lessThanOrEqual">
      <formula>F9</formula>
    </cfRule>
  </conditionalFormatting>
  <conditionalFormatting sqref="P10">
    <cfRule type="cellIs" dxfId="4" priority="238" operator="lessThanOrEqual">
      <formula>G10</formula>
    </cfRule>
  </conditionalFormatting>
  <conditionalFormatting sqref="P11">
    <cfRule type="cellIs" dxfId="4" priority="243" operator="lessThanOrEqual">
      <formula>G11</formula>
    </cfRule>
  </conditionalFormatting>
  <conditionalFormatting sqref="P12">
    <cfRule type="cellIs" dxfId="4" priority="249" operator="lessThanOrEqual">
      <formula>G12</formula>
    </cfRule>
  </conditionalFormatting>
  <conditionalFormatting sqref="P13">
    <cfRule type="cellIs" dxfId="4" priority="255" operator="lessThanOrEqual">
      <formula>G13</formula>
    </cfRule>
  </conditionalFormatting>
  <conditionalFormatting sqref="P14">
    <cfRule type="cellIs" dxfId="4" priority="261" operator="lessThanOrEqual">
      <formula>G14</formula>
    </cfRule>
  </conditionalFormatting>
  <conditionalFormatting sqref="P15">
    <cfRule type="cellIs" dxfId="4" priority="266" operator="lessThanOrEqual">
      <formula>G15</formula>
    </cfRule>
  </conditionalFormatting>
  <conditionalFormatting sqref="P17">
    <cfRule type="cellIs" dxfId="4" priority="271" operator="lessThanOrEqual">
      <formula>G17</formula>
    </cfRule>
  </conditionalFormatting>
  <conditionalFormatting sqref="P18">
    <cfRule type="cellIs" dxfId="4" priority="277" operator="lessThanOrEqual">
      <formula>G18</formula>
    </cfRule>
  </conditionalFormatting>
  <conditionalFormatting sqref="P20">
    <cfRule type="cellIs" dxfId="4" priority="282" operator="lessThanOrEqual">
      <formula>G20</formula>
    </cfRule>
  </conditionalFormatting>
  <conditionalFormatting sqref="P21">
    <cfRule type="cellIs" dxfId="4" priority="287" operator="lessThanOrEqual">
      <formula>G21</formula>
    </cfRule>
  </conditionalFormatting>
  <conditionalFormatting sqref="P22">
    <cfRule type="cellIs" dxfId="4" priority="292" operator="lessThanOrEqual">
      <formula>G22</formula>
    </cfRule>
  </conditionalFormatting>
  <conditionalFormatting sqref="P23">
    <cfRule type="cellIs" dxfId="4" priority="297" operator="lessThanOrEqual">
      <formula>G23</formula>
    </cfRule>
  </conditionalFormatting>
  <conditionalFormatting sqref="P25">
    <cfRule type="cellIs" dxfId="4" priority="303" operator="lessThanOrEqual">
      <formula>G25</formula>
    </cfRule>
  </conditionalFormatting>
  <conditionalFormatting sqref="P28">
    <cfRule type="cellIs" dxfId="4" priority="308" operator="lessThanOrEqual">
      <formula>G28</formula>
    </cfRule>
  </conditionalFormatting>
  <conditionalFormatting sqref="P29">
    <cfRule type="cellIs" dxfId="4" priority="313" operator="lessThanOrEqual">
      <formula>G29</formula>
    </cfRule>
  </conditionalFormatting>
  <conditionalFormatting sqref="P30">
    <cfRule type="cellIs" dxfId="4" priority="319" operator="lessThanOrEqual">
      <formula>G30</formula>
    </cfRule>
  </conditionalFormatting>
  <conditionalFormatting sqref="P31">
    <cfRule type="cellIs" dxfId="4" priority="324" operator="lessThanOrEqual">
      <formula>G31</formula>
    </cfRule>
  </conditionalFormatting>
  <conditionalFormatting sqref="P32">
    <cfRule type="cellIs" dxfId="4" priority="330" operator="lessThanOrEqual">
      <formula>G32</formula>
    </cfRule>
  </conditionalFormatting>
  <conditionalFormatting sqref="P33">
    <cfRule type="cellIs" dxfId="4" priority="335" operator="lessThanOrEqual">
      <formula>G33</formula>
    </cfRule>
  </conditionalFormatting>
  <conditionalFormatting sqref="P34">
    <cfRule type="cellIs" dxfId="4" priority="340" operator="lessThanOrEqual">
      <formula>G34</formula>
    </cfRule>
  </conditionalFormatting>
  <conditionalFormatting sqref="P35">
    <cfRule type="cellIs" dxfId="4" priority="345" operator="lessThanOrEqual">
      <formula>G35</formula>
    </cfRule>
  </conditionalFormatting>
  <conditionalFormatting sqref="P36">
    <cfRule type="cellIs" dxfId="4" priority="350" operator="lessThanOrEqual">
      <formula>G36</formula>
    </cfRule>
  </conditionalFormatting>
  <conditionalFormatting sqref="P37">
    <cfRule type="cellIs" dxfId="4" priority="355" operator="lessThanOrEqual">
      <formula>G37</formula>
    </cfRule>
  </conditionalFormatting>
  <conditionalFormatting sqref="P39">
    <cfRule type="cellIs" dxfId="4" priority="360" operator="lessThanOrEqual">
      <formula>G39</formula>
    </cfRule>
  </conditionalFormatting>
  <conditionalFormatting sqref="P40">
    <cfRule type="cellIs" dxfId="4" priority="365" operator="lessThanOrEqual">
      <formula>G40</formula>
    </cfRule>
  </conditionalFormatting>
  <conditionalFormatting sqref="P41">
    <cfRule type="cellIs" dxfId="4" priority="370" operator="lessThanOrEqual">
      <formula>G41</formula>
    </cfRule>
  </conditionalFormatting>
  <conditionalFormatting sqref="P43">
    <cfRule type="cellIs" dxfId="4" priority="375" operator="lessThanOrEqual">
      <formula>G43</formula>
    </cfRule>
  </conditionalFormatting>
  <conditionalFormatting sqref="P7">
    <cfRule type="cellIs" dxfId="4" priority="223" operator="lessThanOrEqual">
      <formula>G7</formula>
    </cfRule>
  </conditionalFormatting>
  <conditionalFormatting sqref="P8">
    <cfRule type="cellIs" dxfId="4" priority="228" operator="lessThanOrEqual">
      <formula>G8</formula>
    </cfRule>
  </conditionalFormatting>
  <conditionalFormatting sqref="P9">
    <cfRule type="cellIs" dxfId="4" priority="233" operator="lessThanOrEqual">
      <formula>G9</formula>
    </cfRule>
  </conditionalFormatting>
  <conditionalFormatting sqref="R10">
    <cfRule type="cellIs" dxfId="1" priority="383" operator="equal">
      <formula>0</formula>
    </cfRule>
    <cfRule type="cellIs" dxfId="2" priority="384" operator="lessThan">
      <formula>E10</formula>
    </cfRule>
  </conditionalFormatting>
  <conditionalFormatting sqref="R11">
    <cfRule type="cellIs" dxfId="1" priority="389" operator="equal">
      <formula>0</formula>
    </cfRule>
    <cfRule type="cellIs" dxfId="2" priority="390" operator="lessThan">
      <formula>E11</formula>
    </cfRule>
  </conditionalFormatting>
  <conditionalFormatting sqref="R15">
    <cfRule type="cellIs" dxfId="1" priority="395" operator="equal">
      <formula>0</formula>
    </cfRule>
    <cfRule type="cellIs" dxfId="2" priority="396" operator="lessThan">
      <formula>E15</formula>
    </cfRule>
  </conditionalFormatting>
  <conditionalFormatting sqref="R20">
    <cfRule type="cellIs" dxfId="1" priority="401" operator="equal">
      <formula>0</formula>
    </cfRule>
    <cfRule type="cellIs" dxfId="2" priority="402" operator="lessThan">
      <formula>E20</formula>
    </cfRule>
  </conditionalFormatting>
  <conditionalFormatting sqref="R21">
    <cfRule type="cellIs" dxfId="1" priority="407" operator="equal">
      <formula>0</formula>
    </cfRule>
    <cfRule type="cellIs" dxfId="2" priority="408" operator="lessThan">
      <formula>E21</formula>
    </cfRule>
  </conditionalFormatting>
  <conditionalFormatting sqref="R22">
    <cfRule type="cellIs" dxfId="1" priority="413" operator="equal">
      <formula>0</formula>
    </cfRule>
    <cfRule type="cellIs" dxfId="2" priority="414" operator="lessThan">
      <formula>E22</formula>
    </cfRule>
  </conditionalFormatting>
  <conditionalFormatting sqref="R23">
    <cfRule type="cellIs" dxfId="1" priority="419" operator="equal">
      <formula>0</formula>
    </cfRule>
    <cfRule type="cellIs" dxfId="2" priority="420" operator="lessThan">
      <formula>E23</formula>
    </cfRule>
  </conditionalFormatting>
  <conditionalFormatting sqref="R28">
    <cfRule type="cellIs" dxfId="1" priority="425" operator="equal">
      <formula>0</formula>
    </cfRule>
    <cfRule type="cellIs" dxfId="2" priority="426" operator="lessThan">
      <formula>E28</formula>
    </cfRule>
  </conditionalFormatting>
  <conditionalFormatting sqref="R33">
    <cfRule type="cellIs" dxfId="1" priority="431" operator="equal">
      <formula>0</formula>
    </cfRule>
    <cfRule type="cellIs" dxfId="2" priority="432" operator="lessThan">
      <formula>E33</formula>
    </cfRule>
  </conditionalFormatting>
  <conditionalFormatting sqref="R34">
    <cfRule type="cellIs" dxfId="1" priority="436" operator="equal">
      <formula>0</formula>
    </cfRule>
    <cfRule type="cellIs" dxfId="2" priority="437" operator="lessThan">
      <formula>E34</formula>
    </cfRule>
  </conditionalFormatting>
  <conditionalFormatting sqref="R35">
    <cfRule type="cellIs" dxfId="1" priority="442" operator="equal">
      <formula>0</formula>
    </cfRule>
    <cfRule type="cellIs" dxfId="2" priority="443" operator="lessThan">
      <formula>E35</formula>
    </cfRule>
  </conditionalFormatting>
  <conditionalFormatting sqref="R37">
    <cfRule type="cellIs" dxfId="1" priority="448" operator="equal">
      <formula>0</formula>
    </cfRule>
    <cfRule type="cellIs" dxfId="2" priority="449" operator="lessThan">
      <formula>E37</formula>
    </cfRule>
  </conditionalFormatting>
  <conditionalFormatting sqref="R40">
    <cfRule type="cellIs" dxfId="1" priority="454" operator="equal">
      <formula>0</formula>
    </cfRule>
    <cfRule type="cellIs" dxfId="2" priority="455" operator="lessThan">
      <formula>E40</formula>
    </cfRule>
  </conditionalFormatting>
  <conditionalFormatting sqref="R41">
    <cfRule type="cellIs" dxfId="1" priority="460" operator="equal">
      <formula>0</formula>
    </cfRule>
    <cfRule type="cellIs" dxfId="2" priority="461" operator="lessThan">
      <formula>E41</formula>
    </cfRule>
  </conditionalFormatting>
  <conditionalFormatting sqref="R42">
    <cfRule type="cellIs" dxfId="1" priority="465" operator="equal">
      <formula>0</formula>
    </cfRule>
    <cfRule type="cellIs" dxfId="2" priority="466" operator="lessThan">
      <formula>E42</formula>
    </cfRule>
  </conditionalFormatting>
  <conditionalFormatting sqref="R43">
    <cfRule type="cellIs" dxfId="1" priority="470" operator="equal">
      <formula>0</formula>
    </cfRule>
    <cfRule type="cellIs" dxfId="2" priority="471" operator="lessThan">
      <formula>E43</formula>
    </cfRule>
  </conditionalFormatting>
  <conditionalFormatting sqref="R9">
    <cfRule type="cellIs" dxfId="1" priority="377" operator="equal">
      <formula>0</formula>
    </cfRule>
    <cfRule type="cellIs" dxfId="2" priority="378" operator="lessThan">
      <formula>E9</formula>
    </cfRule>
  </conditionalFormatting>
  <conditionalFormatting sqref="S10">
    <cfRule type="expression" dxfId="3" priority="385">
      <formula>AND(S10&gt;0,S10&lt;5)</formula>
    </cfRule>
    <cfRule type="cellIs" dxfId="1" priority="386" operator="greaterThan">
      <formula>R10</formula>
    </cfRule>
  </conditionalFormatting>
  <conditionalFormatting sqref="S11">
    <cfRule type="expression" dxfId="3" priority="391">
      <formula>AND(S11&gt;0,S11&lt;2000)</formula>
    </cfRule>
    <cfRule type="cellIs" dxfId="1" priority="392" operator="greaterThan">
      <formula>R11</formula>
    </cfRule>
  </conditionalFormatting>
  <conditionalFormatting sqref="S15">
    <cfRule type="expression" dxfId="3" priority="397">
      <formula>AND(S15&gt;0,S15&lt;10)</formula>
    </cfRule>
    <cfRule type="cellIs" dxfId="1" priority="398" operator="greaterThan">
      <formula>R15</formula>
    </cfRule>
  </conditionalFormatting>
  <conditionalFormatting sqref="S20">
    <cfRule type="expression" dxfId="3" priority="403">
      <formula>AND(S20&gt;0,S20&lt;5)</formula>
    </cfRule>
    <cfRule type="cellIs" dxfId="1" priority="404" operator="greaterThan">
      <formula>R20</formula>
    </cfRule>
  </conditionalFormatting>
  <conditionalFormatting sqref="S21">
    <cfRule type="expression" dxfId="3" priority="409">
      <formula>AND(S21&gt;0,S21&lt;5)</formula>
    </cfRule>
    <cfRule type="cellIs" dxfId="1" priority="410" operator="greaterThan">
      <formula>R21</formula>
    </cfRule>
  </conditionalFormatting>
  <conditionalFormatting sqref="S22">
    <cfRule type="expression" dxfId="3" priority="415">
      <formula>AND(S22&gt;0,S22&lt;5)</formula>
    </cfRule>
    <cfRule type="cellIs" dxfId="1" priority="416" operator="greaterThan">
      <formula>R22</formula>
    </cfRule>
  </conditionalFormatting>
  <conditionalFormatting sqref="S23">
    <cfRule type="expression" dxfId="3" priority="421">
      <formula>AND(S23&gt;0,S23&lt;5)</formula>
    </cfRule>
    <cfRule type="cellIs" dxfId="1" priority="422" operator="greaterThan">
      <formula>R23</formula>
    </cfRule>
  </conditionalFormatting>
  <conditionalFormatting sqref="S28">
    <cfRule type="expression" dxfId="3" priority="427">
      <formula>AND(S28&gt;0,S28&lt;10)</formula>
    </cfRule>
    <cfRule type="cellIs" dxfId="1" priority="428" operator="greaterThan">
      <formula>R28</formula>
    </cfRule>
  </conditionalFormatting>
  <conditionalFormatting sqref="S33">
    <cfRule type="cellIs" dxfId="1" priority="433" operator="greaterThan">
      <formula>R33</formula>
    </cfRule>
  </conditionalFormatting>
  <conditionalFormatting sqref="S34">
    <cfRule type="expression" dxfId="3" priority="438">
      <formula>AND(S34&gt;0,S34&lt;10)</formula>
    </cfRule>
    <cfRule type="cellIs" dxfId="1" priority="439" operator="greaterThan">
      <formula>R34</formula>
    </cfRule>
  </conditionalFormatting>
  <conditionalFormatting sqref="S35">
    <cfRule type="expression" dxfId="3" priority="444">
      <formula>AND(S35&gt;0,S35&lt;10)</formula>
    </cfRule>
    <cfRule type="cellIs" dxfId="1" priority="445" operator="greaterThan">
      <formula>R35</formula>
    </cfRule>
  </conditionalFormatting>
  <conditionalFormatting sqref="S37">
    <cfRule type="expression" dxfId="3" priority="450">
      <formula>AND(S37&gt;0,S37&lt;10)</formula>
    </cfRule>
    <cfRule type="cellIs" dxfId="1" priority="451" operator="greaterThan">
      <formula>R37</formula>
    </cfRule>
  </conditionalFormatting>
  <conditionalFormatting sqref="S40">
    <cfRule type="expression" dxfId="3" priority="456">
      <formula>AND(S40&gt;0,S40&lt;5)</formula>
    </cfRule>
    <cfRule type="cellIs" dxfId="1" priority="457" operator="greaterThan">
      <formula>R40</formula>
    </cfRule>
  </conditionalFormatting>
  <conditionalFormatting sqref="S41">
    <cfRule type="cellIs" dxfId="1" priority="462" operator="greaterThan">
      <formula>R41</formula>
    </cfRule>
  </conditionalFormatting>
  <conditionalFormatting sqref="S42">
    <cfRule type="cellIs" dxfId="1" priority="467" operator="greaterThan">
      <formula>R42</formula>
    </cfRule>
  </conditionalFormatting>
  <conditionalFormatting sqref="S43">
    <cfRule type="cellIs" dxfId="1" priority="472" operator="greaterThan">
      <formula>R43</formula>
    </cfRule>
  </conditionalFormatting>
  <conditionalFormatting sqref="S9">
    <cfRule type="expression" dxfId="3" priority="379">
      <formula>AND(S9&gt;0,S9&lt;10)</formula>
    </cfRule>
    <cfRule type="cellIs" dxfId="1" priority="380" operator="greaterThan">
      <formula>R9</formula>
    </cfRule>
  </conditionalFormatting>
  <conditionalFormatting sqref="T10">
    <cfRule type="cellIs" dxfId="4" priority="388" operator="lessThanOrEqual">
      <formula>F10</formula>
    </cfRule>
  </conditionalFormatting>
  <conditionalFormatting sqref="T11">
    <cfRule type="cellIs" dxfId="4" priority="394" operator="lessThanOrEqual">
      <formula>F11</formula>
    </cfRule>
  </conditionalFormatting>
  <conditionalFormatting sqref="T15">
    <cfRule type="cellIs" dxfId="4" priority="400" operator="lessThanOrEqual">
      <formula>F15</formula>
    </cfRule>
  </conditionalFormatting>
  <conditionalFormatting sqref="T20">
    <cfRule type="cellIs" dxfId="4" priority="406" operator="lessThanOrEqual">
      <formula>F20</formula>
    </cfRule>
  </conditionalFormatting>
  <conditionalFormatting sqref="T21">
    <cfRule type="cellIs" dxfId="4" priority="412" operator="lessThanOrEqual">
      <formula>F21</formula>
    </cfRule>
  </conditionalFormatting>
  <conditionalFormatting sqref="T22">
    <cfRule type="cellIs" dxfId="4" priority="418" operator="lessThanOrEqual">
      <formula>F22</formula>
    </cfRule>
  </conditionalFormatting>
  <conditionalFormatting sqref="T23">
    <cfRule type="cellIs" dxfId="4" priority="424" operator="lessThanOrEqual">
      <formula>F23</formula>
    </cfRule>
  </conditionalFormatting>
  <conditionalFormatting sqref="T28">
    <cfRule type="cellIs" dxfId="4" priority="430" operator="lessThanOrEqual">
      <formula>F28</formula>
    </cfRule>
  </conditionalFormatting>
  <conditionalFormatting sqref="T33">
    <cfRule type="cellIs" dxfId="4" priority="435" operator="lessThanOrEqual">
      <formula>F33</formula>
    </cfRule>
  </conditionalFormatting>
  <conditionalFormatting sqref="T34">
    <cfRule type="cellIs" dxfId="4" priority="441" operator="lessThanOrEqual">
      <formula>F34</formula>
    </cfRule>
  </conditionalFormatting>
  <conditionalFormatting sqref="T35">
    <cfRule type="cellIs" dxfId="4" priority="447" operator="lessThanOrEqual">
      <formula>F35</formula>
    </cfRule>
  </conditionalFormatting>
  <conditionalFormatting sqref="T37">
    <cfRule type="cellIs" dxfId="4" priority="453" operator="lessThanOrEqual">
      <formula>F37</formula>
    </cfRule>
  </conditionalFormatting>
  <conditionalFormatting sqref="T40">
    <cfRule type="cellIs" dxfId="4" priority="459" operator="lessThanOrEqual">
      <formula>F40</formula>
    </cfRule>
  </conditionalFormatting>
  <conditionalFormatting sqref="T41">
    <cfRule type="cellIs" dxfId="4" priority="464" operator="lessThanOrEqual">
      <formula>F41</formula>
    </cfRule>
  </conditionalFormatting>
  <conditionalFormatting sqref="T42">
    <cfRule type="cellIs" dxfId="4" priority="469" operator="lessThanOrEqual">
      <formula>F42</formula>
    </cfRule>
  </conditionalFormatting>
  <conditionalFormatting sqref="T43">
    <cfRule type="cellIs" dxfId="4" priority="474" operator="lessThanOrEqual">
      <formula>F43</formula>
    </cfRule>
  </conditionalFormatting>
  <conditionalFormatting sqref="T9">
    <cfRule type="cellIs" dxfId="4" priority="382" operator="lessThanOrEqual">
      <formula>F9</formula>
    </cfRule>
  </conditionalFormatting>
  <conditionalFormatting sqref="U10">
    <cfRule type="cellIs" dxfId="4" priority="387" operator="lessThanOrEqual">
      <formula>G10</formula>
    </cfRule>
  </conditionalFormatting>
  <conditionalFormatting sqref="U11">
    <cfRule type="cellIs" dxfId="4" priority="393" operator="lessThanOrEqual">
      <formula>G11</formula>
    </cfRule>
  </conditionalFormatting>
  <conditionalFormatting sqref="U15">
    <cfRule type="cellIs" dxfId="4" priority="399" operator="lessThanOrEqual">
      <formula>G15</formula>
    </cfRule>
  </conditionalFormatting>
  <conditionalFormatting sqref="U20">
    <cfRule type="cellIs" dxfId="4" priority="405" operator="lessThanOrEqual">
      <formula>G20</formula>
    </cfRule>
  </conditionalFormatting>
  <conditionalFormatting sqref="U21">
    <cfRule type="cellIs" dxfId="4" priority="411" operator="lessThanOrEqual">
      <formula>G21</formula>
    </cfRule>
  </conditionalFormatting>
  <conditionalFormatting sqref="U22">
    <cfRule type="cellIs" dxfId="4" priority="417" operator="lessThanOrEqual">
      <formula>G22</formula>
    </cfRule>
  </conditionalFormatting>
  <conditionalFormatting sqref="U23">
    <cfRule type="cellIs" dxfId="4" priority="423" operator="lessThanOrEqual">
      <formula>G23</formula>
    </cfRule>
  </conditionalFormatting>
  <conditionalFormatting sqref="U28">
    <cfRule type="cellIs" dxfId="4" priority="429" operator="lessThanOrEqual">
      <formula>G28</formula>
    </cfRule>
  </conditionalFormatting>
  <conditionalFormatting sqref="U33">
    <cfRule type="cellIs" dxfId="4" priority="434" operator="lessThanOrEqual">
      <formula>G33</formula>
    </cfRule>
  </conditionalFormatting>
  <conditionalFormatting sqref="U34">
    <cfRule type="cellIs" dxfId="4" priority="440" operator="lessThanOrEqual">
      <formula>G34</formula>
    </cfRule>
  </conditionalFormatting>
  <conditionalFormatting sqref="U35">
    <cfRule type="cellIs" dxfId="4" priority="446" operator="lessThanOrEqual">
      <formula>G35</formula>
    </cfRule>
  </conditionalFormatting>
  <conditionalFormatting sqref="U37">
    <cfRule type="cellIs" dxfId="4" priority="452" operator="lessThanOrEqual">
      <formula>G37</formula>
    </cfRule>
  </conditionalFormatting>
  <conditionalFormatting sqref="U40">
    <cfRule type="cellIs" dxfId="4" priority="458" operator="lessThanOrEqual">
      <formula>G40</formula>
    </cfRule>
  </conditionalFormatting>
  <conditionalFormatting sqref="U41">
    <cfRule type="cellIs" dxfId="4" priority="463" operator="lessThanOrEqual">
      <formula>G41</formula>
    </cfRule>
  </conditionalFormatting>
  <conditionalFormatting sqref="U42">
    <cfRule type="cellIs" dxfId="4" priority="468" operator="lessThanOrEqual">
      <formula>G42</formula>
    </cfRule>
  </conditionalFormatting>
  <conditionalFormatting sqref="U43">
    <cfRule type="cellIs" dxfId="4" priority="473" operator="lessThanOrEqual">
      <formula>G43</formula>
    </cfRule>
  </conditionalFormatting>
  <conditionalFormatting sqref="U9">
    <cfRule type="cellIs" dxfId="4" priority="381" operator="lessThanOrEqual">
      <formula>G9</formula>
    </cfRule>
  </conditionalFormatting>
  <conditionalFormatting sqref="W15">
    <cfRule type="cellIs" dxfId="1" priority="481" operator="equal">
      <formula>0</formula>
    </cfRule>
    <cfRule type="cellIs" dxfId="2" priority="482" operator="lessThan">
      <formula>E15</formula>
    </cfRule>
  </conditionalFormatting>
  <conditionalFormatting sqref="W21">
    <cfRule type="cellIs" dxfId="1" priority="487" operator="equal">
      <formula>0</formula>
    </cfRule>
    <cfRule type="cellIs" dxfId="2" priority="488" operator="lessThan">
      <formula>E21</formula>
    </cfRule>
  </conditionalFormatting>
  <conditionalFormatting sqref="W22">
    <cfRule type="cellIs" dxfId="1" priority="492" operator="equal">
      <formula>0</formula>
    </cfRule>
    <cfRule type="cellIs" dxfId="2" priority="493" operator="lessThan">
      <formula>E22</formula>
    </cfRule>
  </conditionalFormatting>
  <conditionalFormatting sqref="W23">
    <cfRule type="cellIs" dxfId="1" priority="498" operator="equal">
      <formula>0</formula>
    </cfRule>
    <cfRule type="cellIs" dxfId="2" priority="499" operator="lessThan">
      <formula>E23</formula>
    </cfRule>
  </conditionalFormatting>
  <conditionalFormatting sqref="W9">
    <cfRule type="cellIs" dxfId="1" priority="475" operator="equal">
      <formula>0</formula>
    </cfRule>
    <cfRule type="cellIs" dxfId="2" priority="476" operator="lessThan">
      <formula>E9</formula>
    </cfRule>
  </conditionalFormatting>
  <conditionalFormatting sqref="X15">
    <cfRule type="expression" dxfId="3" priority="483">
      <formula>AND(X15&gt;0,X15&lt;50)</formula>
    </cfRule>
    <cfRule type="cellIs" dxfId="1" priority="484" operator="greaterThan">
      <formula>W15</formula>
    </cfRule>
  </conditionalFormatting>
  <conditionalFormatting sqref="X21">
    <cfRule type="cellIs" dxfId="1" priority="489" operator="greaterThan">
      <formula>W21</formula>
    </cfRule>
  </conditionalFormatting>
  <conditionalFormatting sqref="X22">
    <cfRule type="expression" dxfId="3" priority="494">
      <formula>AND(X22&gt;0,X22&lt;10)</formula>
    </cfRule>
    <cfRule type="cellIs" dxfId="1" priority="495" operator="greaterThan">
      <formula>W22</formula>
    </cfRule>
  </conditionalFormatting>
  <conditionalFormatting sqref="X23">
    <cfRule type="expression" dxfId="3" priority="500">
      <formula>AND(X23&gt;0,X23&lt;10)</formula>
    </cfRule>
    <cfRule type="cellIs" dxfId="1" priority="501" operator="greaterThan">
      <formula>W23</formula>
    </cfRule>
  </conditionalFormatting>
  <conditionalFormatting sqref="X9">
    <cfRule type="expression" dxfId="3" priority="477">
      <formula>AND(X9&gt;0,X9&lt;50)</formula>
    </cfRule>
    <cfRule type="cellIs" dxfId="1" priority="478" operator="greaterThan">
      <formula>W9</formula>
    </cfRule>
  </conditionalFormatting>
  <conditionalFormatting sqref="Y15">
    <cfRule type="cellIs" dxfId="4" priority="486" operator="lessThanOrEqual">
      <formula>F15</formula>
    </cfRule>
  </conditionalFormatting>
  <conditionalFormatting sqref="Y21">
    <cfRule type="cellIs" dxfId="4" priority="491" operator="lessThanOrEqual">
      <formula>F21</formula>
    </cfRule>
  </conditionalFormatting>
  <conditionalFormatting sqref="Y22">
    <cfRule type="cellIs" dxfId="4" priority="497" operator="lessThanOrEqual">
      <formula>F22</formula>
    </cfRule>
  </conditionalFormatting>
  <conditionalFormatting sqref="Y23">
    <cfRule type="cellIs" dxfId="4" priority="503" operator="lessThanOrEqual">
      <formula>F23</formula>
    </cfRule>
  </conditionalFormatting>
  <conditionalFormatting sqref="Y9">
    <cfRule type="cellIs" dxfId="4" priority="480" operator="lessThanOrEqual">
      <formula>F9</formula>
    </cfRule>
  </conditionalFormatting>
  <conditionalFormatting sqref="Z15">
    <cfRule type="cellIs" dxfId="4" priority="485" operator="lessThanOrEqual">
      <formula>G15</formula>
    </cfRule>
  </conditionalFormatting>
  <conditionalFormatting sqref="Z21">
    <cfRule type="cellIs" dxfId="4" priority="490" operator="lessThanOrEqual">
      <formula>G21</formula>
    </cfRule>
  </conditionalFormatting>
  <conditionalFormatting sqref="Z22">
    <cfRule type="cellIs" dxfId="4" priority="496" operator="lessThanOrEqual">
      <formula>G22</formula>
    </cfRule>
  </conditionalFormatting>
  <conditionalFormatting sqref="Z23">
    <cfRule type="cellIs" dxfId="4" priority="502" operator="lessThanOrEqual">
      <formula>G23</formula>
    </cfRule>
  </conditionalFormatting>
  <conditionalFormatting sqref="Z9">
    <cfRule type="cellIs" dxfId="4" priority="479" operator="lessThanOrEqual">
      <formula>G9</formula>
    </cfRule>
  </conditionalFormatting>
  <hyperlinks>
    <hyperlink ref="Q7" r:id="rId1"/>
    <hyperlink ref="AF7" r:id="rId2"/>
    <hyperlink ref="AK7" r:id="rId3"/>
    <hyperlink ref="AU7" r:id="rId4"/>
    <hyperlink ref="Q8" r:id="rId5"/>
    <hyperlink ref="AF8" r:id="rId6"/>
    <hyperlink ref="L9" r:id="rId7"/>
    <hyperlink ref="Q9" r:id="rId8"/>
    <hyperlink ref="V9" r:id="rId9"/>
    <hyperlink ref="AA9" r:id="rId10"/>
    <hyperlink ref="AF9" r:id="rId11"/>
    <hyperlink ref="AK9" r:id="rId12"/>
    <hyperlink ref="AU9" r:id="rId13"/>
    <hyperlink ref="L10" r:id="rId14"/>
    <hyperlink ref="Q10" r:id="rId15"/>
    <hyperlink ref="V10" r:id="rId16"/>
    <hyperlink ref="AF10" r:id="rId17"/>
    <hyperlink ref="AK10" r:id="rId18"/>
    <hyperlink ref="AP10" r:id="rId19"/>
    <hyperlink ref="L11" r:id="rId20"/>
    <hyperlink ref="Q11" r:id="rId21"/>
    <hyperlink ref="V11" r:id="rId22"/>
    <hyperlink ref="AF11" r:id="rId23"/>
    <hyperlink ref="AK11" r:id="rId24"/>
    <hyperlink ref="Q12" r:id="rId25"/>
    <hyperlink ref="AF12" r:id="rId26"/>
    <hyperlink ref="Q13" r:id="rId27"/>
    <hyperlink ref="AF13" r:id="rId28"/>
    <hyperlink ref="AK13" r:id="rId29"/>
    <hyperlink ref="Q14" r:id="rId30"/>
    <hyperlink ref="AF14" r:id="rId31"/>
    <hyperlink ref="AK14" r:id="rId32"/>
    <hyperlink ref="L15" r:id="rId33"/>
    <hyperlink ref="Q15" r:id="rId34"/>
    <hyperlink ref="V15" r:id="rId35"/>
    <hyperlink ref="AA15" r:id="rId36"/>
    <hyperlink ref="AF15" r:id="rId37"/>
    <hyperlink ref="AK15" r:id="rId38"/>
    <hyperlink ref="AP15" r:id="rId39"/>
    <hyperlink ref="AU15" r:id="rId40"/>
    <hyperlink ref="Q17" r:id="rId41"/>
    <hyperlink ref="AF17" r:id="rId42"/>
    <hyperlink ref="AK17" r:id="rId43"/>
    <hyperlink ref="Q18" r:id="rId44"/>
    <hyperlink ref="AF18" r:id="rId45"/>
    <hyperlink ref="AU18" r:id="rId46"/>
    <hyperlink ref="D20" r:id="rId47"/>
    <hyperlink ref="Q20" r:id="rId48"/>
    <hyperlink ref="V20" r:id="rId49"/>
    <hyperlink ref="AF20" r:id="rId50"/>
    <hyperlink ref="AK20" r:id="rId51"/>
    <hyperlink ref="D21" r:id="rId52"/>
    <hyperlink ref="L21" r:id="rId53"/>
    <hyperlink ref="Q21" r:id="rId54"/>
    <hyperlink ref="V21" r:id="rId55"/>
    <hyperlink ref="AA21" r:id="rId56"/>
    <hyperlink ref="AF21" r:id="rId57"/>
    <hyperlink ref="AK21" r:id="rId58"/>
    <hyperlink ref="AP21" r:id="rId59"/>
    <hyperlink ref="AU21" r:id="rId60"/>
    <hyperlink ref="L22" r:id="rId61"/>
    <hyperlink ref="Q22" r:id="rId62"/>
    <hyperlink ref="V22" r:id="rId63"/>
    <hyperlink ref="AA22" r:id="rId64"/>
    <hyperlink ref="AF22" r:id="rId65"/>
    <hyperlink ref="AK22" r:id="rId66"/>
    <hyperlink ref="AP22" r:id="rId67"/>
    <hyperlink ref="AU22" r:id="rId68"/>
    <hyperlink ref="L23" r:id="rId69"/>
    <hyperlink ref="Q23" r:id="rId70"/>
    <hyperlink ref="V23" r:id="rId71"/>
    <hyperlink ref="AA23" r:id="rId72"/>
    <hyperlink ref="AF23" r:id="rId73"/>
    <hyperlink ref="AK23" r:id="rId74"/>
    <hyperlink ref="AP23" r:id="rId75"/>
    <hyperlink ref="AU23" r:id="rId76"/>
    <hyperlink ref="D25" r:id="rId77"/>
    <hyperlink ref="Q25" r:id="rId78"/>
    <hyperlink ref="AF25" r:id="rId79"/>
    <hyperlink ref="AK25" r:id="rId80"/>
    <hyperlink ref="D26" r:id="rId81"/>
    <hyperlink ref="D27" r:id="rId82"/>
    <hyperlink ref="Q28" r:id="rId83"/>
    <hyperlink ref="V28" r:id="rId84"/>
    <hyperlink ref="AF28" r:id="rId85"/>
    <hyperlink ref="AK28" r:id="rId86"/>
    <hyperlink ref="Q29" r:id="rId87"/>
    <hyperlink ref="AF29" r:id="rId88"/>
    <hyperlink ref="Q30" r:id="rId89"/>
    <hyperlink ref="AF30" r:id="rId90"/>
    <hyperlink ref="AK30" r:id="rId91"/>
    <hyperlink ref="L31" r:id="rId92"/>
    <hyperlink ref="Q31" r:id="rId93"/>
    <hyperlink ref="AF31" r:id="rId94"/>
    <hyperlink ref="Q32" r:id="rId95"/>
    <hyperlink ref="AF32" r:id="rId96"/>
    <hyperlink ref="AK32" r:id="rId97"/>
    <hyperlink ref="D33" r:id="rId98"/>
    <hyperlink ref="L33" r:id="rId99"/>
    <hyperlink ref="Q33" r:id="rId100"/>
    <hyperlink ref="V33" r:id="rId101"/>
    <hyperlink ref="AF33" r:id="rId102"/>
    <hyperlink ref="AK33" r:id="rId103"/>
    <hyperlink ref="L34" r:id="rId104"/>
    <hyperlink ref="Q34" r:id="rId105"/>
    <hyperlink ref="V34" r:id="rId106"/>
    <hyperlink ref="AF34" r:id="rId107"/>
    <hyperlink ref="AK34" r:id="rId108"/>
    <hyperlink ref="AU34" r:id="rId109"/>
    <hyperlink ref="L35" r:id="rId110"/>
    <hyperlink ref="Q35" r:id="rId111"/>
    <hyperlink ref="V35" r:id="rId112"/>
    <hyperlink ref="AF35" r:id="rId113"/>
    <hyperlink ref="AK35" r:id="rId114"/>
    <hyperlink ref="AP35" r:id="rId115"/>
    <hyperlink ref="L36" r:id="rId116"/>
    <hyperlink ref="Q36" r:id="rId117"/>
    <hyperlink ref="AF36" r:id="rId118"/>
    <hyperlink ref="AK36" r:id="rId119"/>
    <hyperlink ref="Q37" r:id="rId120"/>
    <hyperlink ref="V37" r:id="rId121"/>
    <hyperlink ref="AF37" r:id="rId122"/>
    <hyperlink ref="AK37" r:id="rId123"/>
    <hyperlink ref="AF38" r:id="rId124"/>
    <hyperlink ref="D39" r:id="rId125"/>
    <hyperlink ref="L39" r:id="rId126"/>
    <hyperlink ref="Q39" r:id="rId127"/>
    <hyperlink ref="AF39" r:id="rId128"/>
    <hyperlink ref="D40" r:id="rId129"/>
    <hyperlink ref="L40" r:id="rId130"/>
    <hyperlink ref="Q40" r:id="rId131"/>
    <hyperlink ref="V40" r:id="rId132"/>
    <hyperlink ref="AF40" r:id="rId133"/>
    <hyperlink ref="AK40" r:id="rId134"/>
    <hyperlink ref="D41" r:id="rId135"/>
    <hyperlink ref="Q41" r:id="rId136"/>
    <hyperlink ref="V41" r:id="rId137"/>
    <hyperlink ref="AF41" r:id="rId138"/>
    <hyperlink ref="AK41" r:id="rId139"/>
    <hyperlink ref="AU41" r:id="rId140"/>
    <hyperlink ref="D42" r:id="rId141"/>
    <hyperlink ref="V42" r:id="rId142"/>
    <hyperlink ref="D43" r:id="rId143"/>
    <hyperlink ref="Q43" r:id="rId144"/>
    <hyperlink ref="V43" r:id="rId145"/>
    <hyperlink ref="AK43" r:id="rId146"/>
    <hyperlink ref="H45" r:id="rId147"/>
    <hyperlink ref="M45" r:id="rId148"/>
    <hyperlink ref="R45" r:id="rId149"/>
    <hyperlink ref="W45" r:id="rId150"/>
    <hyperlink ref="AB45" r:id="rId151"/>
    <hyperlink ref="AG45" r:id="rId152"/>
    <hyperlink ref="AL45" r:id="rId153"/>
    <hyperlink ref="AQ45" r:id="rId154"/>
  </hyperlinks>
  <pageMargins left="0.7" right="0.7" top="0.75" bottom="0.75" header="0.3" footer="0.3"/>
  <legacyDrawing r:id="rId1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Feeder</vt:lpstr>
      <vt:lpstr>'Feeder'!arrow_part_data</vt:lpstr>
      <vt:lpstr>'Feeder'!BoardQty</vt:lpstr>
      <vt:lpstr>'Feeder'!digikey_part_data</vt:lpstr>
      <vt:lpstr>'Feeder'!farnell_part_data</vt:lpstr>
      <vt:lpstr>'Feeder'!global_part_data</vt:lpstr>
      <vt:lpstr>'Feeder'!lcsc_part_data</vt:lpstr>
      <vt:lpstr>'Feeder'!mouser_part_data</vt:lpstr>
      <vt:lpstr>'Feeder'!newark_part_data</vt:lpstr>
      <vt:lpstr>'Feeder'!PURCHASE_DESCRIPTION</vt:lpstr>
      <vt:lpstr>'Feeder'!rs_part_data</vt:lpstr>
      <vt:lpstr>'Feeder'!tme_part_data</vt:lpstr>
      <vt:lpstr>'Feeder'!TotalCost</vt:lpstr>
      <vt:lpstr>'Feeder'!USD_GBP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2022-02-09T17:22:38Z</dcterms:created>
  <dcterms:modified xsi:type="dcterms:W3CDTF">2022-02-09T17:22:38Z</dcterms:modified>
</cp:coreProperties>
</file>