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" sheetId="1" r:id="rId1"/>
  </sheets>
  <definedNames>
    <definedName name="BoardQty" localSheetId="0">'Power'!$G$1</definedName>
    <definedName name="PURCHASE_DESCRIPTION" localSheetId="0">'Power'!$G$38</definedName>
    <definedName name="TotalCost" localSheetId="0">'Power'!$G$3</definedName>
    <definedName name="USD_GBP" localSheetId="0">'Power'!$C$38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$0.87
    50   $0.08      $4.00
   100   $0.07      $7.10
  1000   $0.06     $64.00
  3000   $0.06    $174.00</t>
        </r>
      </text>
    </comment>
    <comment ref="V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50   £0.09      £4.54
   150   £0.09     £13.63
   250   £0.06     £15.97
   500   £0.06     £27.85
  1500   £0.04     £66.60
  3000   £0.04    £118.80
 15000   £0.04    £582.00</t>
        </r>
      </text>
    </comment>
    <comment ref="AH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$0.90
    50   $0.08      $4.15
   100   $0.07      $7.30
  1000   $0.07     $66.00
 10000   $0.06    $600.00</t>
        </r>
      </text>
    </comment>
    <comment ref="AN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$0.20      $1.00
    10   $0.12      $1.18
    25   $0.11      $2.85
    50   $0.11      $5.45
   100   $0.10     $10.50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£0.04    £132.00
  9000   £0.04    £387.00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10   $0.03      $0.26
    25   $0.02      $0.58
   100   $0.02      $2.31</t>
        </r>
      </text>
    </comment>
    <comment ref="P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$0.08      $0.84
    50   $0.05      $2.37
   100   $0.04      $3.93
   500   $0.03     $13.77
  1000   $0.02     $22.79
  4000   $0.02     $77.64</t>
        </r>
      </text>
    </comment>
    <comment ref="V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£49.22     £49.22
     3  £46.09    £138.27
    10   £0.06      £0.59
   100   £0.03      £3.35
   150   £0.03      £5.03
   500   £0.03     £13.05
  1000   £0.02     £23.50
  2000   £0.02     £42.60
  4000   £0.01     £50.40
 20000   £0.01    £232.00</t>
        </r>
      </text>
    </comment>
    <comment ref="AH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$0.05      $0.48
    50   $0.05      $2.40
   100   $0.03      $2.80
  1000   $0.02     $23.00
 10000   $0.01    $150.00</t>
        </r>
      </text>
    </comment>
    <comment ref="AN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$0.12      $1.20
    25   $0.05      $1.25
    50   $0.04      $1.95
   100   $0.03      $2.80
  4000   $0.02     $68.00
  8000   $0.02    $128.00</t>
        </r>
      </text>
    </comment>
    <comment ref="AT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£56.00
 16000   £0.01    £224.00
 40000   £0.01    £520.00
100000   £0.01  £1,300.00
200000   £0.01  £2,400.00</t>
        </r>
      </text>
    </comment>
    <comment ref="AZ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£1.73
  1000   £0.01      £9.10
  4000   £0.01     £20.28
 12000   £0.00     £57.60</t>
        </r>
      </text>
    </comment>
    <comment ref="H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N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$0.94      $0.94
    10   $0.71      $7.15
    50   $0.59     $29.70
   100   $0.51     $51.15
   500   $0.40    $198.00
  1000   $0.34    $341.00</t>
        </r>
      </text>
    </comment>
    <comment ref="V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£0.84      £0.84
    10   £0.84      £8.40
    50   £0.73     £36.70
   100   £0.44     £44.20
   250   £0.40    £100.00
   500   £0.36    £178.50
  1000   £0.27    £270.00
  5000   £0.27  £1,325.00</t>
        </r>
      </text>
    </comment>
    <comment ref="AH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$1.08      $1.08
    10   $0.76      $7.63
    50   $0.76     $38.15
   100   $0.56     $56.30
  1000   $0.40    $400.00
 10000   $0.40  $4,000.00</t>
        </r>
      </text>
    </comment>
    <comment ref="AN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$1.08      $1.08
    10   $0.76      $7.63
    25   $0.70     $17.40
    50   $0.63     $31.50
   100   $0.56     $56.30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$0.51      $0.51
    10   $0.34      $3.42
    25   $0.34      $8.47
   100   $0.25     $24.55
   250   $0.24     $60.15</t>
        </r>
      </text>
    </comment>
    <comment ref="N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$0.38      $3.77
    50   $0.29     $14.26
   100   $0.25     $24.84
   500   $0.18     $92.00
  1000   $0.16    $156.40
  4000   $0.14    $552.00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 10   $0.41      $4.15
    50   $0.41     $20.75
   100   $0.27     $27.10
  1000   $0.17    $167.00
 10000   $0.12  $1,210.00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 10   $0.41      $4.15
    25   $0.37      $9.18
    50   $0.32     $15.95
   100   $0.27     $27.10</t>
        </r>
      </text>
    </comment>
    <comment ref="J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9000   $0.21  $1,872.90
 90000   $0.20 $17,568.00
900000   $0.12 $107,910.00
4500000   $0.08 $361,800.00
9000000   $0.08 $720,000.00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$2.67
   100   $0.15     $15.13
   500   $0.10     $50.08
  1000   $0.08     $76.80
  3000   $0.07    $200.34
  6000   $0.06    $360.60
 15000   $0.06    $826.95</t>
        </r>
      </text>
    </comment>
    <comment ref="V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£0.41      £2.04
    10   £0.26      £2.62
   100   £0.12     £12.40
   150   £0.12     £18.60
   500   £0.09     £42.65
  1000   £0.06     £61.90</t>
        </r>
      </text>
    </comment>
    <comment ref="AH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$0.33      $3.33
    50   $0.33     $16.65
   100   $0.19     $18.90
  1000   $0.10     $96.00
 10000   $0.07    $660.00</t>
        </r>
      </text>
    </comment>
    <comment ref="AN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$0.09      $0.47
    10   $0.07      $0.72
    25   $0.06      $1.50
    50   $0.05      $2.40
   100   $0.04      $3.70</t>
        </r>
      </text>
    </comment>
    <comment ref="AT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£0.16      £3.18
   100   £0.15     £15.00
   200   £0.14     £28.40
   500   £0.13     £67.00
  1000   £0.13    £127.00</t>
        </r>
      </text>
    </comment>
    <comment ref="AZ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£0.03      £0.68
   100   £0.03      £3.05
   500   £0.03     £13.45
  3000   £0.02     £72.60
 15000   £0.02    £337.50</t>
        </r>
      </text>
    </comment>
    <comment ref="H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$0.35  $1,049.10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$1.05      $1.05
    10   $0.94      $9.38
   100   $0.73     $73.14
   500   $0.60    $302.10
  1000   $0.53    $525.00</t>
        </r>
      </text>
    </comment>
    <comment ref="V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£1.17      £1.17
    10   £0.94      £9.39
   100   £0.66     £66.00
   500   £0.55    £275.00
  1000   £0.43    £433.00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$1.08      $1.08
    10   $0.97      $9.74
    50   $0.97     $48.70
   100   $0.76     $75.90
  1000   $0.49    $495.00
 10000   $0.46  $4,610.00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$0.39  $1,173.00
 10000   $0.38  $3,820.00</t>
        </r>
      </text>
    </comment>
    <comment ref="AT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£0.64      £6.41
   100   £0.49     £49.00
   500   £0.41    £204.00
  1000   £0.32    £322.00
  5000   £0.30  £1,515.00</t>
        </r>
      </text>
    </comment>
    <comment ref="AZ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£0.60      £0.60
     5   £0.36      £1.80
    25   £0.29      £7.25
    75   £0.27     £20.25
   300   £0.24     £72.00</t>
        </r>
      </text>
    </comment>
    <comment ref="H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1500   $1.37  $2,049.00
 15000   $1.35 $20,325.00
150000   $1.28 $192,150.00
750000   $1.23 $921,000.00
1500000   $1.23 $1,840,500.00</t>
        </r>
      </text>
    </comment>
    <comment ref="N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1500   $1.37  $2,049.49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$2.93      $2.93
    10   $2.84     $28.40
    50   $2.23    $111.50
   100   $1.83    $183.00
  1000   $1.42  $1,420.00
 10000   $1.23 $12,300.00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1500   $1.24  $1,860.00
  3000   $1.19  $3,570.00
  6000   $1.16  $6,960.00</t>
        </r>
      </text>
    </comment>
    <comment ref="H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£1.86      £1.86
    10   £1.62     £16.20
    25   £1.74     £43.50
   100   £1.48    £148.00
   250   £1.37    £342.50
   500   £1.30    £650.00
  1000   £1.24  £1,240.00</t>
        </r>
      </text>
    </comment>
    <comment ref="AN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$2.22      $2.22
    25   $2.10     $52.50
   100   $1.97    $197.00
   250   $1.85    $462.50
   500   $1.71    $855.00</t>
        </r>
      </text>
    </comment>
    <comment ref="H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</t>
        </r>
      </text>
    </comment>
    <comment ref="P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$0.51      $5.09
    25   $0.46     $11.45
    50   $0.41     $20.36
   100   $0.39     $39.03
   250   $0.36     $89.08
   500   $0.34    $169.68
  1000   $0.28    $279.97
  2500   $0.25    $636.30</t>
        </r>
      </text>
    </comment>
    <comment ref="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£0.46      £4.64
   100   £0.36     £35.90
   500   £0.32    £159.50
  1000   £0.29    £287.00
  2500   £0.27    £667.50
  5000   £0.25  £1,235.00</t>
        </r>
      </text>
    </comment>
    <comment ref="AH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$0.42      $4.19
    50   $0.30     $15.25
   100   $0.28     $28.40
  1000   $0.21    $209.00
 10000   $0.20  $2,020.00</t>
        </r>
      </text>
    </comment>
    <comment ref="AN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$0.82      $0.82
    10   $0.77      $7.67
    25   $0.69     $17.25
    50   $0.61     $30.65
   100   $0.59     $58.80
   250   $0.54    $134.00</t>
        </r>
      </text>
    </comment>
    <comment ref="H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$0.78      $7.78
    25   $0.76     $18.90
    50   $0.71     $35.55
   100   $0.64     $63.90
   250   $0.63    $157.50
   500   $0.59    $294.75
  1000   $0.59    $586.30</t>
        </r>
      </text>
    </comment>
    <comment ref="T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£2.27      £2.27
    10   £2.27     £22.70
    50   £0.95     £47.35
   100   £0.83     £82.80
   250   £0.74    £184.00
   500   £0.68    £338.50
  1000   £0.65    £649.00
  5000   £0.62  £3,100.00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H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$0.71      $7.11
    50   $0.71     $35.55
   100   $0.63     $63.00
  1000   $0.58    $585.00
 10000   $0.55  $5,480.00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$1.26      $1.26
    10   $1.03     $10.30
    25   $0.95     $23.82
    50   $0.87     $43.70
   100   $0.80     $79.50
   250   $0.74    $185.00
   500   $0.68    $342.00</t>
        </r>
      </text>
    </comment>
    <comment ref="P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$6.93      $6.93
    10   $6.80     $68.04
    50   $6.05    $302.40
   100   $5.04    $504.00</t>
        </r>
      </text>
    </comment>
    <comment ref="T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£6.54      £6.54
     5   £6.27     £31.35
    10   £5.15     £51.50
    20   £4.82     £96.40
    40   £4.48    £179.20
   100   £3.90    £390.00
   500   £3.46  £1,730.00</t>
        </r>
      </text>
    </comment>
    <comment ref="AH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$7.17      $7.17
    10   $7.05     $70.50
    50   $6.26    $313.00
   100   $5.21    $521.00
  1000   $4.69  $4,690.00
 10000   $4.69 $46,900.00</t>
        </r>
      </text>
    </comment>
    <comment ref="AL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$8.72      $8.72
    10   $8.58     $85.80
    25   $8.15    $203.75
    50   $7.72    $386.00</t>
        </r>
      </text>
    </comment>
    <comment ref="AT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£5.39      £5.39
    10   £5.20     £52.00
    20   £4.94     £98.80
    50   £4.63    £231.50
   100   £3.85    £385.00</t>
        </r>
      </text>
    </comment>
    <comment ref="H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2500   $1.00  $2,500.00
 25000   $0.98 $24,550.00
250000   $0.87 $217,025.00
1250000   $0.79 $988,875.00
2500000   $0.79 $1,974,000.00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$2.65      $2.65
    10   $2.38     $23.83
    25   $2.25     $56.19
   100   $1.92    $191.50
   500   $1.57    $786.69
  1000   $1.37  $1,368.15
  2500   $1.37  $3,420.38</t>
        </r>
      </text>
    </comment>
    <comment ref="T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£2.74      £2.74
    10   £1.95     £19.50
   100   £1.55    £155.00
   150   £1.55    £232.50
   500   £1.35    £675.00
  1000   £1.15  £1,150.00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H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$2.66      $2.66
    10   $2.39     $23.90
    50   $2.25    $112.50
   100   $1.98    $198.00
  1000   $1.42  $1,420.00
 10000   $1.36 $13,600.00</t>
        </r>
      </text>
    </comment>
    <comment ref="AL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$2.89      $2.89
    10   $2.45     $24.50
    25   $2.28     $57.00
    50   $2.09    $104.50
   100   $1.91    $191.00</t>
        </r>
      </text>
    </comment>
    <comment ref="H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$0.73
   100   $0.03      $2.99
  1000   $0.01     $13.41
  2500   $0.01     $29.10
  5000   $0.01     $48.05</t>
        </r>
      </text>
    </comment>
    <comment ref="V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£0.08      £0.08
    10   £0.05      £0.48
    25   £0.06      £1.38
    50   £0.04      £1.91
   100   £0.03      £2.93
   150   £0.03      £4.62
   250   £0.02      £5.70
   500   £0.02     £10.85
  1000   £0.01     £12.50
  2500   £0.01     £23.25
  5000   £0.01     £45.50
 25000   £0.01    £222.50</t>
        </r>
      </text>
    </comment>
    <comment ref="AH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$0.51
    50   $0.05      $2.55
   100   $0.03      $2.60
  1000   $0.01     $11.00
 10000   $0.01     $90.00</t>
        </r>
      </text>
    </comment>
    <comment ref="AN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$0.01      $0.20
    50   $0.01      $0.40
   100   $0.01      $0.80
   250   $0.01      $2.00
   500   $0.01      $4.00
  5000   $0.01     $50.00
 10000   $0.01     $90.00</t>
        </r>
      </text>
    </comment>
    <comment ref="J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$41.00
 50000   $0.01    $380.00
500000   $0.00  $2,050.00
2500000   $0.00  $6,500.00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25   $0.02      $0.59
    50   $0.02      $0.89
   100   $0.01      $1.32
   250   $0.01      $2.51
   500   $0.01      $4.01
  1000   $0.01      $5.91
  5000   $0.00     $21.20
 10000   $0.00     $36.80
 25000   $0.00     $80.75
 50000   $0.00    $151.50</t>
        </r>
      </text>
    </comment>
    <comment ref="AH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$0.01      $1.30
  1000   $0.01      $7.00
 10000   $0.00     $40.00</t>
        </r>
      </text>
    </comment>
    <comment ref="AX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Z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£1.91
  1000   £0.01      £5.15
  5000   £0.00     £11.45
 15000   £0.00     £32.10
 50000   £0.00    £102.00</t>
        </r>
      </text>
    </comment>
    <comment ref="H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$34.50
 50000   $0.01    $320.00
500000   $0.00  $1,750.00
2500000   $0.00  $5,500.00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$0.42
   100   $0.02      $1.69
  1000   $0.01      $7.59
  2500   $0.01     $16.48
  5000   $0.01     $27.20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£0.31
   100   £0.01      £1.14
   150   £0.01      £1.71
   500   £0.01      £5.40
  1000   £0.01      £7.00
  2500   £0.01     £16.00
  5000   £0.01     £32.00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$0.04      $1.75
   100   $0.01      $1.30
  1000   $0.01      $7.00
 10000   $0.00     $40.00</t>
        </r>
      </text>
    </comment>
    <comment ref="AN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$0.31
    25   $0.02      $0.60
    50   $0.02      $0.90
   100   $0.01      $1.10
  5000   $0.01     $30.00</t>
        </r>
      </text>
    </comment>
    <comment ref="AT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£20.00</t>
        </r>
      </text>
    </comment>
    <comment ref="AX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Z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£3.62
  1000   £0.02     £15.74
  5000   £0.01     £30.75
 15000   £0.00     £71.70
 50000   £0.00    £205.00</t>
        </r>
      </text>
    </comment>
    <comment ref="J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$26.50
100000   $0.00    $430.00</t>
        </r>
      </text>
    </comment>
    <comment ref="P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$0.42
   100   $0.02      $1.69
  1000   $0.01      $7.59
  2500   $0.01     $16.48
  5000   $0.01     $27.20</t>
        </r>
      </text>
    </comment>
    <comment ref="T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£0.31
   100   £0.01      £1.14
   150   £0.01      £1.71
   500   £0.01      £5.40
  1000   £0.01      £7.00
  2500   £0.01     £16.00
  5000   £0.01     £32.00</t>
        </r>
      </text>
    </comment>
    <comment ref="AH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$1.30
  1000   $0.01      $7.00
 10000   $0.01     $50.00</t>
        </r>
      </text>
    </comment>
    <comment ref="AN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$0.31
    25   $0.02      $0.60
    50   $0.02      $0.90
   100   $0.01      $1.10
  5000   $0.01     $30.00</t>
        </r>
      </text>
    </comment>
    <comment ref="AT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£20.00</t>
        </r>
      </text>
    </comment>
    <comment ref="AZ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£3.63
  1000   £0.02     £15.74
  5000   £0.01     £30.75
 15000   £0.00     £71.70
 50000   £0.00    £205.00</t>
        </r>
      </text>
    </comment>
    <comment ref="N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$0.02     $85.85</t>
        </r>
      </text>
    </comment>
    <comment ref="V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£0.59
   100   £0.04      £3.83
   150   £0.04      £5.75
   500   £0.03     £12.65
  1000   £0.02     £16.90
  2500   £0.02     £39.75
  5000   £0.01     £75.00
 25000   £0.01    £372.50</t>
        </r>
      </text>
    </comment>
    <comment ref="AH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$0.08      $0.77
    50   $0.06      $3.20
   100   $0.04      $4.30
  1000   $0.02     $20.00
 10000   $0.02    $200.00</t>
        </r>
      </text>
    </comment>
    <comment ref="AN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$0.08      $0.79
    25   $0.07      $1.82
    50   $0.07      $3.30
   100   $0.05      $4.60</t>
        </r>
      </text>
    </comment>
    <comment ref="AT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£1.30
  1000   £0.03     £28.00</t>
        </r>
      </text>
    </comment>
    <comment ref="H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25000   $0.01    $330.00
250000   $0.01  $3,050.00
2500000   $0.01 $16,750.00</t>
        </r>
      </text>
    </comment>
    <comment ref="N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25000   $0.01    $125.00</t>
        </r>
      </text>
    </comment>
    <comment ref="AH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$1.40
  1000   $0.01      $8.00
 10000   $0.00     $40.00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25000   $0.00    $100.00</t>
        </r>
      </text>
    </comment>
    <comment ref="AT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£0.03      £1.45
   750   £0.01      £9.75
  5000   £0.01     £35.00</t>
        </r>
      </text>
    </comment>
    <comment ref="J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$0.00     $24.00</t>
        </r>
      </text>
    </comment>
    <comment ref="P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$0.42
   100   $0.02      $1.69
  1000   $0.01      $7.59
  2500   $0.01     $16.48
  5000   $0.01     $27.20</t>
        </r>
      </text>
    </comment>
    <comment ref="V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£0.36
   100   £0.01      £1.30
   150   £0.01      £1.95
   500   £0.01      £6.15
  1000   £0.01      £8.00
  2500   £0.01     £18.25
  5000   £0.01     £36.00
 25000   £0.01    £132.50</t>
        </r>
      </text>
    </comment>
    <comment ref="AH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 50   $0.04      $1.80
   100   $0.01      $1.20
  1000   $0.01      $7.00
 10000   $0.00     $40.00</t>
        </r>
      </text>
    </comment>
    <comment ref="AN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$0.31
    25   $0.02      $0.60
    50   $0.02      $0.90
   100   $0.01      $1.10
  5000   $0.01     $50.00
 10000   $0.01     $70.00</t>
        </r>
      </text>
    </comment>
    <comment ref="AT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£0.01     £50.00</t>
        </r>
      </text>
    </comment>
    <comment ref="AZ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£1.17
  1000   £0.00      £2.75
  5000   £0.00      £9.65
 15000   £0.00     £27.45
 50000   £0.00     £88.50</t>
        </r>
      </text>
    </comment>
    <comment ref="H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$0.06    $298.50
 50000   $0.05  $2,745.00
500000   $0.03 $14,200.00
2500000   $0.02 $41,250.00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$0.17      $1.72
   100   $0.07      $6.73
  1000   $0.03     $28.15
  2500   $0.03     $64.53
  5000   $0.02    $117.30</t>
        </r>
      </text>
    </comment>
    <comment ref="V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£0.10      £0.10
    10   £0.07      £0.70
    25   £0.07      £1.64
    50   £0.05      £2.56
   100   £0.04      £3.73
   150   £0.05      £7.35
   250   £0.03      £8.50
   500   £0.03     £16.00
  1000   £0.03     £31.00
  2500   £0.03     £70.00
  5000   £0.02    £115.00</t>
        </r>
      </text>
    </comment>
    <comment ref="AH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$0.08      $0.79
    50   $0.08      $3.95
   100   $0.04      $4.50
  1000   $0.02     $23.00
 10000   $0.02    $180.00</t>
        </r>
      </text>
    </comment>
    <comment ref="AN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25   $0.08      $1.98
    50   $0.06      $3.10
   100   $0.04      $4.50
   250   $0.04     $10.25
   500   $0.04     $18.00
  5000   $0.02     $95.00
 10000   $0.02    $180.00</t>
        </r>
      </text>
    </comment>
    <comment ref="H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$0.17    $835.50
 50000   $0.10  $4,765.00
500000   $0.06 $28,500.00</t>
        </r>
      </text>
    </comment>
    <comment ref="AH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$0.14      $1.45
    50   $0.13      $6.30
   100   $0.12     $11.60
  1000   $0.08     $78.00
 10000   $0.08    $780.00</t>
        </r>
      </text>
    </comment>
    <comment ref="H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$0.18    $877.50
 50000   $0.16  $8,170.00
500000   $0.09 $46,250.00
2500000   $0.05 $137,250.00
5000000   $0.05 $272,500.00</t>
        </r>
      </text>
    </comment>
    <comment ref="N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$0.05    $270.00
 10000   $0.05    $532.00</t>
        </r>
      </text>
    </comment>
    <comment ref="AH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$0.32      $3.18
    50   $0.32     $15.90
   100   $0.13     $13.30
  1000   $0.07     $73.00
 10000   $0.05    $520.00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$0.06    $285.00
 10000   $0.06    $560.00
 20000   $0.06  $1,100.00
 30000   $0.05  $1,620.00
 50000   $0.05  $2,600.00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$0.26      $2.59
   100   $0.10     $10.35
  1000   $0.05     $51.00
  2500   $0.05    $118.12
  5000   $0.04    $213.75
 10000   $0.04    $408.00
 25000   $0.04    $997.50</t>
        </r>
      </text>
    </comment>
    <comment ref="AH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$0.30      $2.99
    50   $0.30     $14.95
   100   $0.12     $11.90
  1000   $0.06     $58.00
 10000   $0.04    $420.00</t>
        </r>
      </text>
    </comment>
    <comment ref="H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$0.03    $174.00
 10000   $0.03    $329.00
 25000   $0.03    $800.00</t>
        </r>
      </text>
    </comment>
    <comment ref="P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$0.26      $2.62
   100   $0.10     $10.23
  1000   $0.04     $42.84
  2500   $0.04     $98.17
  5000   $0.04    $178.50
 10000   $0.03    $333.20
 25000   $0.03    $809.25</t>
        </r>
      </text>
    </comment>
    <comment ref="V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£0.21      £2.15
   100   £0.09      £9.03
   500   £0.07     £34.00
  1000   £0.03     £32.30
  2500   £0.03     £75.75
  5000   £0.03    £144.50
 25000   £0.03    £692.50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$0.07      $0.35
    50   $0.05      $2.59
   150   $0.05      $7.26
   500   $0.04     $22.45
  2500   $0.04    $108.50
  5000   $0.04    $213.00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$0.22      $2.21
    50   $0.22     $11.05
   100   $0.12     $11.80
  1000   $0.04     $45.00
 10000   $0.04    $350.00</t>
        </r>
      </text>
    </comment>
    <comment ref="AN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$0.22      $2.21
    25   $0.19      $4.67
    50   $0.15      $7.60
   100   $0.12     $11.80
  5000   $0.07    $345.00
 10000   $0.06    $570.00
 20000   $0.05  $1,020.00
 30000   $0.05  $1,440.00
 50000   $0.04  $2,100.00</t>
        </r>
      </text>
    </comment>
    <comment ref="AT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£0.27      £1.34
    50   £0.17      £8.40
   250   £0.09     £22.50
  1250   £0.04     £47.50
  2500   £0.03     £85.00</t>
        </r>
      </text>
    </comment>
    <comment ref="AZ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£0.78
   100   £0.05      £4.76
  1000   £0.03     £31.88
  5000   £0.03    £137.75</t>
        </r>
      </text>
    </comment>
    <comment ref="H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$4.25 $12,750.00
 30000   $3.96 $118,770.00
300000   $2.31 $692,100.00
1500000   $1.52 $2,280,000.00
3000000   $1.51 $4,545,000.00</t>
        </r>
      </text>
    </comment>
    <comment ref="N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$4.25      $4.25
     5   $3.75     $18.75
    10   $3.31     $33.12
    25   $2.69     $67.19
    50   $2.38    $118.75
   100   $2.31    $231.25
   500   $1.94    $968.75
  1000   $1.81  $1,812.50
  3000   $1.75  $5,250.00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$2.54  $7,620.00</t>
        </r>
      </text>
    </comment>
    <comment ref="H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N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$5.64      $5.64
     5   $4.98     $24.90
    10   $4.40     $43.99
    25   $3.57     $89.22
    50   $3.15    $157.70
   100   $3.07    $307.10
   500   $2.57  $1,286.50
  1000   $2.41  $2,407.00
  3000   $2.32  $6,972.00</t>
        </r>
      </text>
    </comment>
    <comment ref="T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£4.31      £4.31
    10   £3.81     £38.10
    25   £3.09     £77.25
    50   £2.73    £136.50
   100   £2.65    £265.00
   250   £2.44    £610.00
   500   £2.23  £1,115.00
  1000   £2.09  £2,090.00
  3000   £1.97  £5,910.00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$2.32  $6,960.00</t>
        </r>
      </text>
    </comment>
    <comment ref="AT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£6.26      £6.26
    25   £3.96     £99.00
   100   £3.40    £340.00
   250   £3.13    £782.50
   500   £2.84  £1,420.00</t>
        </r>
      </text>
    </comment>
    <comment ref="AX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Z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£2.55      £2.55
     5   £2.31     £11.55
    25   £2.06     £51.50
   100   £1.91    £191.00
   500   £1.81    £905.00</t>
        </r>
      </text>
    </comment>
    <comment ref="H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1000   $6.18  $6,180.00
 10000   $5.80 $57,980.00
100000   $3.66 $365,800.00
500000   $2.67 $1,336,000.00
1000000   $2.67 $2,666,000.00</t>
        </r>
      </text>
    </comment>
    <comment ref="N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$6.18      $6.18
    10   $5.55     $55.50
    25   $5.25    $131.18
   100   $4.55    $454.74
   250   $4.31  $1,078.55
   500   $3.87  $1,935.56
  1000   $3.67  $3,674.00</t>
        </r>
      </text>
    </comment>
    <comment ref="AF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H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$6.18      $6.18
    10   $5.56     $55.60
    50   $5.25    $262.50
   100   $4.55    $455.00
  1000   $3.67  $3,670.00
 10000   $3.67 $36,700.00</t>
        </r>
      </text>
    </comment>
    <comment ref="H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$5.55      $5.55
    10   $4.94     $49.36
    25   $4.88    $121.97
    50   $4.55    $227.50
   100   $4.00    $400.20
   250   $3.85    $963.75
   500   $2.92  $1,460.50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$5.63      $5.63
    10   $5.06     $50.56
    25   $4.78    $119.49
   100   $4.14    $414.23
   250   $3.93    $982.46
   500   $3.53  $1,763.12
  1000   $3.35  $3,346.68</t>
        </r>
      </text>
    </comment>
    <comment ref="T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£5.13      £5.13
    10   £4.18     £41.80
    25   £4.06    £101.50
    50   £3.94    £197.00
   100   £3.41    £341.00
   250   £3.23    £807.50
   500   £2.90  £1,450.00</t>
        </r>
      </text>
    </comment>
    <comment ref="AH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$5.63      $5.63
    10   $5.06     $50.60
    50   $4.77    $238.50
   100   $4.14    $414.00
  1000   $3.20  $3,200.00
 10000   $2.90 $29,000.00</t>
        </r>
      </text>
    </comment>
    <comment ref="AN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$1.06     $10.60
    25   $1.06     $26.50
    50   $1.06     $53.00
   100   $1.06    $106.00
   150   $4.22    $633.00
   250   $4.17  $1,042.50</t>
        </r>
      </text>
    </comment>
    <comment ref="AT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£4.76      £4.76
     5   £4.57     £22.85
    10   £4.43     £44.30
    15   £4.28     £64.20
    25   £4.19    £104.75</t>
        </r>
      </text>
    </comment>
    <comment ref="H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250   $0.60    $150.00
  2500   $0.59  $1,467.75
 25000   $0.51 $12,795.00
125000   $0.47 $59,025.00
250000   $0.47 $117,950.00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$1.41      $1.41
    10   $1.26     $12.63
    25   $1.20     $29.98
   100   $0.98     $98.50
   250   $0.92    $230.18
   500   $0.81    $406.83
  1000   $0.67    $674.68</t>
        </r>
      </text>
    </comment>
    <comment ref="V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£1.28      £1.28
    10   £1.07     £10.70
    50   £0.90     £45.00
   100   £0.73     £73.40
   250   £0.65    £162.00
   500   £0.61    £307.00
  1000   £0.56    £564.00
  2500   £0.51  £1,285.00</t>
        </r>
      </text>
    </comment>
    <comment ref="AH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$1.41      $1.41
    10   $1.27     $12.70
    50   $1.20     $60.00
   100   $0.92     $92.10
  1000   $0.61    $606.00
 10000   $0.56  $5,650.00</t>
        </r>
      </text>
    </comment>
    <comment ref="AN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$1.89      $1.89
    10   $1.79     $17.90
    25   $1.68     $42.00
    50   $1.59     $79.50
   100   $1.49    $149.00</t>
        </r>
      </text>
    </comment>
    <comment ref="AT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£1.02      £5.10
    50   £0.81     £40.60
   250   £0.62    £155.50
   500   £0.55    £274.00
  1000   £0.50    £504.00</t>
        </r>
      </text>
    </comment>
    <comment ref="F3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<sst xmlns="http://schemas.openxmlformats.org/spreadsheetml/2006/main" count="548" uniqueCount="264">
  <si>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</si>
  <si>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</si>
  <si>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</si>
  <si>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</si>
  <si>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</si>
  <si>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</si>
  <si>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</si>
  <si>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</si>
  <si>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C1,C5,C22</t>
  </si>
  <si>
    <t>1nF</t>
  </si>
  <si>
    <t>C_0805_2012Metric</t>
  </si>
  <si>
    <t>885382207004</t>
  </si>
  <si>
    <t>C2,C4,C24,C27-C38</t>
  </si>
  <si>
    <t>100nF</t>
  </si>
  <si>
    <t>CC0805KRX7R9BB104</t>
  </si>
  <si>
    <t>C3,C6-C10,C13-C21,C23,C25,C26</t>
  </si>
  <si>
    <t>4.7uF</t>
  </si>
  <si>
    <t>C_1210_3225Metric</t>
  </si>
  <si>
    <t>12101C475K4Z2A</t>
  </si>
  <si>
    <t>C11,C12</t>
  </si>
  <si>
    <t>1210PC104KAT1A</t>
  </si>
  <si>
    <t>D2-D5</t>
  </si>
  <si>
    <t>STPS0520Z</t>
  </si>
  <si>
    <t>D_SOD-123</t>
  </si>
  <si>
    <t>D_H1,D_H2,D_L1,D_L2</t>
  </si>
  <si>
    <t>STTH1002CB</t>
  </si>
  <si>
    <t>TO-252-2</t>
  </si>
  <si>
    <t>F1-F4</t>
  </si>
  <si>
    <t>Nano2 fuse holder</t>
  </si>
  <si>
    <t>Fuse_holder_omni_blok</t>
  </si>
  <si>
    <t>0154008.DRL</t>
  </si>
  <si>
    <t>J1,J2,J4,J5</t>
  </si>
  <si>
    <t>2604-1102</t>
  </si>
  <si>
    <t>WAGO-2604-1102</t>
  </si>
  <si>
    <t>J3,J6-J34</t>
  </si>
  <si>
    <t>Conn_01x01</t>
  </si>
  <si>
    <t>0906_millmax</t>
  </si>
  <si>
    <t>0906-0-15-20-76-14-11-0</t>
  </si>
  <si>
    <t>JP1-JP10</t>
  </si>
  <si>
    <t>THJP0612AST</t>
  </si>
  <si>
    <t>R_0612_1632Metric</t>
  </si>
  <si>
    <t>THJP0612AST1</t>
  </si>
  <si>
    <t>L1,L2</t>
  </si>
  <si>
    <t>47uH</t>
  </si>
  <si>
    <t>WE-HCF-2013</t>
  </si>
  <si>
    <t>7443634700</t>
  </si>
  <si>
    <t>Q1-Q5</t>
  </si>
  <si>
    <t>IPD200N15N3</t>
  </si>
  <si>
    <t>IPD200N15N3GATMA1</t>
  </si>
  <si>
    <t>R1,R2,R5,R6</t>
  </si>
  <si>
    <t>2,2</t>
  </si>
  <si>
    <t>R_0805_2012Metric</t>
  </si>
  <si>
    <t>CR0805AF/-2R20EAS</t>
  </si>
  <si>
    <t>R3,R4,R33,R34</t>
  </si>
  <si>
    <t>0</t>
  </si>
  <si>
    <t>RC0805FR-070RL</t>
  </si>
  <si>
    <t>R7-R12</t>
  </si>
  <si>
    <t>27k</t>
  </si>
  <si>
    <t>RC0805FR-0727KL</t>
  </si>
  <si>
    <t>R13-R18</t>
  </si>
  <si>
    <t>12k</t>
  </si>
  <si>
    <t>RC0805FR-0712KL</t>
  </si>
  <si>
    <t>R19-R24</t>
  </si>
  <si>
    <t>200k</t>
  </si>
  <si>
    <t>ERJ6RED2003V</t>
  </si>
  <si>
    <t>R25-R30</t>
  </si>
  <si>
    <t>82k</t>
  </si>
  <si>
    <t>CR0805-FX-8202ELF</t>
  </si>
  <si>
    <t>R31,R32,R35,R36</t>
  </si>
  <si>
    <t>1k</t>
  </si>
  <si>
    <t>RC0805FR-071KL</t>
  </si>
  <si>
    <t>Rbleed1,Rbleed2</t>
  </si>
  <si>
    <t>1M</t>
  </si>
  <si>
    <t>CMP0805-FX-1004ELF</t>
  </si>
  <si>
    <t>Rv1,Rv3</t>
  </si>
  <si>
    <t>150K</t>
  </si>
  <si>
    <t>PCF-W0805LF-03-1503-B-P-LT</t>
  </si>
  <si>
    <t>Rv2,Rv4</t>
  </si>
  <si>
    <t>470</t>
  </si>
  <si>
    <t>TNPW0805470RDEEA</t>
  </si>
  <si>
    <t>Rv5</t>
  </si>
  <si>
    <t>330K</t>
  </si>
  <si>
    <t>RG2012P-334-B-T5</t>
  </si>
  <si>
    <t>Rv6</t>
  </si>
  <si>
    <t>5.6K</t>
  </si>
  <si>
    <t>ERA-6AEB562V</t>
  </si>
  <si>
    <t>U1,U4</t>
  </si>
  <si>
    <t>ACS730xLCTR-20AB</t>
  </si>
  <si>
    <t>SOIC-8_3.9x4.9mm_P1.27mm</t>
  </si>
  <si>
    <t>ACS730KLCTR-20AB-T</t>
  </si>
  <si>
    <t>U3</t>
  </si>
  <si>
    <t>ACS712xLCTR-20A</t>
  </si>
  <si>
    <t>ACS712ELCTR-20A-T</t>
  </si>
  <si>
    <t>U5</t>
  </si>
  <si>
    <t>AMC1311</t>
  </si>
  <si>
    <t>SOIC-8_7.5x5.85mm_P1.27mm</t>
  </si>
  <si>
    <t>AMC1311DWVR</t>
  </si>
  <si>
    <t>U6,U7</t>
  </si>
  <si>
    <t>AMC1100DUB</t>
  </si>
  <si>
    <t>SOP-8_6.62x9.15mm_P2.54mm</t>
  </si>
  <si>
    <t>U8-U13</t>
  </si>
  <si>
    <t>OPA316</t>
  </si>
  <si>
    <t>SOT-353_SC-70-5</t>
  </si>
  <si>
    <t>OPA316IDCKT</t>
  </si>
  <si>
    <t>Arrow</t>
  </si>
  <si>
    <t>Avail</t>
  </si>
  <si>
    <t>Purch</t>
  </si>
  <si>
    <t>MOQ</t>
  </si>
  <si>
    <t>Cat#</t>
  </si>
  <si>
    <t>NonStk</t>
  </si>
  <si>
    <t>26041102</t>
  </si>
  <si>
    <t>0906015207614110</t>
  </si>
  <si>
    <t>CR0805AF/2R20EAS</t>
  </si>
  <si>
    <t>RC0805FR07 0RL</t>
  </si>
  <si>
    <t>RC0805FR0727KL</t>
  </si>
  <si>
    <t>RC0805FR0712KL</t>
  </si>
  <si>
    <t>CR0805FX8202ELF</t>
  </si>
  <si>
    <t>RC0805FR071KL</t>
  </si>
  <si>
    <t>CMP0805FX1004ELF</t>
  </si>
  <si>
    <t>PCFW0805LF031503BPLT</t>
  </si>
  <si>
    <t>ERA6AEB562V</t>
  </si>
  <si>
    <t>ACS730KLCTR20ABT</t>
  </si>
  <si>
    <t>ACS712ELCTR20AT</t>
  </si>
  <si>
    <t>Buy here</t>
  </si>
  <si>
    <t>Digi-Key</t>
  </si>
  <si>
    <t>732-13192-1-ND</t>
  </si>
  <si>
    <t>311-1140-1-ND</t>
  </si>
  <si>
    <t>478-12101C475K4Z2ACT-ND</t>
  </si>
  <si>
    <t>478-3982-1-ND</t>
  </si>
  <si>
    <t>497-3205-1-ND</t>
  </si>
  <si>
    <t>497-3536-5-ND</t>
  </si>
  <si>
    <t>0154008.DRL-ND</t>
  </si>
  <si>
    <t>ED8180-ND</t>
  </si>
  <si>
    <t>764-THJP0612AST1CT-ND</t>
  </si>
  <si>
    <t>732-2525-1-ND</t>
  </si>
  <si>
    <t>IPD200N15N3GATMA1CT-ND</t>
  </si>
  <si>
    <t>CR0805AF/-2R20EASCT-ND</t>
  </si>
  <si>
    <t>311-0.0CRCT-ND</t>
  </si>
  <si>
    <t>311-27.0KCRCT-ND</t>
  </si>
  <si>
    <t>311-12.0KCRCT-ND</t>
  </si>
  <si>
    <t>ERJ-6RED2003V-ND</t>
  </si>
  <si>
    <t>CR0805-FX-8202ELF-ND</t>
  </si>
  <si>
    <t>311-1.00KCRCT-ND</t>
  </si>
  <si>
    <t>118-CMP0805-FX-1004ELFCT-ND</t>
  </si>
  <si>
    <t>TNPW0805470RDEEA-ND</t>
  </si>
  <si>
    <t>RG20P330KBCT-ND</t>
  </si>
  <si>
    <t>P5.6KDACT-ND</t>
  </si>
  <si>
    <t>620-1792-1-ND</t>
  </si>
  <si>
    <t>620-1190-1-ND</t>
  </si>
  <si>
    <t>296-50939-1-ND</t>
  </si>
  <si>
    <t>296-30434-5-ND</t>
  </si>
  <si>
    <t>296-37785-1-ND</t>
  </si>
  <si>
    <t>Farnell</t>
  </si>
  <si>
    <t>2985614</t>
  </si>
  <si>
    <t>1362416</t>
  </si>
  <si>
    <t>2834944</t>
  </si>
  <si>
    <t>1467545</t>
  </si>
  <si>
    <t>9935827</t>
  </si>
  <si>
    <t>3577796</t>
  </si>
  <si>
    <t>2668369</t>
  </si>
  <si>
    <t>3596889</t>
  </si>
  <si>
    <t>1869768</t>
  </si>
  <si>
    <t>1775587</t>
  </si>
  <si>
    <t>3217912</t>
  </si>
  <si>
    <t>9237801</t>
  </si>
  <si>
    <t>9237763</t>
  </si>
  <si>
    <t>2380505</t>
  </si>
  <si>
    <t>9237496</t>
  </si>
  <si>
    <t>3494529</t>
  </si>
  <si>
    <t>1577668</t>
  </si>
  <si>
    <t>1329624</t>
  </si>
  <si>
    <t>3118104</t>
  </si>
  <si>
    <t>3004956</t>
  </si>
  <si>
    <t>LCSC</t>
  </si>
  <si>
    <t>C445654</t>
  </si>
  <si>
    <t>Mouser</t>
  </si>
  <si>
    <t>710885382207004</t>
  </si>
  <si>
    <t>603CC805KRX7R9BB104</t>
  </si>
  <si>
    <t>58112101C475K4Z2A</t>
  </si>
  <si>
    <t>5811210PC104K</t>
  </si>
  <si>
    <t>511STPS0520Z</t>
  </si>
  <si>
    <t>511STTH1002CB</t>
  </si>
  <si>
    <t>5760154008.DRL</t>
  </si>
  <si>
    <t>575906015</t>
  </si>
  <si>
    <t>71THJP0612AST1</t>
  </si>
  <si>
    <t>7107443634700</t>
  </si>
  <si>
    <t>726IPD200N15N3GA</t>
  </si>
  <si>
    <t>652CR0805AF/2R20EAS</t>
  </si>
  <si>
    <t>603RC0805FR070RL</t>
  </si>
  <si>
    <t>603RC0805FR0727KL</t>
  </si>
  <si>
    <t>603RC0805FR0712KL</t>
  </si>
  <si>
    <t>667ERJ6RED2003V</t>
  </si>
  <si>
    <t>652CR0805FX8202ELF</t>
  </si>
  <si>
    <t>603RC0805FR071KL</t>
  </si>
  <si>
    <t>652CMP0805FX1004L</t>
  </si>
  <si>
    <t>66PCFW0805LF031503B</t>
  </si>
  <si>
    <t>71TNPW0805470RDEEA</t>
  </si>
  <si>
    <t>754RG2012P334BT5</t>
  </si>
  <si>
    <t>667ERA6AEB562V</t>
  </si>
  <si>
    <t>595AMC1311DWVR</t>
  </si>
  <si>
    <t>595AMC1100DUB</t>
  </si>
  <si>
    <t>595OPA316IDCKT</t>
  </si>
  <si>
    <t>Newark</t>
  </si>
  <si>
    <t>85AC2734</t>
  </si>
  <si>
    <t>69C9531</t>
  </si>
  <si>
    <t>47AC9973</t>
  </si>
  <si>
    <t>18M3618</t>
  </si>
  <si>
    <t>59M2195</t>
  </si>
  <si>
    <t>84AC2938</t>
  </si>
  <si>
    <t>64R7809</t>
  </si>
  <si>
    <t>44AC1052</t>
  </si>
  <si>
    <t>84K5081</t>
  </si>
  <si>
    <t>14AJ2737</t>
  </si>
  <si>
    <t>32T8581</t>
  </si>
  <si>
    <t>60R2704</t>
  </si>
  <si>
    <t>16AH0600</t>
  </si>
  <si>
    <t>98K7821</t>
  </si>
  <si>
    <t>98K7787</t>
  </si>
  <si>
    <t>85Y9551</t>
  </si>
  <si>
    <t>32K3327</t>
  </si>
  <si>
    <t>82K7536</t>
  </si>
  <si>
    <t>76AH2261</t>
  </si>
  <si>
    <t>05R1967</t>
  </si>
  <si>
    <t>62W9099</t>
  </si>
  <si>
    <t>84Y9025</t>
  </si>
  <si>
    <t>31M3133</t>
  </si>
  <si>
    <t>34AH0229</t>
  </si>
  <si>
    <t>28AH4546</t>
  </si>
  <si>
    <t>RS Components</t>
  </si>
  <si>
    <t>1855187</t>
  </si>
  <si>
    <t>6698842</t>
  </si>
  <si>
    <t>249959</t>
  </si>
  <si>
    <t>7146904</t>
  </si>
  <si>
    <t>7445062</t>
  </si>
  <si>
    <t>1995691</t>
  </si>
  <si>
    <t>1995652</t>
  </si>
  <si>
    <t>8101971</t>
  </si>
  <si>
    <t>7409053</t>
  </si>
  <si>
    <t>6183583</t>
  </si>
  <si>
    <t>566490</t>
  </si>
  <si>
    <t>6807135</t>
  </si>
  <si>
    <t>8175786</t>
  </si>
  <si>
    <t>8239307</t>
  </si>
  <si>
    <t>TME</t>
  </si>
  <si>
    <t>CC0805KRX7R9104</t>
  </si>
  <si>
    <t>RC0805FR070RL</t>
  </si>
  <si>
    <t>RC0805FR0727K</t>
  </si>
  <si>
    <t>RC0805FR0712K</t>
  </si>
  <si>
    <t>RC0805FR071K</t>
  </si>
  <si>
    <t>Total Purchase:</t>
  </si>
  <si>
    <t>Purchase description:</t>
  </si>
  <si>
    <t>Used currency rates:</t>
  </si>
  <si>
    <t>USD($)/GBP(£):</t>
  </si>
  <si>
    <t>Prj:</t>
  </si>
  <si>
    <t>Power.csv</t>
  </si>
  <si>
    <t>Co.:</t>
  </si>
  <si>
    <t>Prj date:</t>
  </si>
  <si>
    <t>2021-06-02 11:30:00 (file)</t>
  </si>
  <si>
    <t>Board Qty:</t>
  </si>
  <si>
    <t>Total Cost:</t>
  </si>
  <si>
    <t>Unit Cost:</t>
  </si>
  <si>
    <t>$ date:</t>
  </si>
  <si>
    <t>2021-06-02 11:32:46</t>
  </si>
  <si>
    <t>KiCost® v1.1.5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</si>
</sst>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e07d89&amp;sid=459&amp;ppid=97479038&amp;vpid=511981737&amp;ct=offers" TargetMode="External"/><Relationship Id="rId2" Type="http://schemas.openxmlformats.org/officeDocument/2006/relationships/hyperlink" Target="https://octopart.com/click/track?ai=8078&amp;sig=0582023&amp;sid=11744&amp;ppid=97479038&amp;vpid=529774769&amp;ct=offers" TargetMode="External"/><Relationship Id="rId3" Type="http://schemas.openxmlformats.org/officeDocument/2006/relationships/hyperlink" Target="https://octopart.com/click/track?ai=8078&amp;sig=04e29c9&amp;sid=2401&amp;ppid=97479038&amp;vpid=512238272&amp;ct=offers" TargetMode="External"/><Relationship Id="rId4" Type="http://schemas.openxmlformats.org/officeDocument/2006/relationships/hyperlink" Target="https://octopart.com/click/track?ai=8078&amp;sig=0150386&amp;sid=2402&amp;ppid=97479038&amp;vpid=529535739&amp;ct=offers" TargetMode="External"/><Relationship Id="rId5" Type="http://schemas.openxmlformats.org/officeDocument/2006/relationships/hyperlink" Target="https://octopart.com/click/track?ai=8078&amp;sig=0722497&amp;sid=10022&amp;ppid=97479038&amp;vpid=563003877&amp;ct=offers" TargetMode="External"/><Relationship Id="rId6" Type="http://schemas.openxmlformats.org/officeDocument/2006/relationships/hyperlink" Target="https://octopart.com/click/track?ai=8078&amp;sig=0496f8b&amp;sid=1106&amp;ppid=192993&amp;vpid=198824262&amp;ct=offers" TargetMode="External"/><Relationship Id="rId7" Type="http://schemas.openxmlformats.org/officeDocument/2006/relationships/hyperlink" Target="https://octopart.com/click/track?ai=8078&amp;sig=0012054&amp;sid=459&amp;ppid=192993&amp;vpid=115263418&amp;ct=offers" TargetMode="External"/><Relationship Id="rId8" Type="http://schemas.openxmlformats.org/officeDocument/2006/relationships/hyperlink" Target="https://octopart.com/click/track?c=1&amp;ai=8078&amp;sig=09079f1&amp;sid=11744&amp;ppid=192993&amp;vpid=541915125&amp;ct=offers" TargetMode="External"/><Relationship Id="rId9" Type="http://schemas.openxmlformats.org/officeDocument/2006/relationships/hyperlink" Target="https://octopart.com/click/track?ai=8078&amp;sig=0b9cfea&amp;sid=2401&amp;ppid=192993&amp;vpid=115233263&amp;ct=offers" TargetMode="External"/><Relationship Id="rId10" Type="http://schemas.openxmlformats.org/officeDocument/2006/relationships/hyperlink" Target="https://octopart.com/click/track?ai=8078&amp;sig=005ea2c&amp;sid=2402&amp;ppid=192993&amp;vpid=115423641&amp;ct=offers" TargetMode="External"/><Relationship Id="rId11" Type="http://schemas.openxmlformats.org/officeDocument/2006/relationships/hyperlink" Target="https://octopart.com/click/track?ai=8078&amp;sig=04a8782&amp;sid=10022&amp;ppid=192993&amp;vpid=199200305&amp;ct=offers" TargetMode="External"/><Relationship Id="rId12" Type="http://schemas.openxmlformats.org/officeDocument/2006/relationships/hyperlink" Target="https://octopart.com/click/track?ai=8078&amp;sig=065ac57&amp;sid=1532&amp;ppid=192993&amp;vpid=709256990&amp;ct=offers" TargetMode="External"/><Relationship Id="rId13" Type="http://schemas.openxmlformats.org/officeDocument/2006/relationships/hyperlink" Target="http://sigma.octopart.com/147443767/technical_drawing/AVX-12101C475K4Z2A.pdf" TargetMode="External"/><Relationship Id="rId14" Type="http://schemas.openxmlformats.org/officeDocument/2006/relationships/hyperlink" Target="https://octopart.com/click/track?c=1&amp;ai=8078&amp;sig=0227f82&amp;sid=1106&amp;ppid=83597939&amp;vpid=485065412&amp;ct=offers" TargetMode="External"/><Relationship Id="rId15" Type="http://schemas.openxmlformats.org/officeDocument/2006/relationships/hyperlink" Target="https://octopart.com/click/track?c=1&amp;ai=8078&amp;sig=05924b9&amp;sid=459&amp;ppid=83597939&amp;vpid=625440426&amp;ct=offers" TargetMode="External"/><Relationship Id="rId16" Type="http://schemas.openxmlformats.org/officeDocument/2006/relationships/hyperlink" Target="https://octopart.com/click/track?ai=8078&amp;sig=008ec62&amp;sid=819&amp;ppid=83597939&amp;vpid=464765298&amp;ct=offers" TargetMode="External"/><Relationship Id="rId17" Type="http://schemas.openxmlformats.org/officeDocument/2006/relationships/hyperlink" Target="https://octopart.com/click/track?ai=8078&amp;sig=035e22d&amp;sid=2401&amp;ppid=83597939&amp;vpid=448036637&amp;ct=offers" TargetMode="External"/><Relationship Id="rId18" Type="http://schemas.openxmlformats.org/officeDocument/2006/relationships/hyperlink" Target="https://octopart.com/click/track?ai=8078&amp;sig=0db6c01&amp;sid=2402&amp;ppid=83597939&amp;vpid=462271082&amp;ct=offers" TargetMode="External"/><Relationship Id="rId19" Type="http://schemas.openxmlformats.org/officeDocument/2006/relationships/hyperlink" Target="https://octopart.com/click/track?ai=8078&amp;sig=0062220&amp;sid=1106&amp;ppid=195884&amp;vpid=485065757&amp;ct=offers" TargetMode="External"/><Relationship Id="rId20" Type="http://schemas.openxmlformats.org/officeDocument/2006/relationships/hyperlink" Target="https://octopart.com/click/track?c=1&amp;ai=8078&amp;sig=0c58263&amp;sid=459&amp;ppid=195884&amp;vpid=1167914&amp;ct=offers" TargetMode="External"/><Relationship Id="rId21" Type="http://schemas.openxmlformats.org/officeDocument/2006/relationships/hyperlink" Target="https://octopart.com/click/track?ai=8078&amp;sig=0e863a2&amp;sid=2401&amp;ppid=195884&amp;vpid=37782787&amp;ct=offers" TargetMode="External"/><Relationship Id="rId22" Type="http://schemas.openxmlformats.org/officeDocument/2006/relationships/hyperlink" Target="https://octopart.com/click/track?c=1&amp;ai=8078&amp;sig=02e06d8&amp;sid=2402&amp;ppid=195884&amp;vpid=2917357&amp;ct=offers" TargetMode="External"/><Relationship Id="rId23" Type="http://schemas.openxmlformats.org/officeDocument/2006/relationships/hyperlink" Target="https://www.st.com/resource/en/datasheet/stps0520z.pdf" TargetMode="External"/><Relationship Id="rId24" Type="http://schemas.openxmlformats.org/officeDocument/2006/relationships/hyperlink" Target="https://octopart.com/click/track?ai=8078&amp;sig=02fa10b&amp;sid=1106&amp;ppid=324363&amp;vpid=473424480&amp;ct=offers" TargetMode="External"/><Relationship Id="rId25" Type="http://schemas.openxmlformats.org/officeDocument/2006/relationships/hyperlink" Target="https://octopart.com/click/track?ai=8078&amp;sig=0e9d335&amp;sid=459&amp;ppid=324363&amp;vpid=1055347&amp;ct=offers" TargetMode="External"/><Relationship Id="rId26" Type="http://schemas.openxmlformats.org/officeDocument/2006/relationships/hyperlink" Target="https://octopart.com/click/track?ai=8078&amp;sig=05a068f&amp;sid=819&amp;ppid=324363&amp;vpid=139692047&amp;ct=offers" TargetMode="External"/><Relationship Id="rId27" Type="http://schemas.openxmlformats.org/officeDocument/2006/relationships/hyperlink" Target="https://octopart.com/click/track?ai=8078&amp;sig=057d4fe&amp;sid=2401&amp;ppid=324363&amp;vpid=37599889&amp;ct=offers" TargetMode="External"/><Relationship Id="rId28" Type="http://schemas.openxmlformats.org/officeDocument/2006/relationships/hyperlink" Target="https://octopart.com/click/track?ai=8078&amp;sig=0f6a3bc&amp;sid=2402&amp;ppid=324363&amp;vpid=268585784&amp;ct=offers" TargetMode="External"/><Relationship Id="rId29" Type="http://schemas.openxmlformats.org/officeDocument/2006/relationships/hyperlink" Target="https://octopart.com/click/track?ai=8078&amp;sig=0739898&amp;sid=10022&amp;ppid=324363&amp;vpid=199119814&amp;ct=offers" TargetMode="External"/><Relationship Id="rId30" Type="http://schemas.openxmlformats.org/officeDocument/2006/relationships/hyperlink" Target="https://octopart.com/click/track?ai=8078&amp;sig=0b005c1&amp;sid=1532&amp;ppid=324363&amp;vpid=709206137&amp;ct=offers" TargetMode="External"/><Relationship Id="rId31" Type="http://schemas.openxmlformats.org/officeDocument/2006/relationships/hyperlink" Target="https://www.st.com/resource/en/datasheet/stth1002c.pdf" TargetMode="External"/><Relationship Id="rId32" Type="http://schemas.openxmlformats.org/officeDocument/2006/relationships/hyperlink" Target="https://octopart.com/click/track?c=1&amp;ai=8078&amp;sig=0f74dbd&amp;sid=1106&amp;ppid=324406&amp;vpid=631342634&amp;ct=offers" TargetMode="External"/><Relationship Id="rId33" Type="http://schemas.openxmlformats.org/officeDocument/2006/relationships/hyperlink" Target="https://octopart.com/click/track?ai=8078&amp;sig=0b86756&amp;sid=459&amp;ppid=324406&amp;vpid=1418479&amp;ct=offers" TargetMode="External"/><Relationship Id="rId34" Type="http://schemas.openxmlformats.org/officeDocument/2006/relationships/hyperlink" Target="https://octopart.com/click/track?ai=8078&amp;sig=0b5cdea&amp;sid=819&amp;ppid=324406&amp;vpid=139692402&amp;ct=offers" TargetMode="External"/><Relationship Id="rId35" Type="http://schemas.openxmlformats.org/officeDocument/2006/relationships/hyperlink" Target="https://octopart.com/click/track?ai=8078&amp;sig=02caee1&amp;sid=2401&amp;ppid=324406&amp;vpid=37598750&amp;ct=offers" TargetMode="External"/><Relationship Id="rId36" Type="http://schemas.openxmlformats.org/officeDocument/2006/relationships/hyperlink" Target="https://octopart.com/click/track?ai=8078&amp;sig=0a2e205&amp;sid=2402&amp;ppid=324406&amp;vpid=634334457&amp;ct=offers" TargetMode="External"/><Relationship Id="rId37" Type="http://schemas.openxmlformats.org/officeDocument/2006/relationships/hyperlink" Target="https://octopart.com/click/track?ai=8078&amp;sig=008e88b&amp;sid=10022&amp;ppid=324406&amp;vpid=199120061&amp;ct=offers" TargetMode="External"/><Relationship Id="rId38" Type="http://schemas.openxmlformats.org/officeDocument/2006/relationships/hyperlink" Target="https://octopart.com/click/track?ai=8078&amp;sig=0549bb1&amp;sid=1532&amp;ppid=324406&amp;vpid=709206561&amp;ct=offers" TargetMode="External"/><Relationship Id="rId39" Type="http://schemas.openxmlformats.org/officeDocument/2006/relationships/hyperlink" Target="https://www.littelfuse.com/~/media/electronics/datasheets/fuses/littelfuse_fuse_154_154t_154l_154tl_datasheet.pdf.pdf" TargetMode="External"/><Relationship Id="rId40" Type="http://schemas.openxmlformats.org/officeDocument/2006/relationships/hyperlink" Target="https://octopart.com/click/track?c=1&amp;ai=8078&amp;sig=0dcf063&amp;sid=1106&amp;ppid=12901086&amp;vpid=485717297&amp;ct=offers" TargetMode="External"/><Relationship Id="rId41" Type="http://schemas.openxmlformats.org/officeDocument/2006/relationships/hyperlink" Target="https://octopart.com/click/track?c=1&amp;ai=8078&amp;sig=0e2c935&amp;sid=459&amp;ppid=12901086&amp;vpid=34938956&amp;ct=offers" TargetMode="External"/><Relationship Id="rId42" Type="http://schemas.openxmlformats.org/officeDocument/2006/relationships/hyperlink" Target="https://octopart.com/click/track?ai=8078&amp;sig=0e0870f&amp;sid=2401&amp;ppid=12901086&amp;vpid=98349661&amp;ct=offers" TargetMode="External"/><Relationship Id="rId43" Type="http://schemas.openxmlformats.org/officeDocument/2006/relationships/hyperlink" Target="https://octopart.com/click/track?c=1&amp;ai=8078&amp;sig=0b3c2a4&amp;sid=2402&amp;ppid=12901086&amp;vpid=96310018&amp;ct=offers" TargetMode="External"/><Relationship Id="rId44" Type="http://schemas.openxmlformats.org/officeDocument/2006/relationships/hyperlink" Target="https://www.wago.com/fr/connexion-de-circuits-imprim%C3%A9s/borne-pour-circuits-imprim%C3%A9s/p/2604-1102" TargetMode="External"/><Relationship Id="rId45" Type="http://schemas.openxmlformats.org/officeDocument/2006/relationships/hyperlink" Target="https://octopart.com/click/track?c=1&amp;ai=8078&amp;sig=060b334&amp;sid=1106&amp;ppid=84358311&amp;vpid=507461354&amp;ct=offers" TargetMode="External"/><Relationship Id="rId46" Type="http://schemas.openxmlformats.org/officeDocument/2006/relationships/hyperlink" Target="https://octopart.com/click/track?c=1&amp;ai=8078&amp;sig=07ba0f0&amp;sid=11744&amp;ppid=84358311&amp;vpid=668620869&amp;ct=offers" TargetMode="External"/><Relationship Id="rId47" Type="http://schemas.openxmlformats.org/officeDocument/2006/relationships/hyperlink" Target="https://octopart.com/click/track?ai=8078&amp;sig=0202ad0&amp;sid=2402&amp;ppid=84358311&amp;vpid=462497108&amp;ct=offers" TargetMode="External"/><Relationship Id="rId48" Type="http://schemas.openxmlformats.org/officeDocument/2006/relationships/hyperlink" Target="https://www.mill-max.com/products/pin/0906/0906-0-15-20-76-14-11-0?s_term=0906-0-15-20-76-14-11-0&amp;s_type=Quick%2FProduct%2FPart+Number+Search" TargetMode="External"/><Relationship Id="rId49" Type="http://schemas.openxmlformats.org/officeDocument/2006/relationships/hyperlink" Target="https://octopart.com/click/track?c=1&amp;ai=8078&amp;sig=0600b4b&amp;sid=1106&amp;ppid=259418&amp;vpid=473313285&amp;ct=offers" TargetMode="External"/><Relationship Id="rId50" Type="http://schemas.openxmlformats.org/officeDocument/2006/relationships/hyperlink" Target="https://octopart.com/click/track?ai=8078&amp;sig=0717b2f&amp;sid=459&amp;ppid=259418&amp;vpid=1997600&amp;ct=offers" TargetMode="External"/><Relationship Id="rId51" Type="http://schemas.openxmlformats.org/officeDocument/2006/relationships/hyperlink" Target="https://octopart.com/click/track?ai=8078&amp;sig=03c0db6&amp;sid=819&amp;ppid=259418&amp;vpid=464840487&amp;ct=offers" TargetMode="External"/><Relationship Id="rId52" Type="http://schemas.openxmlformats.org/officeDocument/2006/relationships/hyperlink" Target="https://octopart.com/click/track?ai=8078&amp;sig=0fd1530&amp;sid=2401&amp;ppid=259418&amp;vpid=37605952&amp;ct=offers" TargetMode="External"/><Relationship Id="rId53" Type="http://schemas.openxmlformats.org/officeDocument/2006/relationships/hyperlink" Target="https://octopart.com/click/track?ai=8078&amp;sig=02ee156&amp;sid=2402&amp;ppid=259418&amp;vpid=3042756&amp;ct=offers" TargetMode="External"/><Relationship Id="rId54" Type="http://schemas.openxmlformats.org/officeDocument/2006/relationships/hyperlink" Target="https://www.vishay.com/docs/60157/thjp.pdf" TargetMode="External"/><Relationship Id="rId55" Type="http://schemas.openxmlformats.org/officeDocument/2006/relationships/hyperlink" Target="https://octopart.com/click/track?c=1&amp;ai=8078&amp;sig=033fe7c&amp;sid=1106&amp;ppid=106793857&amp;vpid=634482867&amp;ct=offers" TargetMode="External"/><Relationship Id="rId56" Type="http://schemas.openxmlformats.org/officeDocument/2006/relationships/hyperlink" Target="https://octopart.com/click/track?ai=8078&amp;sig=02f55c4&amp;sid=459&amp;ppid=106793857&amp;vpid=715280366&amp;ct=offers" TargetMode="External"/><Relationship Id="rId57" Type="http://schemas.openxmlformats.org/officeDocument/2006/relationships/hyperlink" Target="https://octopart.com/click/track?c=1&amp;ai=8078&amp;sig=067c7e1&amp;sid=11744&amp;ppid=106793857&amp;vpid=674473192&amp;ct=offers" TargetMode="External"/><Relationship Id="rId58" Type="http://schemas.openxmlformats.org/officeDocument/2006/relationships/hyperlink" Target="https://octopart.com/click/track?c=1&amp;ai=8078&amp;sig=0f3c59b&amp;sid=2401&amp;ppid=106793857&amp;vpid=600772764&amp;ct=offers" TargetMode="External"/><Relationship Id="rId59" Type="http://schemas.openxmlformats.org/officeDocument/2006/relationships/hyperlink" Target="https://octopart.com/click/track?c=1&amp;ai=8078&amp;sig=051f99e&amp;sid=2402&amp;ppid=106793857&amp;vpid=678281227&amp;ct=offers" TargetMode="External"/><Relationship Id="rId60" Type="http://schemas.openxmlformats.org/officeDocument/2006/relationships/hyperlink" Target="https://www.we-online.com/catalog/datasheet/7443634700.pdf" TargetMode="External"/><Relationship Id="rId61" Type="http://schemas.openxmlformats.org/officeDocument/2006/relationships/hyperlink" Target="https://octopart.com/click/track?ai=8078&amp;sig=08a9fe5&amp;sid=459&amp;ppid=19122477&amp;vpid=33978132&amp;ct=offers" TargetMode="External"/><Relationship Id="rId62" Type="http://schemas.openxmlformats.org/officeDocument/2006/relationships/hyperlink" Target="https://octopart.com/click/track?c=1&amp;ai=8078&amp;sig=04d23fd&amp;sid=11744&amp;ppid=19122477&amp;vpid=132757750&amp;ct=offers" TargetMode="External"/><Relationship Id="rId63" Type="http://schemas.openxmlformats.org/officeDocument/2006/relationships/hyperlink" Target="https://octopart.com/click/track?ai=8078&amp;sig=06ee199&amp;sid=2401&amp;ppid=19122477&amp;vpid=43266121&amp;ct=offers" TargetMode="External"/><Relationship Id="rId64" Type="http://schemas.openxmlformats.org/officeDocument/2006/relationships/hyperlink" Target="https://octopart.com/click/track?c=1&amp;ai=8078&amp;sig=06da231&amp;sid=2402&amp;ppid=19122477&amp;vpid=37405106&amp;ct=offers" TargetMode="External"/><Relationship Id="rId65" Type="http://schemas.openxmlformats.org/officeDocument/2006/relationships/hyperlink" Target="https://octopart.com/click/track?ai=8078&amp;sig=0c69966&amp;sid=10022&amp;ppid=19122477&amp;vpid=199196762&amp;ct=offers" TargetMode="External"/><Relationship Id="rId66" Type="http://schemas.openxmlformats.org/officeDocument/2006/relationships/hyperlink" Target="https://www.infineon.com/dgdl/Infineon-IPD200N15N3%20G-DS-v02_07-EN.pdf?fileId=5546d4624fb7fef2014ff59238932dbf" TargetMode="External"/><Relationship Id="rId67" Type="http://schemas.openxmlformats.org/officeDocument/2006/relationships/hyperlink" Target="https://octopart.com/click/track?c=1&amp;ai=8078&amp;sig=0586e77&amp;sid=1106&amp;ppid=57372564&amp;vpid=478238112&amp;ct=offers" TargetMode="External"/><Relationship Id="rId68" Type="http://schemas.openxmlformats.org/officeDocument/2006/relationships/hyperlink" Target="https://octopart.com/click/track?c=1&amp;ai=8078&amp;sig=0c30b9f&amp;sid=459&amp;ppid=57372564&amp;vpid=216609838&amp;ct=offers" TargetMode="External"/><Relationship Id="rId69" Type="http://schemas.openxmlformats.org/officeDocument/2006/relationships/hyperlink" Target="https://octopart.com/click/track?c=1&amp;ai=8078&amp;sig=037cbb3&amp;sid=819&amp;ppid=57372564&amp;vpid=276510841&amp;ct=offers" TargetMode="External"/><Relationship Id="rId70" Type="http://schemas.openxmlformats.org/officeDocument/2006/relationships/hyperlink" Target="https://octopart.com/click/track?c=1&amp;ai=8078&amp;sig=0c205f4&amp;sid=2401&amp;ppid=57372564&amp;vpid=260812463&amp;ct=offers" TargetMode="External"/><Relationship Id="rId71" Type="http://schemas.openxmlformats.org/officeDocument/2006/relationships/hyperlink" Target="https://octopart.com/click/track?c=1&amp;ai=8078&amp;sig=0c43bd6&amp;sid=2402&amp;ppid=57372564&amp;vpid=277053438&amp;ct=offers" TargetMode="External"/><Relationship Id="rId72" Type="http://schemas.openxmlformats.org/officeDocument/2006/relationships/hyperlink" Target="https://octopart.com/click/track?c=1&amp;ai=8078&amp;sig=0bfaadb&amp;sid=1106&amp;ppid=102555875&amp;vpid=631097696&amp;ct=offers" TargetMode="External"/><Relationship Id="rId73" Type="http://schemas.openxmlformats.org/officeDocument/2006/relationships/hyperlink" Target="https://octopart.com/click/track?ai=8078&amp;sig=0c8af16&amp;sid=459&amp;ppid=102555875&amp;vpid=551073019&amp;ct=offers" TargetMode="External"/><Relationship Id="rId74" Type="http://schemas.openxmlformats.org/officeDocument/2006/relationships/hyperlink" Target="https://octopart.com/click/track?ai=8078&amp;sig=06a01a4&amp;sid=11744&amp;ppid=102555875&amp;vpid=576960770&amp;ct=offers" TargetMode="External"/><Relationship Id="rId75" Type="http://schemas.openxmlformats.org/officeDocument/2006/relationships/hyperlink" Target="https://octopart.com/click/track?ai=8078&amp;sig=03dabe4&amp;sid=2401&amp;ppid=102555875&amp;vpid=550575361&amp;ct=offers" TargetMode="External"/><Relationship Id="rId76" Type="http://schemas.openxmlformats.org/officeDocument/2006/relationships/hyperlink" Target="https://octopart.com/click/track?ai=8078&amp;sig=080ea41&amp;sid=2402&amp;ppid=102555875&amp;vpid=572987360&amp;ct=offers" TargetMode="External"/><Relationship Id="rId77" Type="http://schemas.openxmlformats.org/officeDocument/2006/relationships/hyperlink" Target="https://octopart.com/click/track?ai=8078&amp;sig=0d9be94&amp;sid=1106&amp;ppid=20914495&amp;vpid=590821421&amp;ct=offers" TargetMode="External"/><Relationship Id="rId78" Type="http://schemas.openxmlformats.org/officeDocument/2006/relationships/hyperlink" Target="https://octopart.com/click/track?ai=8078&amp;sig=09e521f&amp;sid=459&amp;ppid=9293404&amp;vpid=45700209&amp;ct=offers" TargetMode="External"/><Relationship Id="rId79" Type="http://schemas.openxmlformats.org/officeDocument/2006/relationships/hyperlink" Target="https://octopart.com/click/track?ai=8078&amp;sig=08e11ce&amp;sid=2401&amp;ppid=9293404&amp;vpid=202863797&amp;ct=offers" TargetMode="External"/><Relationship Id="rId80" Type="http://schemas.openxmlformats.org/officeDocument/2006/relationships/hyperlink" Target="https://octopart.com/click/track?ai=8078&amp;sig=07109c2&amp;sid=1532&amp;ppid=9293404&amp;vpid=709258244&amp;ct=offers" TargetMode="External"/><Relationship Id="rId81" Type="http://schemas.openxmlformats.org/officeDocument/2006/relationships/hyperlink" Target="https://octopart.com/click/track?c=1&amp;ai=8078&amp;sig=0b4602e&amp;sid=1106&amp;ppid=39830121&amp;vpid=712942850&amp;ct=offers" TargetMode="External"/><Relationship Id="rId82" Type="http://schemas.openxmlformats.org/officeDocument/2006/relationships/hyperlink" Target="https://octopart.com/click/track?c=1&amp;ai=8078&amp;sig=0abb858&amp;sid=459&amp;ppid=39830121&amp;vpid=114983285&amp;ct=offers" TargetMode="External"/><Relationship Id="rId83" Type="http://schemas.openxmlformats.org/officeDocument/2006/relationships/hyperlink" Target="https://octopart.com/click/track?ai=8078&amp;sig=0ef0ee4&amp;sid=819&amp;ppid=39830121&amp;vpid=478818983&amp;ct=offers" TargetMode="External"/><Relationship Id="rId84" Type="http://schemas.openxmlformats.org/officeDocument/2006/relationships/hyperlink" Target="https://octopart.com/click/track?ai=8078&amp;sig=0a5d9c5&amp;sid=2401&amp;ppid=39830121&amp;vpid=116320352&amp;ct=offers" TargetMode="External"/><Relationship Id="rId85" Type="http://schemas.openxmlformats.org/officeDocument/2006/relationships/hyperlink" Target="https://octopart.com/click/track?ai=8078&amp;sig=0298010&amp;sid=2402&amp;ppid=39830121&amp;vpid=115424361&amp;ct=offers" TargetMode="External"/><Relationship Id="rId86" Type="http://schemas.openxmlformats.org/officeDocument/2006/relationships/hyperlink" Target="https://octopart.com/click/track?ai=8078&amp;sig=006d674&amp;sid=10022&amp;ppid=39830121&amp;vpid=656930611&amp;ct=offers" TargetMode="External"/><Relationship Id="rId87" Type="http://schemas.openxmlformats.org/officeDocument/2006/relationships/hyperlink" Target="https://octopart.com/click/track?ai=8078&amp;sig=0e2e60f&amp;sid=1532&amp;ppid=39830121&amp;vpid=709258435&amp;ct=offers" TargetMode="External"/><Relationship Id="rId88" Type="http://schemas.openxmlformats.org/officeDocument/2006/relationships/hyperlink" Target="https://octopart.com/click/track?ai=8078&amp;sig=0de3ed3&amp;sid=1106&amp;ppid=40025549&amp;vpid=590915058&amp;ct=offers" TargetMode="External"/><Relationship Id="rId89" Type="http://schemas.openxmlformats.org/officeDocument/2006/relationships/hyperlink" Target="https://octopart.com/click/track?ai=8078&amp;sig=089178e&amp;sid=459&amp;ppid=40025549&amp;vpid=115225828&amp;ct=offers" TargetMode="External"/><Relationship Id="rId90" Type="http://schemas.openxmlformats.org/officeDocument/2006/relationships/hyperlink" Target="https://octopart.com/click/track?c=1&amp;ai=8078&amp;sig=04cfb64&amp;sid=819&amp;ppid=40025549&amp;vpid=478818942&amp;ct=offers" TargetMode="External"/><Relationship Id="rId91" Type="http://schemas.openxmlformats.org/officeDocument/2006/relationships/hyperlink" Target="https://octopart.com/click/track?ai=8078&amp;sig=055fc8b&amp;sid=2401&amp;ppid=40025549&amp;vpid=182111551&amp;ct=offers" TargetMode="External"/><Relationship Id="rId92" Type="http://schemas.openxmlformats.org/officeDocument/2006/relationships/hyperlink" Target="https://octopart.com/click/track?c=1&amp;ai=8078&amp;sig=0a14520&amp;sid=2402&amp;ppid=40025549&amp;vpid=115424331&amp;ct=offers" TargetMode="External"/><Relationship Id="rId93" Type="http://schemas.openxmlformats.org/officeDocument/2006/relationships/hyperlink" Target="https://octopart.com/click/track?ai=8078&amp;sig=000bf94&amp;sid=10022&amp;ppid=40025549&amp;vpid=658005433&amp;ct=offers" TargetMode="External"/><Relationship Id="rId94" Type="http://schemas.openxmlformats.org/officeDocument/2006/relationships/hyperlink" Target="https://octopart.com/click/track?ai=8078&amp;sig=08e0ae0&amp;sid=1532&amp;ppid=40025549&amp;vpid=709258278&amp;ct=offers" TargetMode="External"/><Relationship Id="rId95" Type="http://schemas.openxmlformats.org/officeDocument/2006/relationships/hyperlink" Target="https://octopart.com/click/track?c=1&amp;ai=8078&amp;sig=0531dc4&amp;sid=459&amp;ppid=34853491&amp;vpid=448103827&amp;ct=offers" TargetMode="External"/><Relationship Id="rId96" Type="http://schemas.openxmlformats.org/officeDocument/2006/relationships/hyperlink" Target="https://octopart.com/click/track?ai=8078&amp;sig=0d5a0a3&amp;sid=11744&amp;ppid=34853491&amp;vpid=132582928&amp;ct=offers" TargetMode="External"/><Relationship Id="rId97" Type="http://schemas.openxmlformats.org/officeDocument/2006/relationships/hyperlink" Target="https://octopart.com/click/track?ai=8078&amp;sig=0135486&amp;sid=2401&amp;ppid=34853491&amp;vpid=458472393&amp;ct=offers" TargetMode="External"/><Relationship Id="rId98" Type="http://schemas.openxmlformats.org/officeDocument/2006/relationships/hyperlink" Target="https://octopart.com/click/track?ai=8078&amp;sig=021e66f&amp;sid=2402&amp;ppid=34853491&amp;vpid=265549543&amp;ct=offers" TargetMode="External"/><Relationship Id="rId99" Type="http://schemas.openxmlformats.org/officeDocument/2006/relationships/hyperlink" Target="https://octopart.com/click/track?ai=8078&amp;sig=0f8928f&amp;sid=10022&amp;ppid=34853491&amp;vpid=199102077&amp;ct=offers" TargetMode="External"/><Relationship Id="rId100" Type="http://schemas.openxmlformats.org/officeDocument/2006/relationships/hyperlink" Target="https://octopart.com/click/track?c=1&amp;ai=8078&amp;sig=06174ad&amp;sid=1106&amp;ppid=6075080&amp;vpid=485285816&amp;ct=offers" TargetMode="External"/><Relationship Id="rId101" Type="http://schemas.openxmlformats.org/officeDocument/2006/relationships/hyperlink" Target="https://octopart.com/click/track?c=1&amp;ai=8078&amp;sig=0e143ae&amp;sid=459&amp;ppid=6075080&amp;vpid=63620770&amp;ct=offers" TargetMode="External"/><Relationship Id="rId102" Type="http://schemas.openxmlformats.org/officeDocument/2006/relationships/hyperlink" Target="https://octopart.com/click/track?ai=8078&amp;sig=0caad1c&amp;sid=2401&amp;ppid=6075080&amp;vpid=40871043&amp;ct=offers" TargetMode="External"/><Relationship Id="rId103" Type="http://schemas.openxmlformats.org/officeDocument/2006/relationships/hyperlink" Target="https://octopart.com/click/track?c=1&amp;ai=8078&amp;sig=065666f&amp;sid=2402&amp;ppid=6075080&amp;vpid=518541662&amp;ct=offers" TargetMode="External"/><Relationship Id="rId104" Type="http://schemas.openxmlformats.org/officeDocument/2006/relationships/hyperlink" Target="https://octopart.com/click/track?ai=8078&amp;sig=021a962&amp;sid=10022&amp;ppid=6075080&amp;vpid=572870742&amp;ct=offers" TargetMode="External"/><Relationship Id="rId105" Type="http://schemas.openxmlformats.org/officeDocument/2006/relationships/hyperlink" Target="https://octopart.com/click/track?ai=8078&amp;sig=0295bfa&amp;sid=1106&amp;ppid=40025555&amp;vpid=473551183&amp;ct=offers" TargetMode="External"/><Relationship Id="rId106" Type="http://schemas.openxmlformats.org/officeDocument/2006/relationships/hyperlink" Target="https://octopart.com/click/track?ai=8078&amp;sig=0e43714&amp;sid=459&amp;ppid=40025555&amp;vpid=116457910&amp;ct=offers" TargetMode="External"/><Relationship Id="rId107" Type="http://schemas.openxmlformats.org/officeDocument/2006/relationships/hyperlink" Target="https://octopart.com/click/track?ai=8078&amp;sig=0bd2e27&amp;sid=819&amp;ppid=40025555&amp;vpid=508509809&amp;ct=offers" TargetMode="External"/><Relationship Id="rId108" Type="http://schemas.openxmlformats.org/officeDocument/2006/relationships/hyperlink" Target="https://octopart.com/click/track?ai=8078&amp;sig=03490a0&amp;sid=2401&amp;ppid=40025555&amp;vpid=114830367&amp;ct=offers" TargetMode="External"/><Relationship Id="rId109" Type="http://schemas.openxmlformats.org/officeDocument/2006/relationships/hyperlink" Target="https://octopart.com/click/track?ai=8078&amp;sig=01c720c&amp;sid=2402&amp;ppid=40025555&amp;vpid=115424344&amp;ct=offers" TargetMode="External"/><Relationship Id="rId110" Type="http://schemas.openxmlformats.org/officeDocument/2006/relationships/hyperlink" Target="https://octopart.com/click/track?ai=8078&amp;sig=069ddcc&amp;sid=10022&amp;ppid=40025555&amp;vpid=199200457&amp;ct=offers" TargetMode="External"/><Relationship Id="rId111" Type="http://schemas.openxmlformats.org/officeDocument/2006/relationships/hyperlink" Target="https://octopart.com/click/track?ai=8078&amp;sig=069148d&amp;sid=1532&amp;ppid=40025555&amp;vpid=709258361&amp;ct=offers" TargetMode="External"/><Relationship Id="rId112" Type="http://schemas.openxmlformats.org/officeDocument/2006/relationships/hyperlink" Target="https://octopart.com/click/track?c=1&amp;ai=8078&amp;sig=0ab4ea0&amp;sid=1106&amp;ppid=107945393&amp;vpid=706797714&amp;ct=offers" TargetMode="External"/><Relationship Id="rId113" Type="http://schemas.openxmlformats.org/officeDocument/2006/relationships/hyperlink" Target="https://octopart.com/click/track?ai=8078&amp;sig=0f44358&amp;sid=459&amp;ppid=107945393&amp;vpid=626855358&amp;ct=offers" TargetMode="External"/><Relationship Id="rId114" Type="http://schemas.openxmlformats.org/officeDocument/2006/relationships/hyperlink" Target="https://octopart.com/click/track?ai=8078&amp;sig=0763734&amp;sid=819&amp;ppid=107945393&amp;vpid=718929461&amp;ct=offers" TargetMode="External"/><Relationship Id="rId115" Type="http://schemas.openxmlformats.org/officeDocument/2006/relationships/hyperlink" Target="https://octopart.com/click/track?ai=8078&amp;sig=0b94e8a&amp;sid=2401&amp;ppid=107945393&amp;vpid=625477786&amp;ct=offers" TargetMode="External"/><Relationship Id="rId116" Type="http://schemas.openxmlformats.org/officeDocument/2006/relationships/hyperlink" Target="https://octopart.com/click/track?ai=8078&amp;sig=044c0a0&amp;sid=2402&amp;ppid=107945393&amp;vpid=628073779&amp;ct=offers" TargetMode="External"/><Relationship Id="rId117" Type="http://schemas.openxmlformats.org/officeDocument/2006/relationships/hyperlink" Target="https://octopart.com/click/track?c=1&amp;ai=8078&amp;sig=09d46dc&amp;sid=1106&amp;ppid=88201591&amp;vpid=631764698&amp;ct=offers" TargetMode="External"/><Relationship Id="rId118" Type="http://schemas.openxmlformats.org/officeDocument/2006/relationships/hyperlink" Target="https://octopart.com/click/track?ai=8078&amp;sig=0a2b382&amp;sid=2401&amp;ppid=88201591&amp;vpid=457134305&amp;ct=offers" TargetMode="External"/><Relationship Id="rId119" Type="http://schemas.openxmlformats.org/officeDocument/2006/relationships/hyperlink" Target="https://octopart.com/click/track?c=1&amp;ai=8078&amp;sig=0a690c5&amp;sid=1106&amp;ppid=42440165&amp;vpid=486402842&amp;ct=offers" TargetMode="External"/><Relationship Id="rId120" Type="http://schemas.openxmlformats.org/officeDocument/2006/relationships/hyperlink" Target="https://octopart.com/click/track?c=1&amp;ai=8078&amp;sig=0a96cf9&amp;sid=459&amp;ppid=42440165&amp;vpid=447957073&amp;ct=offers" TargetMode="External"/><Relationship Id="rId121" Type="http://schemas.openxmlformats.org/officeDocument/2006/relationships/hyperlink" Target="https://octopart.com/click/track?ai=8078&amp;sig=028d423&amp;sid=2401&amp;ppid=42440165&amp;vpid=165618832&amp;ct=offers" TargetMode="External"/><Relationship Id="rId122" Type="http://schemas.openxmlformats.org/officeDocument/2006/relationships/hyperlink" Target="https://octopart.com/click/track?c=1&amp;ai=8078&amp;sig=07f0f22&amp;sid=2402&amp;ppid=42440165&amp;vpid=573408214&amp;ct=offers" TargetMode="External"/><Relationship Id="rId123" Type="http://schemas.openxmlformats.org/officeDocument/2006/relationships/hyperlink" Target="https://octopart.com/click/track?c=1&amp;ai=8078&amp;sig=0eb5a1e&amp;sid=459&amp;ppid=1187818&amp;vpid=1125089&amp;ct=offers" TargetMode="External"/><Relationship Id="rId124" Type="http://schemas.openxmlformats.org/officeDocument/2006/relationships/hyperlink" Target="https://octopart.com/click/track?ai=8078&amp;sig=0247ebc&amp;sid=2401&amp;ppid=1187818&amp;vpid=37903610&amp;ct=offers" TargetMode="External"/><Relationship Id="rId125" Type="http://schemas.openxmlformats.org/officeDocument/2006/relationships/hyperlink" Target="http://datasheet.octopart.com/ERA-6AEB562V-Panasonic-datasheet-62287448.pdf" TargetMode="External"/><Relationship Id="rId126" Type="http://schemas.openxmlformats.org/officeDocument/2006/relationships/hyperlink" Target="https://octopart.com/click/track?c=1&amp;ai=8078&amp;sig=010cc2f&amp;sid=1106&amp;ppid=1181003&amp;vpid=473396370&amp;ct=offers" TargetMode="External"/><Relationship Id="rId127" Type="http://schemas.openxmlformats.org/officeDocument/2006/relationships/hyperlink" Target="https://octopart.com/click/track?ai=8078&amp;sig=0bf4c4d&amp;sid=459&amp;ppid=1181003&amp;vpid=118269041&amp;ct=offers" TargetMode="External"/><Relationship Id="rId128" Type="http://schemas.openxmlformats.org/officeDocument/2006/relationships/hyperlink" Target="https://octopart.com/click/track?ai=8078&amp;sig=0bed291&amp;sid=819&amp;ppid=1181003&amp;vpid=194158269&amp;ct=offers" TargetMode="External"/><Relationship Id="rId129" Type="http://schemas.openxmlformats.org/officeDocument/2006/relationships/hyperlink" Target="https://octopart.com/click/track?ai=8078&amp;sig=00ee4cb&amp;sid=27971&amp;ppid=1181003&amp;vpid=617683474&amp;ct=offers" TargetMode="External"/><Relationship Id="rId130" Type="http://schemas.openxmlformats.org/officeDocument/2006/relationships/hyperlink" Target="https://octopart.com/click/track?ai=8078&amp;sig=0cb7695&amp;sid=2401&amp;ppid=1181003&amp;vpid=120448226&amp;ct=offers" TargetMode="External"/><Relationship Id="rId131" Type="http://schemas.openxmlformats.org/officeDocument/2006/relationships/hyperlink" Target="https://octopart.com/click/track?ai=8078&amp;sig=06e3960&amp;sid=2402&amp;ppid=1181003&amp;vpid=265591457&amp;ct=offers" TargetMode="External"/><Relationship Id="rId132" Type="http://schemas.openxmlformats.org/officeDocument/2006/relationships/hyperlink" Target="https://octopart.com/click/track?ai=8078&amp;sig=07ce328&amp;sid=10022&amp;ppid=1181003&amp;vpid=228321859&amp;ct=offers" TargetMode="External"/><Relationship Id="rId133" Type="http://schemas.openxmlformats.org/officeDocument/2006/relationships/hyperlink" Target="https://octopart.com/click/track?ai=8078&amp;sig=08c05b6&amp;sid=1532&amp;ppid=1181003&amp;vpid=709130893&amp;ct=offers" TargetMode="External"/><Relationship Id="rId134" Type="http://schemas.openxmlformats.org/officeDocument/2006/relationships/hyperlink" Target="http://www.allegromicro.com/~/media/Files/Datasheets/ACS730-Datasheet.ashx?la=en" TargetMode="External"/><Relationship Id="rId135" Type="http://schemas.openxmlformats.org/officeDocument/2006/relationships/hyperlink" Target="https://octopart.com/click/track?c=1&amp;ai=8078&amp;sig=0451809&amp;sid=1106&amp;ppid=73047946&amp;vpid=485107584&amp;ct=offers" TargetMode="External"/><Relationship Id="rId136" Type="http://schemas.openxmlformats.org/officeDocument/2006/relationships/hyperlink" Target="https://octopart.com/click/track?c=1&amp;ai=8078&amp;sig=0053b34&amp;sid=459&amp;ppid=73047946&amp;vpid=257682467&amp;ct=offers" TargetMode="External"/><Relationship Id="rId137" Type="http://schemas.openxmlformats.org/officeDocument/2006/relationships/hyperlink" Target="https://octopart.com/click/track?c=1&amp;ai=8078&amp;sig=035bfb5&amp;sid=2402&amp;ppid=73047946&amp;vpid=265134479&amp;ct=offers" TargetMode="External"/><Relationship Id="rId138" Type="http://schemas.openxmlformats.org/officeDocument/2006/relationships/hyperlink" Target="http://www.allegromicro.com/~/media/Files/Datasheets/ACS712-Datasheet.ashx?la=en" TargetMode="External"/><Relationship Id="rId139" Type="http://schemas.openxmlformats.org/officeDocument/2006/relationships/hyperlink" Target="https://octopart.com/click/track?c=1&amp;ai=8078&amp;sig=024b3a5&amp;sid=1106&amp;ppid=38944688&amp;vpid=481971583&amp;ct=offers" TargetMode="External"/><Relationship Id="rId140" Type="http://schemas.openxmlformats.org/officeDocument/2006/relationships/hyperlink" Target="https://octopart.com/click/track?c=1&amp;ai=8078&amp;sig=0cd1825&amp;sid=459&amp;ppid=38944688&amp;vpid=113503636&amp;ct=offers" TargetMode="External"/><Relationship Id="rId141" Type="http://schemas.openxmlformats.org/officeDocument/2006/relationships/hyperlink" Target="https://octopart.com/click/track?c=1&amp;ai=8078&amp;sig=027818d&amp;sid=819&amp;ppid=38944688&amp;vpid=138110206&amp;ct=offers" TargetMode="External"/><Relationship Id="rId142" Type="http://schemas.openxmlformats.org/officeDocument/2006/relationships/hyperlink" Target="https://octopart.com/click/track?c=1&amp;ai=8078&amp;sig=0ba054a&amp;sid=2402&amp;ppid=38944688&amp;vpid=116932281&amp;ct=offers" TargetMode="External"/><Relationship Id="rId143" Type="http://schemas.openxmlformats.org/officeDocument/2006/relationships/hyperlink" Target="https://octopart.com/click/track?ai=8078&amp;sig=08384d0&amp;sid=10022&amp;ppid=38944688&amp;vpid=562560507&amp;ct=offers" TargetMode="External"/><Relationship Id="rId144" Type="http://schemas.openxmlformats.org/officeDocument/2006/relationships/hyperlink" Target="https://octopart.com/click/track?ai=8078&amp;sig=0c0896e&amp;sid=1532&amp;ppid=38944688&amp;vpid=707758944&amp;ct=offers" TargetMode="External"/><Relationship Id="rId145" Type="http://schemas.openxmlformats.org/officeDocument/2006/relationships/hyperlink" Target="https://octopart.com/click/track?c=1&amp;ai=8078&amp;sig=0efd23c&amp;sid=1106&amp;ppid=88030785&amp;vpid=632032090&amp;ct=offers" TargetMode="External"/><Relationship Id="rId146" Type="http://schemas.openxmlformats.org/officeDocument/2006/relationships/hyperlink" Target="https://octopart.com/click/track?c=1&amp;ai=8078&amp;sig=082fe80&amp;sid=459&amp;ppid=88030785&amp;vpid=510698153&amp;ct=offers" TargetMode="External"/><Relationship Id="rId147" Type="http://schemas.openxmlformats.org/officeDocument/2006/relationships/hyperlink" Target="https://octopart.com/click/track?c=1&amp;ai=8078&amp;sig=0cd2400&amp;sid=2401&amp;ppid=88030785&amp;vpid=472751371&amp;ct=offers" TargetMode="External"/><Relationship Id="rId148" Type="http://schemas.openxmlformats.org/officeDocument/2006/relationships/hyperlink" Target="https://www.ti.com/lit/ds/symlink/amc1100.pdf?ts=1622519237932&amp;ref_url=https%253A%252F%252Fwww.google.com%252F" TargetMode="External"/><Relationship Id="rId149" Type="http://schemas.openxmlformats.org/officeDocument/2006/relationships/hyperlink" Target="https://octopart.com/click/track?c=1&amp;ai=8078&amp;sig=09e61f0&amp;sid=1106&amp;ppid=21766486&amp;vpid=631793332&amp;ct=offers" TargetMode="External"/><Relationship Id="rId150" Type="http://schemas.openxmlformats.org/officeDocument/2006/relationships/hyperlink" Target="https://octopart.com/click/track?ai=8078&amp;sig=011c6de&amp;sid=459&amp;ppid=21766486&amp;vpid=50027132&amp;ct=offers" TargetMode="External"/><Relationship Id="rId151" Type="http://schemas.openxmlformats.org/officeDocument/2006/relationships/hyperlink" Target="https://octopart.com/click/track?c=1&amp;ai=8078&amp;sig=035f252&amp;sid=11744&amp;ppid=21766486&amp;vpid=585357944&amp;ct=offers" TargetMode="External"/><Relationship Id="rId152" Type="http://schemas.openxmlformats.org/officeDocument/2006/relationships/hyperlink" Target="https://octopart.com/click/track?ai=8078&amp;sig=006ec69&amp;sid=2401&amp;ppid=21766486&amp;vpid=51008275&amp;ct=offers" TargetMode="External"/><Relationship Id="rId153" Type="http://schemas.openxmlformats.org/officeDocument/2006/relationships/hyperlink" Target="https://octopart.com/click/track?c=1&amp;ai=8078&amp;sig=095dfea&amp;sid=2402&amp;ppid=21766486&amp;vpid=588019557&amp;ct=offers" TargetMode="External"/><Relationship Id="rId154" Type="http://schemas.openxmlformats.org/officeDocument/2006/relationships/hyperlink" Target="https://octopart.com/click/track?ai=8078&amp;sig=0ef5091&amp;sid=10022&amp;ppid=21766486&amp;vpid=199160528&amp;ct=offers" TargetMode="External"/><Relationship Id="rId155" Type="http://schemas.openxmlformats.org/officeDocument/2006/relationships/hyperlink" Target="https://www.ti.com/lit/ds/symlink/opa316.pdf?ts=1622530692356&amp;ref_url=https%253A%252F%252Fwww.ti.com%252Fproduct%252FOPA316" TargetMode="External"/><Relationship Id="rId156" Type="http://schemas.openxmlformats.org/officeDocument/2006/relationships/hyperlink" Target="https://octopart.com/click/track?c=1&amp;ai=8078&amp;sig=0623084&amp;sid=1106&amp;ppid=39203984&amp;vpid=631821722&amp;ct=offers" TargetMode="External"/><Relationship Id="rId157" Type="http://schemas.openxmlformats.org/officeDocument/2006/relationships/hyperlink" Target="https://octopart.com/click/track?ai=8078&amp;sig=082eb88&amp;sid=459&amp;ppid=39203984&amp;vpid=119588960&amp;ct=offers" TargetMode="External"/><Relationship Id="rId158" Type="http://schemas.openxmlformats.org/officeDocument/2006/relationships/hyperlink" Target="https://octopart.com/click/track?ai=8078&amp;sig=07927c0&amp;sid=819&amp;ppid=39203984&amp;vpid=575367974&amp;ct=offers" TargetMode="External"/><Relationship Id="rId159" Type="http://schemas.openxmlformats.org/officeDocument/2006/relationships/hyperlink" Target="https://octopart.com/click/track?ai=8078&amp;sig=0751896&amp;sid=2401&amp;ppid=39203984&amp;vpid=119385027&amp;ct=offers" TargetMode="External"/><Relationship Id="rId160" Type="http://schemas.openxmlformats.org/officeDocument/2006/relationships/hyperlink" Target="https://octopart.com/click/track?ai=8078&amp;sig=09b6719&amp;sid=2402&amp;ppid=39203984&amp;vpid=578994711&amp;ct=offers" TargetMode="External"/><Relationship Id="rId161" Type="http://schemas.openxmlformats.org/officeDocument/2006/relationships/hyperlink" Target="https://octopart.com/click/track?ai=8078&amp;sig=06bd502&amp;sid=10022&amp;ppid=39203984&amp;vpid=199165958&amp;ct=offers" TargetMode="External"/><Relationship Id="rId162" Type="http://schemas.openxmlformats.org/officeDocument/2006/relationships/hyperlink" Target="https://www.arrow.com/en/bom-tool/" TargetMode="External"/><Relationship Id="rId163" Type="http://schemas.openxmlformats.org/officeDocument/2006/relationships/hyperlink" Target="https://www.digikey.com/ordering/shoppingcart" TargetMode="External"/><Relationship Id="rId164" Type="http://schemas.openxmlformats.org/officeDocument/2006/relationships/hyperlink" Target="https://fr.farnell.com/en-FR/quick-order?isQuickPaste=true" TargetMode="External"/><Relationship Id="rId165" Type="http://schemas.openxmlformats.org/officeDocument/2006/relationships/hyperlink" Target="https://lcsc.com/bom.html" TargetMode="External"/><Relationship Id="rId166" Type="http://schemas.openxmlformats.org/officeDocument/2006/relationships/hyperlink" Target="https://mouser.com/bom/" TargetMode="External"/><Relationship Id="rId167" Type="http://schemas.openxmlformats.org/officeDocument/2006/relationships/hyperlink" Target="https://www.newark.com/quick-order?isQuickPaste=true" TargetMode="External"/><Relationship Id="rId168" Type="http://schemas.openxmlformats.org/officeDocument/2006/relationships/hyperlink" Target="https://uk.rs-online.com/web/mylists/manualQuotes.html?method=showEnquiryCreationPage&amp;mode=new" TargetMode="External"/><Relationship Id="rId169" Type="http://schemas.openxmlformats.org/officeDocument/2006/relationships/hyperlink" Target="https://www.tme.eu/en/Profile/QuickBuy/load.html" TargetMode="External"/><Relationship Id="rId170" Type="http://schemas.openxmlformats.org/officeDocument/2006/relationships/vmlDrawing" Target="../drawings/vmlDrawing1.vml"/><Relationship Id="rId17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3"/>
  <cols>
    <col min="1" max="1" width="30.7109375" customWidth="1"/>
    <col min="2" max="2" width="18.7109375" customWidth="1"/>
    <col min="3" max="3" width="26.7109375" customWidth="1" outlineLevel="2"/>
    <col min="4" max="4" width="27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21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28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20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>
      <c r="A1" s="1" t="s">
        <v>253</v>
      </c>
      <c r="B1" s="2" t="s">
        <v>254</v>
      </c>
      <c r="F1" s="3" t="s">
        <v>258</v>
      </c>
      <c r="G1" s="3">
        <v>100</v>
      </c>
    </row>
    <row r="2" spans="1:55">
      <c r="A2" s="1" t="s">
        <v>255</v>
      </c>
      <c r="B2" s="2"/>
      <c r="F2" s="1" t="s">
        <v>260</v>
      </c>
      <c r="G2" s="4">
        <f>TotalCost/BoardQty</f>
        <v>77.9989</v>
      </c>
    </row>
    <row r="3" spans="1:55">
      <c r="A3" s="1" t="s">
        <v>256</v>
      </c>
      <c r="B3" s="2" t="s">
        <v>257</v>
      </c>
      <c r="F3" s="1" t="s">
        <v>259</v>
      </c>
      <c r="G3" s="5">
        <f>SUM(G7:G35)</f>
        <v>7799.893</v>
      </c>
      <c r="L3" s="5">
        <f>SUM(L7:L35)</f>
        <v>2659.25</v>
      </c>
      <c r="M3" s="6" t="str">
        <f>(COUNTA(L7:L35)&amp;" of "&amp;ROWS(L7:L35)&amp;" parts found")</f>
        <v>20 of 29 parts found</v>
      </c>
      <c r="R3" s="5">
        <f>SUM(R7:R35)</f>
        <v>6834.647</v>
      </c>
      <c r="S3" s="6" t="str">
        <f>(COUNTA(R7:R35)&amp;" of "&amp;ROWS(R7:R35)&amp;" parts found")</f>
        <v>27 of 29 parts found</v>
      </c>
      <c r="X3" s="5">
        <f>SUM(X7:X35)</f>
        <v>8052.7733</v>
      </c>
      <c r="Y3" s="6" t="str">
        <f>(COUNTA(X7:X35)&amp;" of "&amp;ROWS(X7:X35)&amp;" parts found")</f>
        <v>20 of 29 parts found</v>
      </c>
      <c r="AD3" s="5">
        <f>SUM(AD7:AD35)</f>
        <v>5.18</v>
      </c>
      <c r="AE3" s="6" t="str">
        <f>(COUNTA(AD7:AD35)&amp;" of "&amp;ROWS(AD7:AD35)&amp;" parts found")</f>
        <v>1 of 29 parts found</v>
      </c>
      <c r="AJ3" s="5">
        <f>SUM(AJ7:AJ35)</f>
        <v>7174.1</v>
      </c>
      <c r="AK3" s="6" t="str">
        <f>(COUNTA(AJ7:AJ35)&amp;" of "&amp;ROWS(AJ7:AJ35)&amp;" parts found")</f>
        <v>26 of 29 parts found</v>
      </c>
      <c r="AP3" s="5">
        <f>SUM(AP7:AP35)</f>
        <v>8494.1</v>
      </c>
      <c r="AQ3" s="6" t="str">
        <f>(COUNTA(AP7:AP35)&amp;" of "&amp;ROWS(AP7:AP35)&amp;" parts found")</f>
        <v>25 of 29 parts found</v>
      </c>
      <c r="AV3" s="5">
        <f>SUM(AV7:AV35)</f>
        <v>3643.485</v>
      </c>
      <c r="AW3" s="6" t="str">
        <f>(COUNTA(AV7:AV35)&amp;" of "&amp;ROWS(AV7:AV35)&amp;" parts found")</f>
        <v>14 of 29 parts found</v>
      </c>
      <c r="BB3" s="5">
        <f>SUM(BB7:BB35)</f>
        <v>529.1299</v>
      </c>
      <c r="BC3" s="6" t="str">
        <f>(COUNTA(BB7:BB35)&amp;" of "&amp;ROWS(BB7:BB35)&amp;" parts found")</f>
        <v>9 of 29 parts found</v>
      </c>
    </row>
    <row r="4" spans="1:55">
      <c r="A4" s="1" t="s">
        <v>261</v>
      </c>
      <c r="B4" s="2" t="s">
        <v>262</v>
      </c>
    </row>
    <row r="5" spans="1:55">
      <c r="A5" s="7" t="s">
        <v>0</v>
      </c>
      <c r="B5" s="7"/>
      <c r="C5" s="7"/>
      <c r="D5" s="7"/>
      <c r="E5" s="7"/>
      <c r="F5" s="7"/>
      <c r="G5" s="7"/>
      <c r="H5" s="8" t="s">
        <v>104</v>
      </c>
      <c r="I5" s="8"/>
      <c r="J5" s="8"/>
      <c r="K5" s="8"/>
      <c r="L5" s="8"/>
      <c r="M5" s="8"/>
      <c r="N5" s="9" t="s">
        <v>124</v>
      </c>
      <c r="O5" s="9"/>
      <c r="P5" s="9"/>
      <c r="Q5" s="9"/>
      <c r="R5" s="9"/>
      <c r="S5" s="9"/>
      <c r="T5" s="10" t="s">
        <v>152</v>
      </c>
      <c r="U5" s="10"/>
      <c r="V5" s="10"/>
      <c r="W5" s="10"/>
      <c r="X5" s="10"/>
      <c r="Y5" s="10"/>
      <c r="Z5" s="11" t="s">
        <v>173</v>
      </c>
      <c r="AA5" s="11"/>
      <c r="AB5" s="11"/>
      <c r="AC5" s="11"/>
      <c r="AD5" s="11"/>
      <c r="AE5" s="11"/>
      <c r="AF5" s="12" t="s">
        <v>175</v>
      </c>
      <c r="AG5" s="12"/>
      <c r="AH5" s="12"/>
      <c r="AI5" s="12"/>
      <c r="AJ5" s="12"/>
      <c r="AK5" s="12"/>
      <c r="AL5" s="13" t="s">
        <v>202</v>
      </c>
      <c r="AM5" s="13"/>
      <c r="AN5" s="13"/>
      <c r="AO5" s="13"/>
      <c r="AP5" s="13"/>
      <c r="AQ5" s="13"/>
      <c r="AR5" s="14" t="s">
        <v>228</v>
      </c>
      <c r="AS5" s="14"/>
      <c r="AT5" s="14"/>
      <c r="AU5" s="14"/>
      <c r="AV5" s="14"/>
      <c r="AW5" s="14"/>
      <c r="AX5" s="15" t="s">
        <v>243</v>
      </c>
      <c r="AY5" s="15"/>
      <c r="AZ5" s="15"/>
      <c r="BA5" s="15"/>
      <c r="BB5" s="15"/>
      <c r="BC5" s="15"/>
    </row>
    <row r="6" spans="1:55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105</v>
      </c>
      <c r="I6" s="16" t="s">
        <v>106</v>
      </c>
      <c r="J6" s="16" t="s">
        <v>6</v>
      </c>
      <c r="K6" s="16" t="s">
        <v>107</v>
      </c>
      <c r="L6" s="16" t="s">
        <v>7</v>
      </c>
      <c r="M6" s="16" t="s">
        <v>108</v>
      </c>
      <c r="N6" s="16" t="s">
        <v>105</v>
      </c>
      <c r="O6" s="16" t="s">
        <v>106</v>
      </c>
      <c r="P6" s="16" t="s">
        <v>6</v>
      </c>
      <c r="Q6" s="16" t="s">
        <v>107</v>
      </c>
      <c r="R6" s="16" t="s">
        <v>7</v>
      </c>
      <c r="S6" s="16" t="s">
        <v>108</v>
      </c>
      <c r="T6" s="16" t="s">
        <v>105</v>
      </c>
      <c r="U6" s="16" t="s">
        <v>106</v>
      </c>
      <c r="V6" s="16" t="s">
        <v>6</v>
      </c>
      <c r="W6" s="16" t="s">
        <v>107</v>
      </c>
      <c r="X6" s="16" t="s">
        <v>7</v>
      </c>
      <c r="Y6" s="16" t="s">
        <v>108</v>
      </c>
      <c r="Z6" s="16" t="s">
        <v>105</v>
      </c>
      <c r="AA6" s="16" t="s">
        <v>106</v>
      </c>
      <c r="AB6" s="16" t="s">
        <v>6</v>
      </c>
      <c r="AC6" s="16" t="s">
        <v>107</v>
      </c>
      <c r="AD6" s="16" t="s">
        <v>7</v>
      </c>
      <c r="AE6" s="16" t="s">
        <v>108</v>
      </c>
      <c r="AF6" s="16" t="s">
        <v>105</v>
      </c>
      <c r="AG6" s="16" t="s">
        <v>106</v>
      </c>
      <c r="AH6" s="16" t="s">
        <v>6</v>
      </c>
      <c r="AI6" s="16" t="s">
        <v>107</v>
      </c>
      <c r="AJ6" s="16" t="s">
        <v>7</v>
      </c>
      <c r="AK6" s="16" t="s">
        <v>108</v>
      </c>
      <c r="AL6" s="16" t="s">
        <v>105</v>
      </c>
      <c r="AM6" s="16" t="s">
        <v>106</v>
      </c>
      <c r="AN6" s="16" t="s">
        <v>6</v>
      </c>
      <c r="AO6" s="16" t="s">
        <v>107</v>
      </c>
      <c r="AP6" s="16" t="s">
        <v>7</v>
      </c>
      <c r="AQ6" s="16" t="s">
        <v>108</v>
      </c>
      <c r="AR6" s="16" t="s">
        <v>105</v>
      </c>
      <c r="AS6" s="16" t="s">
        <v>106</v>
      </c>
      <c r="AT6" s="16" t="s">
        <v>6</v>
      </c>
      <c r="AU6" s="16" t="s">
        <v>107</v>
      </c>
      <c r="AV6" s="16" t="s">
        <v>7</v>
      </c>
      <c r="AW6" s="16" t="s">
        <v>108</v>
      </c>
      <c r="AX6" s="16" t="s">
        <v>105</v>
      </c>
      <c r="AY6" s="16" t="s">
        <v>106</v>
      </c>
      <c r="AZ6" s="16" t="s">
        <v>6</v>
      </c>
      <c r="BA6" s="16" t="s">
        <v>107</v>
      </c>
      <c r="BB6" s="16" t="s">
        <v>7</v>
      </c>
      <c r="BC6" s="16" t="s">
        <v>108</v>
      </c>
    </row>
    <row r="7" spans="1:55">
      <c r="A7" s="17" t="s">
        <v>8</v>
      </c>
      <c r="B7" s="17" t="s">
        <v>9</v>
      </c>
      <c r="C7" s="17" t="s">
        <v>10</v>
      </c>
      <c r="D7" s="17" t="s">
        <v>11</v>
      </c>
      <c r="E7" s="17">
        <f>CEILING(BoardQty*3.0,1)</f>
        <v>300</v>
      </c>
      <c r="F7" s="18">
        <f>IF(MIN(J7,P7,V7,AB7,AH7,AN7,AT7,AZ7)&lt;&gt;0,MIN(J7,P7,V7,AB7,AH7,AN7,AT7,AZ7),"")</f>
        <v>0.071</v>
      </c>
      <c r="G7" s="19">
        <f>IF(AND(ISNUMBER(E7),ISNUMBER(F7)),E7*F7,"")</f>
        <v>21.3</v>
      </c>
      <c r="N7" s="17">
        <v>1728</v>
      </c>
      <c r="P7" s="18">
        <f>IFERROR(IF(OR(O7&gt;=Q7,E7&gt;=Q7),LOOKUP(IF(O7="",E7,O7),{0,1,10,50,100,1000,3000},{0.0,0.1,0.087,0.08,0.071,0.064,0.058}),"MOQ="&amp;Q7),"")</f>
        <v>0.071</v>
      </c>
      <c r="Q7" s="17">
        <v>1</v>
      </c>
      <c r="R7" s="19">
        <f>IFERROR(IF(O7="",E7,O7)*P7,"")</f>
        <v>21.3</v>
      </c>
      <c r="S7" s="20" t="s">
        <v>125</v>
      </c>
      <c r="T7" s="17">
        <v>2835</v>
      </c>
      <c r="V7" s="18">
        <f>IFERROR(IF(OR(U7&gt;=W7,E7&gt;=W7),USD_GBP*LOOKUP(IF(U7="",E7,U7),{0,1,5,50,150,250,500,1500,3000,15000},{0.0,0.131,0.131,0.0909,0.0909,0.0639,0.0557,0.0444,0.0396,0.0388}),"MOQ="&amp;W7),"")</f>
        <v>0.09053456568349075</v>
      </c>
      <c r="W7" s="17">
        <v>5</v>
      </c>
      <c r="X7" s="19">
        <f>IFERROR(IF(U7="",E7,U7)*V7,"")</f>
        <v>27.1604</v>
      </c>
      <c r="Y7" s="20" t="s">
        <v>153</v>
      </c>
      <c r="AF7" s="17">
        <v>12881</v>
      </c>
      <c r="AH7" s="18">
        <f>IFERROR(IF(OR(AG7&gt;=AI7,E7&gt;=AI7),LOOKUP(IF(AG7="",E7,AG7),{0,1,10,50,100,1000,10000},{0.0,0.1,0.09,0.083,0.073,0.066,0.06}),"MOQ="&amp;AI7),"")</f>
        <v>0.073</v>
      </c>
      <c r="AI7" s="17">
        <v>1</v>
      </c>
      <c r="AJ7" s="19">
        <f>IFERROR(IF(AG7="",E7,AG7)*AH7,"")</f>
        <v>21.9</v>
      </c>
      <c r="AK7" s="20" t="s">
        <v>176</v>
      </c>
      <c r="AL7" s="17">
        <v>2835</v>
      </c>
      <c r="AN7" s="18">
        <f>IFERROR(IF(OR(AM7&gt;=AO7,E7&gt;=AO7),LOOKUP(IF(AM7="",E7,AM7),{0,1,5,10,25,50,100},{0.0,0.2,0.2,0.118,0.114,0.109,0.105}),"MOQ="&amp;AO7),"")</f>
        <v>0.105</v>
      </c>
      <c r="AO7" s="17">
        <v>5</v>
      </c>
      <c r="AP7" s="19">
        <f>IFERROR(IF(AM7="",E7,AM7)*AN7,"")</f>
        <v>31.5</v>
      </c>
      <c r="AQ7" s="20" t="s">
        <v>203</v>
      </c>
      <c r="AR7" s="17">
        <v>2500</v>
      </c>
      <c r="AT7" s="18">
        <f>IFERROR(IF(OR(AS7&gt;=AU7,E7&gt;=AU7),USD_GBP*LOOKUP(IF(AS7="",E7,AS7),{0,1,3000,9000},{0.0,0.044,0.044,0.043}),"MOQ="&amp;AU7),"")</f>
        <v/>
      </c>
      <c r="AU7" s="17">
        <v>3000</v>
      </c>
      <c r="AV7" s="19">
        <f>IFERROR(IF(AS7="",E7,AS7)*AT7,"")</f>
        <v/>
      </c>
      <c r="AW7" s="20" t="s">
        <v>229</v>
      </c>
    </row>
    <row r="8" spans="1:55">
      <c r="A8" s="17" t="s">
        <v>12</v>
      </c>
      <c r="B8" s="17" t="s">
        <v>13</v>
      </c>
      <c r="C8" s="17" t="s">
        <v>10</v>
      </c>
      <c r="D8" s="17" t="s">
        <v>14</v>
      </c>
      <c r="E8" s="17">
        <f>CEILING(BoardQty*15.0,1)</f>
        <v>1500</v>
      </c>
      <c r="F8" s="18">
        <f>IF(MIN(J8,P8,V8,AB8,AH8,AN8,AT8,AZ8)&lt;&gt;0,MIN(J8,P8,V8,AB8,AH8,AN8,AT8,AZ8),"")</f>
        <v>0.012893028915802282</v>
      </c>
      <c r="G8" s="19">
        <f>IF(AND(ISNUMBER(E8),ISNUMBER(F8)),E8*F8,"")</f>
        <v>19.3395</v>
      </c>
      <c r="H8" s="17">
        <v>1242</v>
      </c>
      <c r="J8" s="18">
        <f>IFERROR(IF(OR(I8&gt;=K8,E8&gt;=K8),LOOKUP(IF(I8="",E8,I8),{0,1,10,25,100},{0.0,0.0265,0.0257,0.0234,0.0231}),"MOQ="&amp;K8),"")</f>
        <v>0.0231</v>
      </c>
      <c r="K8" s="17">
        <v>1</v>
      </c>
      <c r="L8" s="19">
        <f>IFERROR(IF(I8="",E8,I8)*J8,"")</f>
        <v>34.65</v>
      </c>
      <c r="M8" s="20" t="s">
        <v>14</v>
      </c>
      <c r="N8" s="17">
        <v>1729262</v>
      </c>
      <c r="P8" s="18">
        <f>IFERROR(IF(OR(O8&gt;=Q8,E8&gt;=Q8),LOOKUP(IF(O8="",E8,O8),{0,1,10,50,100,500,1000,4000},{0.0,0.12,0.084,0.0474,0.0393,0.02754,0.02279,0.01941}),"MOQ="&amp;Q8),"")</f>
        <v>0.02279</v>
      </c>
      <c r="Q8" s="17">
        <v>1</v>
      </c>
      <c r="R8" s="19">
        <f>IFERROR(IF(O8="",E8,O8)*P8,"")</f>
        <v>34.185</v>
      </c>
      <c r="S8" s="20" t="s">
        <v>126</v>
      </c>
      <c r="T8" s="17">
        <v>6377999</v>
      </c>
      <c r="V8" s="18">
        <f>IFERROR(IF(OR(U8&gt;=W8,E8&gt;=W8),USD_GBP*LOOKUP(IF(U8="",E8,U8),{0,1,3,10,100,150,500,1000,2000,4000,20000},{0.0,49.22,46.09,0.0586,0.0335,0.0335,0.0261,0.0235,0.0213,0.0126,0.0116}),"MOQ="&amp;W8),"")</f>
        <v>0.033295184562786115</v>
      </c>
      <c r="W8" s="17">
        <v>1</v>
      </c>
      <c r="X8" s="19">
        <f>IFERROR(IF(U8="",E8,U8)*V8,"")</f>
        <v>49.9428</v>
      </c>
      <c r="Y8" s="20" t="s">
        <v>154</v>
      </c>
      <c r="AF8" s="17">
        <v>716199</v>
      </c>
      <c r="AH8" s="18">
        <f>IFERROR(IF(OR(AG8&gt;=AI8,E8&gt;=AI8),LOOKUP(IF(AG8="",E8,AG8),{0,1,10,50,100,1000,10000},{0.0,0.12,0.048,0.048,0.028,0.023,0.015}),"MOQ="&amp;AI8),"")</f>
        <v>0.023</v>
      </c>
      <c r="AI8" s="17">
        <v>1</v>
      </c>
      <c r="AJ8" s="19">
        <f>IFERROR(IF(AG8="",E8,AG8)*AH8,"")</f>
        <v>34.5</v>
      </c>
      <c r="AK8" s="20" t="s">
        <v>177</v>
      </c>
      <c r="AL8" s="17">
        <v>84413</v>
      </c>
      <c r="AN8" s="18">
        <f>IFERROR(IF(OR(AM8&gt;=AO8,E8&gt;=AO8),LOOKUP(IF(AM8="",E8,AM8),{0,1,10,25,50,100,4000,8000},{0.0,0.12,0.12,0.05,0.039,0.028,0.017,0.016}),"MOQ="&amp;AO8),"")</f>
        <v>0.028</v>
      </c>
      <c r="AO8" s="17">
        <v>1</v>
      </c>
      <c r="AP8" s="19">
        <f>IFERROR(IF(AM8="",E8,AM8)*AN8,"")</f>
        <v>42.0</v>
      </c>
      <c r="AQ8" s="20" t="s">
        <v>204</v>
      </c>
      <c r="AR8" s="17">
        <v>144000</v>
      </c>
      <c r="AT8" s="18">
        <f>IFERROR(IF(OR(AS8&gt;=AU8,E8&gt;=AU8),USD_GBP*LOOKUP(IF(AS8="",E8,AS8),{0,1,4000,16000,40000,100000,200000},{0.0,0.014,0.014,0.014,0.013,0.013,0.012}),"MOQ="&amp;AU8),"")</f>
        <v/>
      </c>
      <c r="AU8" s="17">
        <v>4000</v>
      </c>
      <c r="AV8" s="19">
        <f>IFERROR(IF(AS8="",E8,AS8)*AT8,"")</f>
        <v/>
      </c>
      <c r="AW8" s="20" t="s">
        <v>230</v>
      </c>
      <c r="AX8" s="17">
        <v>1053600</v>
      </c>
      <c r="AZ8" s="18">
        <f>IFERROR(IF(OR(AY8&gt;=BA8,E8&gt;=BA8),USD_GBP*LOOKUP(IF(AY8="",E8,AY8),{0,1,100,1000,4000,12000},{0.0,0.01733,0.01733,0.0091,0.00507,0.0048}),"MOQ="&amp;BA8),"")</f>
        <v>0.012893028915802282</v>
      </c>
      <c r="BA8" s="17">
        <v>100</v>
      </c>
      <c r="BB8" s="19">
        <f>IFERROR(IF(AY8="",E8,AY8)*AZ8,"")</f>
        <v>19.3395</v>
      </c>
      <c r="BC8" s="20" t="s">
        <v>244</v>
      </c>
    </row>
    <row r="9" spans="1:55">
      <c r="A9" s="17" t="s">
        <v>15</v>
      </c>
      <c r="B9" s="17" t="s">
        <v>16</v>
      </c>
      <c r="C9" s="17" t="s">
        <v>17</v>
      </c>
      <c r="D9" s="17" t="s">
        <v>18</v>
      </c>
      <c r="E9" s="17">
        <f>CEILING(BoardQty*18.0,1)</f>
        <v>1800</v>
      </c>
      <c r="F9" s="18">
        <f>IF(MIN(J9,P9,V9,AB9,AH9,AN9,AT9,AZ9)&lt;&gt;0,MIN(J9,P9,V9,AB9,AH9,AN9,AT9,AZ9),"")</f>
        <v>0.341</v>
      </c>
      <c r="G9" s="19">
        <f>IF(AND(ISNUMBER(E9),ISNUMBER(F9)),E9*F9,"")</f>
        <v>613.8</v>
      </c>
      <c r="H9" s="21" t="s">
        <v>109</v>
      </c>
      <c r="M9" s="20" t="s">
        <v>18</v>
      </c>
      <c r="N9" s="21" t="s">
        <v>109</v>
      </c>
      <c r="P9" s="18">
        <f>IFERROR(IF(OR(O9&gt;=Q9,E9&gt;=Q9),LOOKUP(IF(O9="",E9,O9),{0,1,10,50,100,500,1000},{0.0,0.94,0.715,0.594,0.5115,0.396,0.341}),"MOQ="&amp;Q9),"")</f>
        <v>0.341</v>
      </c>
      <c r="Q9" s="17">
        <v>1</v>
      </c>
      <c r="R9" s="19">
        <f>IFERROR(IF(O9="",E9,O9)*P9,"")</f>
        <v>613.8</v>
      </c>
      <c r="S9" s="20" t="s">
        <v>127</v>
      </c>
      <c r="T9" s="17">
        <v>4890</v>
      </c>
      <c r="V9" s="18">
        <f>IFERROR(IF(OR(U9&gt;=W9,E9&gt;=W9),USD_GBP*LOOKUP(IF(U9="",E9,U9),{0,1,10,50,100,250,500,1000,5000},{0.0,0.84,0.84,0.734,0.442,0.4,0.357,0.27,0.265}),"MOQ="&amp;W9),"")</f>
        <v>0.3825404183809469</v>
      </c>
      <c r="W9" s="17">
        <v>1</v>
      </c>
      <c r="X9" s="19">
        <f>IFERROR(IF(U9="",E9,U9)*V9,"")</f>
        <v>688.5728</v>
      </c>
      <c r="Y9" s="20" t="s">
        <v>155</v>
      </c>
      <c r="AF9" s="17">
        <v>500</v>
      </c>
      <c r="AH9" s="18">
        <f>IFERROR(IF(OR(AG9&gt;=AI9,E9&gt;=AI9),LOOKUP(IF(AG9="",E9,AG9),{0,1,10,50,100,1000,10000},{0.0,1.08,0.763,0.763,0.563,0.4,0.4}),"MOQ="&amp;AI9),"")</f>
        <v>0.4</v>
      </c>
      <c r="AI9" s="17">
        <v>1</v>
      </c>
      <c r="AJ9" s="19">
        <f>IFERROR(IF(AG9="",E9,AG9)*AH9,"")</f>
        <v>720.0</v>
      </c>
      <c r="AK9" s="20" t="s">
        <v>178</v>
      </c>
      <c r="AL9" s="17">
        <v>4910</v>
      </c>
      <c r="AN9" s="18">
        <f>IFERROR(IF(OR(AM9&gt;=AO9,E9&gt;=AO9),LOOKUP(IF(AM9="",E9,AM9),{0,1,10,25,50,100},{0.0,1.08,0.763,0.696,0.63,0.563}),"MOQ="&amp;AO9),"")</f>
        <v>0.563</v>
      </c>
      <c r="AO9" s="17">
        <v>1</v>
      </c>
      <c r="AP9" s="19">
        <f>IFERROR(IF(AM9="",E9,AM9)*AN9,"")</f>
        <v>1013.4</v>
      </c>
      <c r="AQ9" s="20" t="s">
        <v>205</v>
      </c>
    </row>
    <row r="10" spans="1:55">
      <c r="A10" s="17" t="s">
        <v>19</v>
      </c>
      <c r="B10" s="17" t="s">
        <v>13</v>
      </c>
      <c r="C10" s="17" t="s">
        <v>17</v>
      </c>
      <c r="D10" s="17" t="s">
        <v>20</v>
      </c>
      <c r="E10" s="17">
        <f>CEILING(BoardQty*2.0,1)</f>
        <v>200</v>
      </c>
      <c r="F10" s="18">
        <f>IF(MIN(J10,P10,V10,AB10,AH10,AN10,AT10,AZ10)&lt;&gt;0,MIN(J10,P10,V10,AB10,AH10,AN10,AT10,AZ10),"")</f>
        <v>0.2455</v>
      </c>
      <c r="G10" s="19">
        <f>IF(AND(ISNUMBER(E10),ISNUMBER(F10)),E10*F10,"")</f>
        <v>49.1</v>
      </c>
      <c r="H10" s="17">
        <v>4000</v>
      </c>
      <c r="J10" s="18">
        <f>IFERROR(IF(OR(I10&gt;=K10,E10&gt;=K10),LOOKUP(IF(I10="",E10,I10),{0,1,10,25,100,250},{0.0,0.5056,0.3422,0.3388,0.2455,0.2406}),"MOQ="&amp;K10),"")</f>
        <v>0.2455</v>
      </c>
      <c r="K10" s="17">
        <v>1</v>
      </c>
      <c r="L10" s="19">
        <f>IFERROR(IF(I10="",E10,I10)*J10,"")</f>
        <v>49.1</v>
      </c>
      <c r="M10" s="20" t="s">
        <v>20</v>
      </c>
      <c r="N10" s="21" t="s">
        <v>109</v>
      </c>
      <c r="P10" s="18">
        <f>IFERROR(IF(OR(O10&gt;=Q10,E10&gt;=Q10),LOOKUP(IF(O10="",E10,O10),{0,1,10,50,100,500,1000,4000},{0.0,0.53,0.377,0.2852,0.2484,0.184,0.1564,0.138}),"MOQ="&amp;Q10),"")</f>
        <v>0.2484</v>
      </c>
      <c r="Q10" s="17">
        <v>1</v>
      </c>
      <c r="R10" s="19">
        <f>IFERROR(IF(O10="",E10,O10)*P10,"")</f>
        <v>49.68</v>
      </c>
      <c r="S10" s="20" t="s">
        <v>128</v>
      </c>
      <c r="AF10" s="17">
        <v>6189</v>
      </c>
      <c r="AH10" s="18">
        <f>IFERROR(IF(OR(AG10&gt;=AI10,E10&gt;=AI10),LOOKUP(IF(AG10="",E10,AG10),{0,1,10,50,100,1000,10000},{0.0,0.59,0.415,0.415,0.271,0.167,0.121}),"MOQ="&amp;AI10),"")</f>
        <v>0.271</v>
      </c>
      <c r="AI10" s="17">
        <v>1</v>
      </c>
      <c r="AJ10" s="19">
        <f>IFERROR(IF(AG10="",E10,AG10)*AH10,"")</f>
        <v>54.2</v>
      </c>
      <c r="AK10" s="20" t="s">
        <v>179</v>
      </c>
      <c r="AL10" s="21" t="s">
        <v>109</v>
      </c>
      <c r="AN10" s="18">
        <f>IFERROR(IF(OR(AM10&gt;=AO10,E10&gt;=AO10),LOOKUP(IF(AM10="",E10,AM10),{0,1,10,25,50,100},{0.0,0.59,0.415,0.367,0.319,0.271}),"MOQ="&amp;AO10),"")</f>
        <v>0.271</v>
      </c>
      <c r="AO10" s="17">
        <v>1</v>
      </c>
      <c r="AP10" s="19">
        <f>IFERROR(IF(AM10="",E10,AM10)*AN10,"")</f>
        <v>54.2</v>
      </c>
      <c r="AQ10" s="20" t="s">
        <v>206</v>
      </c>
    </row>
    <row r="11" spans="1:55">
      <c r="A11" s="17" t="s">
        <v>21</v>
      </c>
      <c r="B11" s="17" t="s">
        <v>22</v>
      </c>
      <c r="C11" s="17" t="s">
        <v>23</v>
      </c>
      <c r="D11" s="17" t="s">
        <v>22</v>
      </c>
      <c r="E11" s="17">
        <f>CEILING(BoardQty*4.0,1)</f>
        <v>400</v>
      </c>
      <c r="F11" s="18">
        <f>IF(MIN(J11,P11,V11,AB11,AH11,AN11,AT11,AZ11)&lt;&gt;0,MIN(J11,P11,V11,AB11,AH11,AN11,AT11,AZ11),"")</f>
        <v>0.037</v>
      </c>
      <c r="G11" s="19">
        <f>IF(AND(ISNUMBER(E11),ISNUMBER(F11)),E11*F11,"")</f>
        <v>14.8</v>
      </c>
      <c r="H11" s="17">
        <v>10</v>
      </c>
      <c r="J11" s="18">
        <f>IFERROR(IF(OR(I11&gt;=K11,E11&gt;=K11),LOOKUP(IF(I11="",E11,I11),{0,1,9000,90000,900000,4500000,9000000},{0.0,0.2081,0.2081,0.1952,0.1199,0.0804,0.08}),"MOQ="&amp;K11),"")</f>
        <v/>
      </c>
      <c r="K11" s="17">
        <v>9000</v>
      </c>
      <c r="L11" s="19">
        <f>IFERROR(IF(I11="",E11,I11)*J11,"")</f>
        <v/>
      </c>
      <c r="M11" s="20" t="s">
        <v>22</v>
      </c>
      <c r="N11" s="17">
        <v>19582</v>
      </c>
      <c r="P11" s="18">
        <f>IFERROR(IF(OR(O11&gt;=Q11,E11&gt;=Q11),LOOKUP(IF(O11="",E11,O11),{0,1,10,100,500,1000,3000,6000,15000},{0.0,0.36,0.267,0.1513,0.10016,0.0768,0.06678,0.0601,0.05513}),"MOQ="&amp;Q11),"")</f>
        <v>0.1513</v>
      </c>
      <c r="Q11" s="17">
        <v>1</v>
      </c>
      <c r="R11" s="19">
        <f>IFERROR(IF(O11="",E11,O11)*P11,"")</f>
        <v>60.52</v>
      </c>
      <c r="S11" s="20" t="s">
        <v>129</v>
      </c>
      <c r="T11" s="17">
        <v>6863</v>
      </c>
      <c r="V11" s="18">
        <f>IFERROR(IF(OR(U11&gt;=W11,E11&gt;=W11),USD_GBP*LOOKUP(IF(U11="",E11,U11),{0,1,5,10,100,150,500,1000},{0.0,0.408,0.408,0.262,0.124,0.124,0.0853,0.0619}),"MOQ="&amp;W11),"")</f>
        <v>0.17568522918236076</v>
      </c>
      <c r="W11" s="17">
        <v>5</v>
      </c>
      <c r="X11" s="19">
        <f>IFERROR(IF(U11="",E11,U11)*V11,"")</f>
        <v>70.2741</v>
      </c>
      <c r="Y11" s="20" t="s">
        <v>156</v>
      </c>
      <c r="AF11" s="17">
        <v>32962</v>
      </c>
      <c r="AH11" s="18">
        <f>IFERROR(IF(OR(AG11&gt;=AI11,E11&gt;=AI11),LOOKUP(IF(AG11="",E11,AG11),{0,1,10,50,100,1000,10000},{0.0,0.43,0.333,0.333,0.189,0.096,0.066}),"MOQ="&amp;AI11),"")</f>
        <v>0.189</v>
      </c>
      <c r="AI11" s="17">
        <v>1</v>
      </c>
      <c r="AJ11" s="19">
        <f>IFERROR(IF(AG11="",E11,AG11)*AH11,"")</f>
        <v>75.6</v>
      </c>
      <c r="AK11" s="20" t="s">
        <v>180</v>
      </c>
      <c r="AL11" s="17">
        <v>3312</v>
      </c>
      <c r="AN11" s="18">
        <f>IFERROR(IF(OR(AM11&gt;=AO11,E11&gt;=AO11),LOOKUP(IF(AM11="",E11,AM11),{0,1,5,10,25,50,100},{0.0,0.094,0.094,0.072,0.06,0.048,0.037}),"MOQ="&amp;AO11),"")</f>
        <v>0.037</v>
      </c>
      <c r="AO11" s="17">
        <v>5</v>
      </c>
      <c r="AP11" s="19">
        <f>IFERROR(IF(AM11="",E11,AM11)*AN11,"")</f>
        <v>14.8</v>
      </c>
      <c r="AQ11" s="20" t="s">
        <v>207</v>
      </c>
      <c r="AR11" s="17">
        <v>340</v>
      </c>
      <c r="AT11" s="18">
        <f>IFERROR(IF(OR(AS11&gt;=AU11,E11&gt;=AU11),USD_GBP*LOOKUP(IF(AS11="",E11,AS11),{0,1,20,100,200,500,1000},{0.0,0.159,0.159,0.15,0.142,0.134,0.127}),"MOQ="&amp;AU11),"")</f>
        <v>0.20118792374109054</v>
      </c>
      <c r="AU11" s="17">
        <v>20</v>
      </c>
      <c r="AV11" s="19">
        <f>IFERROR(IF(AS11="",E11,AS11)*AT11,"")</f>
        <v>80.4752</v>
      </c>
      <c r="AW11" s="20" t="s">
        <v>231</v>
      </c>
      <c r="AX11" s="17">
        <v>1820</v>
      </c>
      <c r="AZ11" s="18">
        <f>IFERROR(IF(OR(AY11&gt;=BA11,E11&gt;=BA11),USD_GBP*LOOKUP(IF(AY11="",E11,AY11),{0,1,20,100,500,3000,15000},{0.0,0.0339,0.0339,0.0305,0.0269,0.0242,0.0225}),"MOQ="&amp;BA11),"")</f>
        <v>0.04321289911340325</v>
      </c>
      <c r="BA11" s="17">
        <v>20</v>
      </c>
      <c r="BB11" s="19">
        <f>IFERROR(IF(AY11="",E11,AY11)*AZ11,"")</f>
        <v>17.2852</v>
      </c>
      <c r="BC11" s="20" t="s">
        <v>22</v>
      </c>
    </row>
    <row r="12" spans="1:55">
      <c r="A12" s="17" t="s">
        <v>24</v>
      </c>
      <c r="B12" s="17" t="s">
        <v>25</v>
      </c>
      <c r="C12" s="17" t="s">
        <v>26</v>
      </c>
      <c r="D12" s="17" t="s">
        <v>25</v>
      </c>
      <c r="E12" s="17">
        <f>CEILING(BoardQty*4.0,1)</f>
        <v>400</v>
      </c>
      <c r="F12" s="18">
        <f>IF(MIN(J12,P12,V12,AB12,AH12,AN12,AT12,AZ12)&lt;&gt;0,MIN(J12,P12,V12,AB12,AH12,AN12,AT12,AZ12),"")</f>
        <v>0.3400359274497305</v>
      </c>
      <c r="G12" s="19">
        <f>IF(AND(ISNUMBER(E12),ISNUMBER(F12)),E12*F12,"")</f>
        <v>136.0144</v>
      </c>
      <c r="H12" s="21" t="s">
        <v>109</v>
      </c>
      <c r="J12" s="18">
        <f>IFERROR(IF(OR(I12&gt;=K12,E12&gt;=K12),LOOKUP(IF(I12="",E12,I12),{0,1,3000},{0.0,0.3497,0.3497}),"MOQ="&amp;K12),"")</f>
        <v/>
      </c>
      <c r="K12" s="17">
        <v>3000</v>
      </c>
      <c r="L12" s="19">
        <f>IFERROR(IF(I12="",E12,I12)*J12,"")</f>
        <v/>
      </c>
      <c r="M12" s="20" t="s">
        <v>25</v>
      </c>
      <c r="N12" s="17">
        <v>72</v>
      </c>
      <c r="P12" s="18">
        <f>IFERROR(IF(OR(O12&gt;=Q12,E12&gt;=Q12),LOOKUP(IF(O12="",E12,O12),{0,1,10,100,500,1000},{0.0,1.05,0.938,0.7314,0.6042,0.525}),"MOQ="&amp;Q12),"")</f>
        <v>0.7314</v>
      </c>
      <c r="Q12" s="17">
        <v>1</v>
      </c>
      <c r="R12" s="19">
        <f>IFERROR(IF(O12="",E12,O12)*P12,"")</f>
        <v>292.56</v>
      </c>
      <c r="S12" s="20" t="s">
        <v>130</v>
      </c>
      <c r="T12" s="17">
        <v>3998</v>
      </c>
      <c r="V12" s="18">
        <f>IFERROR(IF(OR(U12&gt;=W12,E12&gt;=W12),USD_GBP*LOOKUP(IF(U12="",E12,U12),{0,1,10,100,500,1000},{0.0,1.17,0.939,0.66,0.55,0.433}),"MOQ="&amp;W12),"")</f>
        <v>0.935098800486759</v>
      </c>
      <c r="W12" s="17">
        <v>1</v>
      </c>
      <c r="X12" s="19">
        <f>IFERROR(IF(U12="",E12,U12)*V12,"")</f>
        <v>374.0395</v>
      </c>
      <c r="Y12" s="20" t="s">
        <v>157</v>
      </c>
      <c r="AF12" s="17">
        <v>2981</v>
      </c>
      <c r="AH12" s="18">
        <f>IFERROR(IF(OR(AG12&gt;=AI12,E12&gt;=AI12),LOOKUP(IF(AG12="",E12,AG12),{0,1,10,50,100,1000,10000},{0.0,1.08,0.974,0.974,0.759,0.495,0.461}),"MOQ="&amp;AI12),"")</f>
        <v>0.759</v>
      </c>
      <c r="AI12" s="17">
        <v>1</v>
      </c>
      <c r="AJ12" s="19">
        <f>IFERROR(IF(AG12="",E12,AG12)*AH12,"")</f>
        <v>303.6</v>
      </c>
      <c r="AK12" s="20" t="s">
        <v>181</v>
      </c>
      <c r="AL12" s="17">
        <v>3212</v>
      </c>
      <c r="AN12" s="18">
        <f>IFERROR(IF(OR(AM12&gt;=AO12,E12&gt;=AO12),LOOKUP(IF(AM12="",E12,AM12),{0,1,3000,10000},{0.0,0.391,0.391,0.382}),"MOQ="&amp;AO12),"")</f>
        <v/>
      </c>
      <c r="AO12" s="17">
        <v>3000</v>
      </c>
      <c r="AP12" s="19">
        <f>IFERROR(IF(AM12="",E12,AM12)*AN12,"")</f>
        <v/>
      </c>
      <c r="AQ12" s="20" t="s">
        <v>208</v>
      </c>
      <c r="AR12" s="17">
        <v>862</v>
      </c>
      <c r="AT12" s="18">
        <f>IFERROR(IF(OR(AS12&gt;=AU12,E12&gt;=AU12),USD_GBP*LOOKUP(IF(AS12="",E12,AS12),{0,1,10,100,500,1000,5000},{0.0,0.641,0.641,0.49,0.408,0.322,0.303}),"MOQ="&amp;AU12),"")</f>
        <v>0.6942400185431998</v>
      </c>
      <c r="AU12" s="17">
        <v>10</v>
      </c>
      <c r="AV12" s="19">
        <f>IFERROR(IF(AS12="",E12,AS12)*AT12,"")</f>
        <v>277.696</v>
      </c>
      <c r="AW12" s="20" t="s">
        <v>232</v>
      </c>
      <c r="AX12" s="17">
        <v>277</v>
      </c>
      <c r="AZ12" s="18">
        <f>IFERROR(IF(OR(AY12&gt;=BA12,E12&gt;=BA12),USD_GBP*LOOKUP(IF(AY12="",E12,AY12),{0,1,5,25,75,300},{0.0,0.6,0.36,0.29,0.27,0.24}),"MOQ="&amp;BA12),"")</f>
        <v>0.3400359274497305</v>
      </c>
      <c r="BA12" s="17">
        <v>1</v>
      </c>
      <c r="BB12" s="19">
        <f>IFERROR(IF(AY12="",E12,AY12)*AZ12,"")</f>
        <v>136.0144</v>
      </c>
      <c r="BC12" s="20" t="s">
        <v>25</v>
      </c>
    </row>
    <row r="13" spans="1:55">
      <c r="A13" s="17" t="s">
        <v>27</v>
      </c>
      <c r="B13" s="17" t="s">
        <v>28</v>
      </c>
      <c r="C13" s="17" t="s">
        <v>29</v>
      </c>
      <c r="D13" s="17" t="s">
        <v>30</v>
      </c>
      <c r="E13" s="17">
        <f>CEILING(BoardQty*4.0,1)</f>
        <v>400</v>
      </c>
      <c r="F13" s="18">
        <f>IF(MIN(J13,P13,V13,AB13,AH13,AN13,AT13,AZ13)&lt;&gt;0,MIN(J13,P13,V13,AB13,AH13,AN13,AT13,AZ13),"")</f>
        <v>1.83</v>
      </c>
      <c r="G13" s="19">
        <f>IF(AND(ISNUMBER(E13),ISNUMBER(F13)),E13*F13,"")</f>
        <v>732.0</v>
      </c>
      <c r="H13" s="21" t="s">
        <v>109</v>
      </c>
      <c r="J13" s="18">
        <f>IFERROR(IF(OR(I13&gt;=K13,E13&gt;=K13),LOOKUP(IF(I13="",E13,I13),{0,1,1500,15000,150000,750000,1500000},{0.0,1.366,1.366,1.355,1.281,1.228,1.227}),"MOQ="&amp;K13),"")</f>
        <v/>
      </c>
      <c r="K13" s="17">
        <v>1500</v>
      </c>
      <c r="L13" s="19">
        <f>IFERROR(IF(I13="",E13,I13)*J13,"")</f>
        <v/>
      </c>
      <c r="M13" s="20" t="s">
        <v>30</v>
      </c>
      <c r="N13" s="21" t="s">
        <v>109</v>
      </c>
      <c r="P13" s="18">
        <f>IFERROR(IF(OR(O13&gt;=Q13,E13&gt;=Q13),LOOKUP(IF(O13="",E13,O13),{0,1,1500},{0.0,1.36633,1.36633}),"MOQ="&amp;Q13),"")</f>
        <v/>
      </c>
      <c r="Q13" s="17">
        <v>1500</v>
      </c>
      <c r="R13" s="19">
        <f>IFERROR(IF(O13="",E13,O13)*P13,"")</f>
        <v/>
      </c>
      <c r="S13" s="20" t="s">
        <v>131</v>
      </c>
      <c r="AF13" s="17">
        <v>1650</v>
      </c>
      <c r="AH13" s="18">
        <f>IFERROR(IF(OR(AG13&gt;=AI13,E13&gt;=AI13),LOOKUP(IF(AG13="",E13,AG13),{0,1,10,50,100,1000,10000},{0.0,2.93,2.84,2.23,1.83,1.42,1.23}),"MOQ="&amp;AI13),"")</f>
        <v>1.83</v>
      </c>
      <c r="AI13" s="17">
        <v>1</v>
      </c>
      <c r="AJ13" s="19">
        <f>IFERROR(IF(AG13="",E13,AG13)*AH13,"")</f>
        <v>732.0</v>
      </c>
      <c r="AK13" s="20" t="s">
        <v>182</v>
      </c>
      <c r="AL13" s="21" t="s">
        <v>109</v>
      </c>
      <c r="AN13" s="18">
        <f>IFERROR(IF(OR(AM13&gt;=AO13,E13&gt;=AO13),LOOKUP(IF(AM13="",E13,AM13),{0,1,1500,3000,6000},{0.0,1.24,1.24,1.19,1.16}),"MOQ="&amp;AO13),"")</f>
        <v/>
      </c>
      <c r="AO13" s="17">
        <v>1500</v>
      </c>
      <c r="AP13" s="19">
        <f>IFERROR(IF(AM13="",E13,AM13)*AN13,"")</f>
        <v/>
      </c>
      <c r="AQ13" s="20" t="s">
        <v>209</v>
      </c>
    </row>
    <row r="14" spans="1:55">
      <c r="A14" s="17" t="s">
        <v>31</v>
      </c>
      <c r="B14" s="17" t="s">
        <v>32</v>
      </c>
      <c r="C14" s="17" t="s">
        <v>33</v>
      </c>
      <c r="D14" s="17" t="s">
        <v>32</v>
      </c>
      <c r="E14" s="17">
        <f>CEILING(BoardQty*4.0,1)</f>
        <v>400</v>
      </c>
      <c r="F14" s="18">
        <f>IF(MIN(J14,P14,V14,AB14,AH14,AN14,AT14,AZ14)&lt;&gt;0,MIN(J14,P14,V14,AB14,AH14,AN14,AT14,AZ14),"")</f>
        <v>1.85</v>
      </c>
      <c r="G14" s="19">
        <f>IF(AND(ISNUMBER(E14),ISNUMBER(F14)),E14*F14,"")</f>
        <v>740.0</v>
      </c>
      <c r="H14" s="21" t="s">
        <v>109</v>
      </c>
      <c r="M14" s="20" t="s">
        <v>110</v>
      </c>
      <c r="T14" s="17">
        <v>403</v>
      </c>
      <c r="V14" s="18">
        <f>IFERROR(IF(OR(U14&gt;=W14,E14&gt;=W14),USD_GBP*LOOKUP(IF(U14="",E14,U14),{0,1,10,25,100,250,500,1000},{0.0,1.86,1.62,1.74,1.48,1.37,1.3,1.24}),"MOQ="&amp;W14),"")</f>
        <v>1.9410384191922119</v>
      </c>
      <c r="W14" s="17">
        <v>1</v>
      </c>
      <c r="X14" s="19">
        <f>IFERROR(IF(U14="",E14,U14)*V14,"")</f>
        <v>776.4154</v>
      </c>
      <c r="Y14" s="20" t="s">
        <v>158</v>
      </c>
      <c r="AL14" s="17">
        <v>403</v>
      </c>
      <c r="AN14" s="18">
        <f>IFERROR(IF(OR(AM14&gt;=AO14,E14&gt;=AO14),LOOKUP(IF(AM14="",E14,AM14),{0,1,25,100,250,500},{0.0,2.22,2.1,1.97,1.85,1.71}),"MOQ="&amp;AO14),"")</f>
        <v>1.85</v>
      </c>
      <c r="AO14" s="17">
        <v>1</v>
      </c>
      <c r="AP14" s="19">
        <f>IFERROR(IF(AM14="",E14,AM14)*AN14,"")</f>
        <v>740.0</v>
      </c>
      <c r="AQ14" s="20" t="s">
        <v>210</v>
      </c>
    </row>
    <row r="15" spans="1:55">
      <c r="A15" s="17" t="s">
        <v>34</v>
      </c>
      <c r="B15" s="17" t="s">
        <v>35</v>
      </c>
      <c r="C15" s="17" t="s">
        <v>36</v>
      </c>
      <c r="D15" s="17" t="s">
        <v>37</v>
      </c>
      <c r="E15" s="17">
        <f>CEILING(BoardQty*30.0,1)</f>
        <v>3000</v>
      </c>
      <c r="F15" s="18">
        <f>IF(MIN(J15,P15,V15,AB15,AH15,AN15,AT15,AZ15)&lt;&gt;0,MIN(J15,P15,V15,AB15,AH15,AN15,AT15,AZ15),"")</f>
        <v>0.209</v>
      </c>
      <c r="G15" s="19">
        <f>IF(AND(ISNUMBER(E15),ISNUMBER(F15)),E15*F15,"")</f>
        <v>627.0</v>
      </c>
      <c r="H15" s="21" t="s">
        <v>109</v>
      </c>
      <c r="J15" s="18">
        <f>IFERROR(IF(OR(I15&gt;=K15,E15&gt;=K15),LOOKUP(IF(I15="",E15,I15),{0,1},{0.0,0.4717}),"MOQ="&amp;K15),"")</f>
        <v>0.4717</v>
      </c>
      <c r="K15" s="17">
        <v>1</v>
      </c>
      <c r="L15" s="19">
        <f>IFERROR(IF(I15="",E15,I15)*J15,"")</f>
        <v>1415.1</v>
      </c>
      <c r="M15" s="20" t="s">
        <v>111</v>
      </c>
      <c r="N15" s="17">
        <v>151933</v>
      </c>
      <c r="P15" s="18">
        <f>IFERROR(IF(OR(O15&gt;=Q15,E15&gt;=Q15),LOOKUP(IF(O15="",E15,O15),{0,1,10,25,50,100,250,500,1000,2500},{0.0,0.54,0.509,0.458,0.4072,0.3903,0.35632,0.33936,0.27997,0.25452}),"MOQ="&amp;Q15),"")</f>
        <v>0.25452</v>
      </c>
      <c r="Q15" s="17">
        <v>1</v>
      </c>
      <c r="R15" s="19">
        <f>IFERROR(IF(O15="",E15,O15)*P15,"")</f>
        <v>763.56</v>
      </c>
      <c r="S15" s="20" t="s">
        <v>132</v>
      </c>
      <c r="T15" s="17">
        <v>1889</v>
      </c>
      <c r="V15" s="18">
        <f>IFERROR(IF(OR(U15&gt;=W15,E15&gt;=W15),USD_GBP*LOOKUP(IF(U15="",E15,U15),{0,1,10,100,500,1000,2500,5000},{0.0,0.464,0.464,0.359,0.319,0.287,0.267,0.247}),"MOQ="&amp;W15),"")</f>
        <v>0.3782899692878252</v>
      </c>
      <c r="W15" s="17">
        <v>10</v>
      </c>
      <c r="X15" s="19">
        <f>IFERROR(IF(U15="",E15,U15)*V15,"")</f>
        <v>1134.8699</v>
      </c>
      <c r="Y15" s="20" t="s">
        <v>159</v>
      </c>
      <c r="AF15" s="17">
        <v>24654</v>
      </c>
      <c r="AH15" s="18">
        <f>IFERROR(IF(OR(AG15&gt;=AI15,E15&gt;=AI15),LOOKUP(IF(AG15="",E15,AG15),{0,1,10,50,100,1000,10000},{0.0,0.44,0.419,0.305,0.284,0.209,0.202}),"MOQ="&amp;AI15),"")</f>
        <v>0.209</v>
      </c>
      <c r="AI15" s="17">
        <v>1</v>
      </c>
      <c r="AJ15" s="19">
        <f>IFERROR(IF(AG15="",E15,AG15)*AH15,"")</f>
        <v>627.0</v>
      </c>
      <c r="AK15" s="20" t="s">
        <v>183</v>
      </c>
      <c r="AL15" s="17">
        <v>3618</v>
      </c>
      <c r="AN15" s="18">
        <f>IFERROR(IF(OR(AM15&gt;=AO15,E15&gt;=AO15),LOOKUP(IF(AM15="",E15,AM15),{0,1,10,25,50,100,250},{0.0,0.819,0.767,0.69,0.613,0.588,0.536}),"MOQ="&amp;AO15),"")</f>
        <v>0.536</v>
      </c>
      <c r="AO15" s="17">
        <v>1</v>
      </c>
      <c r="AP15" s="19">
        <f>IFERROR(IF(AM15="",E15,AM15)*AN15,"")</f>
        <v>1608.0</v>
      </c>
      <c r="AQ15" s="20" t="s">
        <v>211</v>
      </c>
    </row>
    <row r="16" spans="1:55">
      <c r="A16" s="17" t="s">
        <v>38</v>
      </c>
      <c r="B16" s="17" t="s">
        <v>39</v>
      </c>
      <c r="C16" s="17" t="s">
        <v>40</v>
      </c>
      <c r="D16" s="17" t="s">
        <v>41</v>
      </c>
      <c r="E16" s="17">
        <f>CEILING(BoardQty*10.0,1)</f>
        <v>1000</v>
      </c>
      <c r="F16" s="18">
        <f>IF(MIN(J16,P16,V16,AB16,AH16,AN16,AT16,AZ16)&lt;&gt;0,MIN(J16,P16,V16,AB16,AH16,AN16,AT16,AZ16),"")</f>
        <v>0.585</v>
      </c>
      <c r="G16" s="19">
        <f>IF(AND(ISNUMBER(E16),ISNUMBER(F16)),E16*F16,"")</f>
        <v>585.0</v>
      </c>
      <c r="H16" s="21" t="s">
        <v>109</v>
      </c>
      <c r="M16" s="20" t="s">
        <v>41</v>
      </c>
      <c r="N16" s="17">
        <v>891</v>
      </c>
      <c r="P16" s="18">
        <f>IFERROR(IF(OR(O16&gt;=Q16,E16&gt;=Q16),LOOKUP(IF(O16="",E16,O16),{0,1,10,25,50,100,250,500,1000},{0.0,0.81,0.778,0.756,0.711,0.639,0.63,0.5895,0.5863}),"MOQ="&amp;Q16),"")</f>
        <v>0.5863</v>
      </c>
      <c r="Q16" s="17">
        <v>1</v>
      </c>
      <c r="R16" s="19">
        <f>IFERROR(IF(O16="",E16,O16)*P16,"")</f>
        <v>586.3</v>
      </c>
      <c r="S16" s="20" t="s">
        <v>133</v>
      </c>
      <c r="T16" s="21" t="s">
        <v>109</v>
      </c>
      <c r="V16" s="18">
        <f>IFERROR(IF(OR(U16&gt;=W16,E16&gt;=W16),USD_GBP*LOOKUP(IF(U16="",E16,U16),{0,1,10,50,100,250,500,1000,5000},{0.0,2.27,2.27,0.947,0.828,0.736,0.677,0.649,0.62}),"MOQ="&amp;W16),"")</f>
        <v>0.9195138204786463</v>
      </c>
      <c r="W16" s="17">
        <v>1</v>
      </c>
      <c r="X16" s="19">
        <f>IFERROR(IF(U16="",E16,U16)*V16,"")</f>
        <v>919.5138</v>
      </c>
      <c r="Y16" s="20" t="s">
        <v>160</v>
      </c>
      <c r="AF16" s="21" t="s">
        <v>109</v>
      </c>
      <c r="AH16" s="18">
        <f>IFERROR(IF(OR(AG16&gt;=AI16,E16&gt;=AI16),LOOKUP(IF(AG16="",E16,AG16),{0,1,10,50,100,1000,10000},{0.0,0.81,0.711,0.711,0.63,0.585,0.548}),"MOQ="&amp;AI16),"")</f>
        <v>0.585</v>
      </c>
      <c r="AI16" s="17">
        <v>1</v>
      </c>
      <c r="AJ16" s="19">
        <f>IFERROR(IF(AG16="",E16,AG16)*AH16,"")</f>
        <v>585.0</v>
      </c>
      <c r="AK16" s="20" t="s">
        <v>184</v>
      </c>
      <c r="AL16" s="21" t="s">
        <v>109</v>
      </c>
      <c r="AN16" s="18">
        <f>IFERROR(IF(OR(AM16&gt;=AO16,E16&gt;=AO16),LOOKUP(IF(AM16="",E16,AM16),{0,1,10,25,50,100,250,500},{0.0,1.26,1.03,0.953,0.874,0.795,0.74,0.684}),"MOQ="&amp;AO16),"")</f>
        <v>0.684</v>
      </c>
      <c r="AO16" s="17">
        <v>1</v>
      </c>
      <c r="AP16" s="19">
        <f>IFERROR(IF(AM16="",E16,AM16)*AN16,"")</f>
        <v>684.0</v>
      </c>
      <c r="AQ16" s="20" t="s">
        <v>212</v>
      </c>
    </row>
    <row r="17" spans="1:55">
      <c r="A17" s="17" t="s">
        <v>42</v>
      </c>
      <c r="B17" s="17" t="s">
        <v>43</v>
      </c>
      <c r="C17" s="17" t="s">
        <v>44</v>
      </c>
      <c r="D17" s="17" t="s">
        <v>45</v>
      </c>
      <c r="E17" s="17">
        <f>CEILING(BoardQty*2.0,1)</f>
        <v>200</v>
      </c>
      <c r="F17" s="18">
        <f>IF(MIN(J17,P17,V17,AB17,AH17,AN17,AT17,AZ17)&lt;&gt;0,MIN(J17,P17,V17,AB17,AH17,AN17,AT17,AZ17),"")</f>
        <v>5.04</v>
      </c>
      <c r="G17" s="19">
        <f>IF(AND(ISNUMBER(E17),ISNUMBER(F17)),E17*F17,"")</f>
        <v>1008.0</v>
      </c>
      <c r="N17" s="17">
        <v>1137</v>
      </c>
      <c r="P17" s="18">
        <f>IFERROR(IF(OR(O17&gt;=Q17,E17&gt;=Q17),LOOKUP(IF(O17="",E17,O17),{0,1,10,50,100},{0.0,6.93,6.804,6.048,5.04}),"MOQ="&amp;Q17),"")</f>
        <v>5.04</v>
      </c>
      <c r="Q17" s="17">
        <v>1</v>
      </c>
      <c r="R17" s="19">
        <f>IFERROR(IF(O17="",E17,O17)*P17,"")</f>
        <v>1008.0</v>
      </c>
      <c r="S17" s="20" t="s">
        <v>134</v>
      </c>
      <c r="T17" s="21" t="s">
        <v>109</v>
      </c>
      <c r="V17" s="18">
        <f>IFERROR(IF(OR(U17&gt;=W17,E17&gt;=W17),USD_GBP*LOOKUP(IF(U17="",E17,U17),{0,1,5,10,20,40,100,500},{0.0,6.54,6.27,5.15,4.82,4.48,3.9,3.46}),"MOQ="&amp;W17),"")</f>
        <v>5.525583821058121</v>
      </c>
      <c r="W17" s="17">
        <v>1</v>
      </c>
      <c r="X17" s="19">
        <f>IFERROR(IF(U17="",E17,U17)*V17,"")</f>
        <v>1105.1168</v>
      </c>
      <c r="Y17" s="20" t="s">
        <v>161</v>
      </c>
      <c r="AF17" s="17">
        <v>519</v>
      </c>
      <c r="AH17" s="18">
        <f>IFERROR(IF(OR(AG17&gt;=AI17,E17&gt;=AI17),LOOKUP(IF(AG17="",E17,AG17),{0,1,10,50,100,1000,10000},{0.0,7.17,7.05,6.26,5.21,4.69,4.69}),"MOQ="&amp;AI17),"")</f>
        <v>5.21</v>
      </c>
      <c r="AI17" s="17">
        <v>1</v>
      </c>
      <c r="AJ17" s="19">
        <f>IFERROR(IF(AG17="",E17,AG17)*AH17,"")</f>
        <v>1042.0</v>
      </c>
      <c r="AK17" s="20" t="s">
        <v>185</v>
      </c>
      <c r="AL17" s="21" t="s">
        <v>109</v>
      </c>
      <c r="AN17" s="18">
        <f>IFERROR(IF(OR(AM17&gt;=AO17,E17&gt;=AO17),LOOKUP(IF(AM17="",E17,AM17),{0,1,10,25,50},{0.0,8.72,8.58,8.15,7.72}),"MOQ="&amp;AO17),"")</f>
        <v>7.72</v>
      </c>
      <c r="AO17" s="17">
        <v>1</v>
      </c>
      <c r="AP17" s="19">
        <f>IFERROR(IF(AM17="",E17,AM17)*AN17,"")</f>
        <v>1544.0</v>
      </c>
      <c r="AQ17" s="20" t="s">
        <v>213</v>
      </c>
      <c r="AR17" s="17">
        <v>39</v>
      </c>
      <c r="AT17" s="18">
        <f>IFERROR(IF(OR(AS17&gt;=AU17,E17&gt;=AU17),USD_GBP*LOOKUP(IF(AS17="",E17,AS17),{0,1,10,20,50,100},{0.0,5.39,5.2,4.94,4.63,3.85}),"MOQ="&amp;AU17),"")</f>
        <v>5.454743002839427</v>
      </c>
      <c r="AU17" s="17">
        <v>1</v>
      </c>
      <c r="AV17" s="19">
        <f>IFERROR(IF(AS17="",E17,AS17)*AT17,"")</f>
        <v>1090.9486</v>
      </c>
      <c r="AW17" s="20" t="s">
        <v>233</v>
      </c>
    </row>
    <row r="18" spans="1:55">
      <c r="A18" s="17" t="s">
        <v>46</v>
      </c>
      <c r="B18" s="17" t="s">
        <v>47</v>
      </c>
      <c r="C18" s="17" t="s">
        <v>26</v>
      </c>
      <c r="D18" s="17" t="s">
        <v>48</v>
      </c>
      <c r="E18" s="17">
        <f>CEILING(BoardQty*5.0,1)</f>
        <v>500</v>
      </c>
      <c r="F18" s="18">
        <f>IF(MIN(J18,P18,V18,AB18,AH18,AN18,AT18,AZ18)&lt;&gt;0,MIN(J18,P18,V18,AB18,AH18,AN18,AT18,AZ18),"")</f>
        <v>1.57338</v>
      </c>
      <c r="G18" s="19">
        <f>IF(AND(ISNUMBER(E18),ISNUMBER(F18)),E18*F18,"")</f>
        <v>786.69</v>
      </c>
      <c r="H18" s="21" t="s">
        <v>109</v>
      </c>
      <c r="J18" s="18">
        <f>IFERROR(IF(OR(I18&gt;=K18,E18&gt;=K18),LOOKUP(IF(I18="",E18,I18),{0,1,2500,25000,250000,1250000,2500000},{0.0,1.0,1.0,0.982,0.8681,0.7911,0.7896}),"MOQ="&amp;K18),"")</f>
        <v/>
      </c>
      <c r="K18" s="17">
        <v>2500</v>
      </c>
      <c r="L18" s="19">
        <f>IFERROR(IF(I18="",E18,I18)*J18,"")</f>
        <v/>
      </c>
      <c r="M18" s="20" t="s">
        <v>48</v>
      </c>
      <c r="N18" s="21" t="s">
        <v>109</v>
      </c>
      <c r="P18" s="18">
        <f>IFERROR(IF(OR(O18&gt;=Q18,E18&gt;=Q18),LOOKUP(IF(O18="",E18,O18),{0,1,10,25,100,500,1000,2500},{0.0,2.65,2.383,2.2476,1.915,1.57338,1.36815,1.36815}),"MOQ="&amp;Q18),"")</f>
        <v>1.57338</v>
      </c>
      <c r="Q18" s="17">
        <v>1</v>
      </c>
      <c r="R18" s="19">
        <f>IFERROR(IF(O18="",E18,O18)*P18,"")</f>
        <v>786.69</v>
      </c>
      <c r="S18" s="20" t="s">
        <v>135</v>
      </c>
      <c r="T18" s="21" t="s">
        <v>109</v>
      </c>
      <c r="V18" s="18">
        <f>IFERROR(IF(OR(U18&gt;=W18,E18&gt;=W18),USD_GBP*LOOKUP(IF(U18="",E18,U18),{0,1,10,100,150,500,1000},{0.0,2.74,1.95,1.55,1.55,1.35,1.15}),"MOQ="&amp;W18),"")</f>
        <v>1.9127020919047342</v>
      </c>
      <c r="W18" s="17">
        <v>1</v>
      </c>
      <c r="X18" s="19">
        <f>IFERROR(IF(U18="",E18,U18)*V18,"")</f>
        <v>956.351</v>
      </c>
      <c r="Y18" s="20" t="s">
        <v>162</v>
      </c>
      <c r="AF18" s="21" t="s">
        <v>109</v>
      </c>
      <c r="AH18" s="18">
        <f>IFERROR(IF(OR(AG18&gt;=AI18,E18&gt;=AI18),LOOKUP(IF(AG18="",E18,AG18),{0,1,10,50,100,1000,10000},{0.0,2.66,2.39,2.25,1.98,1.42,1.36}),"MOQ="&amp;AI18),"")</f>
        <v>1.98</v>
      </c>
      <c r="AI18" s="17">
        <v>1</v>
      </c>
      <c r="AJ18" s="19">
        <f>IFERROR(IF(AG18="",E18,AG18)*AH18,"")</f>
        <v>990.0</v>
      </c>
      <c r="AK18" s="20" t="s">
        <v>186</v>
      </c>
      <c r="AL18" s="21" t="s">
        <v>109</v>
      </c>
      <c r="AN18" s="18">
        <f>IFERROR(IF(OR(AM18&gt;=AO18,E18&gt;=AO18),LOOKUP(IF(AM18="",E18,AM18),{0,1,10,25,50,100},{0.0,2.89,2.45,2.28,2.09,1.91}),"MOQ="&amp;AO18),"")</f>
        <v>1.91</v>
      </c>
      <c r="AO18" s="17">
        <v>1</v>
      </c>
      <c r="AP18" s="19">
        <f>IFERROR(IF(AM18="",E18,AM18)*AN18,"")</f>
        <v>955.0</v>
      </c>
      <c r="AQ18" s="20" t="s">
        <v>214</v>
      </c>
    </row>
    <row r="19" spans="1:55">
      <c r="A19" s="17" t="s">
        <v>49</v>
      </c>
      <c r="B19" s="17" t="s">
        <v>50</v>
      </c>
      <c r="C19" s="17" t="s">
        <v>51</v>
      </c>
      <c r="D19" s="17" t="s">
        <v>52</v>
      </c>
      <c r="E19" s="17">
        <f>CEILING(BoardQty*4.0,1)</f>
        <v>400</v>
      </c>
      <c r="F19" s="18">
        <f>IF(MIN(J19,P19,V19,AB19,AH19,AN19,AT19,AZ19)&lt;&gt;0,MIN(J19,P19,V19,AB19,AH19,AN19,AT19,AZ19),"")</f>
        <v>0.008</v>
      </c>
      <c r="G19" s="19">
        <f>IF(AND(ISNUMBER(E19),ISNUMBER(F19)),E19*F19,"")</f>
        <v>3.2</v>
      </c>
      <c r="H19" s="21" t="s">
        <v>109</v>
      </c>
      <c r="M19" s="20" t="s">
        <v>112</v>
      </c>
      <c r="N19" s="17">
        <v>3842</v>
      </c>
      <c r="P19" s="18">
        <f>IFERROR(IF(OR(O19&gt;=Q19,E19&gt;=Q19),LOOKUP(IF(O19="",E19,O19),{0,1,10,100,1000,2500,5000},{0.0,0.1,0.073,0.0299,0.01341,0.01164,0.00961}),"MOQ="&amp;Q19),"")</f>
        <v>0.0299</v>
      </c>
      <c r="Q19" s="17">
        <v>1</v>
      </c>
      <c r="R19" s="19">
        <f>IFERROR(IF(O19="",E19,O19)*P19,"")</f>
        <v>11.96</v>
      </c>
      <c r="S19" s="20" t="s">
        <v>136</v>
      </c>
      <c r="T19" s="17">
        <v>5000</v>
      </c>
      <c r="V19" s="18">
        <f>IFERROR(IF(OR(U19&gt;=W19,E19&gt;=W19),USD_GBP*LOOKUP(IF(U19="",E19,U19),{0,1,10,25,50,100,150,250,500,1000,2500,5000,25000},{0.0,0.0797,0.0477,0.0553,0.0382,0.0293,0.0308,0.0228,0.0217,0.0125,0.0093,0.0091,0.0089}),"MOQ="&amp;W19),"")</f>
        <v>0.0323034131077244</v>
      </c>
      <c r="W19" s="17">
        <v>1</v>
      </c>
      <c r="X19" s="19">
        <f>IFERROR(IF(U19="",E19,U19)*V19,"")</f>
        <v>12.9214</v>
      </c>
      <c r="Y19" s="20" t="s">
        <v>163</v>
      </c>
      <c r="AF19" s="17">
        <v>13656</v>
      </c>
      <c r="AH19" s="18">
        <f>IFERROR(IF(OR(AG19&gt;=AI19,E19&gt;=AI19),LOOKUP(IF(AG19="",E19,AG19),{0,1,10,50,100,1000,10000},{0.0,0.1,0.051,0.051,0.026,0.011,0.009}),"MOQ="&amp;AI19),"")</f>
        <v>0.026</v>
      </c>
      <c r="AI19" s="17">
        <v>1</v>
      </c>
      <c r="AJ19" s="19">
        <f>IFERROR(IF(AG19="",E19,AG19)*AH19,"")</f>
        <v>10.4</v>
      </c>
      <c r="AK19" s="20" t="s">
        <v>187</v>
      </c>
      <c r="AL19" s="17">
        <v>5000</v>
      </c>
      <c r="AN19" s="18">
        <f>IFERROR(IF(OR(AM19&gt;=AO19,E19&gt;=AO19),LOOKUP(IF(AM19="",E19,AM19),{0,1,25,50,100,250,500,5000,10000},{0.0,0.008,0.008,0.008,0.008,0.008,0.008,0.01,0.009}),"MOQ="&amp;AO19),"")</f>
        <v>0.008</v>
      </c>
      <c r="AO19" s="17">
        <v>1</v>
      </c>
      <c r="AP19" s="19">
        <f>IFERROR(IF(AM19="",E19,AM19)*AN19,"")</f>
        <v>3.2</v>
      </c>
      <c r="AQ19" s="20" t="s">
        <v>215</v>
      </c>
    </row>
    <row r="20" spans="1:55">
      <c r="A20" s="17" t="s">
        <v>53</v>
      </c>
      <c r="B20" s="17" t="s">
        <v>54</v>
      </c>
      <c r="C20" s="17" t="s">
        <v>51</v>
      </c>
      <c r="D20" s="17" t="s">
        <v>55</v>
      </c>
      <c r="E20" s="17">
        <f>CEILING(BoardQty*4.0,1)</f>
        <v>400</v>
      </c>
      <c r="F20" s="18">
        <f>IF(MIN(J20,P20,V20,AB20,AH20,AN20,AT20,AZ20)&lt;&gt;0,MIN(J20,P20,V20,AB20,AH20,AN20,AT20,AZ20),"")</f>
        <v>0.01004</v>
      </c>
      <c r="G20" s="19">
        <f>IF(AND(ISNUMBER(E20),ISNUMBER(F20)),E20*F20,"")</f>
        <v>4.016</v>
      </c>
      <c r="H20" s="17">
        <v>3555</v>
      </c>
      <c r="J20" s="18">
        <f>IFERROR(IF(OR(I20&gt;=K20,E20&gt;=K20),LOOKUP(IF(I20="",E20,I20),{0,1,5000,50000,500000,2500000},{0.0,0.0082,0.0082,0.0076,0.0041,0.0026}),"MOQ="&amp;K20),"")</f>
        <v/>
      </c>
      <c r="K20" s="17">
        <v>5000</v>
      </c>
      <c r="L20" s="19">
        <f>IFERROR(IF(I20="",E20,I20)*J20,"")</f>
        <v/>
      </c>
      <c r="M20" s="20" t="s">
        <v>113</v>
      </c>
      <c r="N20" s="17">
        <v>24</v>
      </c>
      <c r="P20" s="18">
        <f>IFERROR(IF(OR(O20&gt;=Q20,E20&gt;=Q20),LOOKUP(IF(O20="",E20,O20),{0,1,10,25,50,100,250,500,1000,5000,10000,25000,50000},{0.0,0.1,0.032,0.0236,0.0178,0.0132,0.01004,0.00802,0.00591,0.00424,0.00368,0.00323,0.00303}),"MOQ="&amp;Q20),"")</f>
        <v>0.01004</v>
      </c>
      <c r="Q20" s="17">
        <v>1</v>
      </c>
      <c r="R20" s="19">
        <f>IFERROR(IF(O20="",E20,O20)*P20,"")</f>
        <v>4.016</v>
      </c>
      <c r="S20" s="20" t="s">
        <v>137</v>
      </c>
      <c r="AF20" s="17">
        <v>265884</v>
      </c>
      <c r="AH20" s="18">
        <f>IFERROR(IF(OR(AG20&gt;=AI20,E20&gt;=AI20),LOOKUP(IF(AG20="",E20,AG20),{0,1,10,50,100,1000,10000},{0.0,0.1,0.034,0.034,0.013,0.007,0.004}),"MOQ="&amp;AI20),"")</f>
        <v>0.013</v>
      </c>
      <c r="AI20" s="17">
        <v>1</v>
      </c>
      <c r="AJ20" s="19">
        <f>IFERROR(IF(AG20="",E20,AG20)*AH20,"")</f>
        <v>5.2</v>
      </c>
      <c r="AK20" s="20" t="s">
        <v>188</v>
      </c>
      <c r="AX20" s="21" t="s">
        <v>109</v>
      </c>
      <c r="AZ20" s="18">
        <f>IFERROR(IF(OR(AY20&gt;=BA20,E20&gt;=BA20),USD_GBP*LOOKUP(IF(AY20="",E20,AY20),{0,1,100,1000,5000,15000,50000},{0.0,0.01906,0.01906,0.00515,0.00229,0.00214,0.00204}),"MOQ="&amp;BA20),"")</f>
        <v>0.0270045199049661</v>
      </c>
      <c r="BA20" s="17">
        <v>100</v>
      </c>
      <c r="BB20" s="19">
        <f>IFERROR(IF(AY20="",E20,AY20)*AZ20,"")</f>
        <v>10.8018</v>
      </c>
      <c r="BC20" s="20" t="s">
        <v>245</v>
      </c>
    </row>
    <row r="21" spans="1:55">
      <c r="A21" s="17" t="s">
        <v>56</v>
      </c>
      <c r="B21" s="17" t="s">
        <v>57</v>
      </c>
      <c r="C21" s="17" t="s">
        <v>51</v>
      </c>
      <c r="D21" s="17" t="s">
        <v>58</v>
      </c>
      <c r="E21" s="17">
        <f>CEILING(BoardQty*6.0,1)</f>
        <v>600</v>
      </c>
      <c r="F21" s="18">
        <f>IF(MIN(J21,P21,V21,AB21,AH21,AN21,AT21,AZ21)&lt;&gt;0,MIN(J21,P21,V21,AB21,AH21,AN21,AT21,AZ21),"")</f>
        <v>0.011</v>
      </c>
      <c r="G21" s="19">
        <f>IF(AND(ISNUMBER(E21),ISNUMBER(F21)),E21*F21,"")</f>
        <v>6.6</v>
      </c>
      <c r="H21" s="21" t="s">
        <v>109</v>
      </c>
      <c r="J21" s="18">
        <f>IFERROR(IF(OR(I21&gt;=K21,E21&gt;=K21),LOOKUP(IF(I21="",E21,I21),{0,1,5000,50000,500000,2500000},{0.0,0.0069,0.0069,0.0064,0.0035,0.0022}),"MOQ="&amp;K21),"")</f>
        <v/>
      </c>
      <c r="K21" s="17">
        <v>5000</v>
      </c>
      <c r="L21" s="19">
        <f>IFERROR(IF(I21="",E21,I21)*J21,"")</f>
        <v/>
      </c>
      <c r="M21" s="20" t="s">
        <v>114</v>
      </c>
      <c r="N21" s="21" t="s">
        <v>109</v>
      </c>
      <c r="P21" s="18">
        <f>IFERROR(IF(OR(O21&gt;=Q21,E21&gt;=Q21),LOOKUP(IF(O21="",E21,O21),{0,1,10,100,1000,2500,5000},{0.0,0.1,0.042,0.0169,0.00759,0.00659,0.00544}),"MOQ="&amp;Q21),"")</f>
        <v>0.0169</v>
      </c>
      <c r="Q21" s="17">
        <v>1</v>
      </c>
      <c r="R21" s="19">
        <f>IFERROR(IF(O21="",E21,O21)*P21,"")</f>
        <v>10.14</v>
      </c>
      <c r="S21" s="20" t="s">
        <v>138</v>
      </c>
      <c r="T21" s="17">
        <v>89</v>
      </c>
      <c r="V21" s="18">
        <f>IFERROR(IF(OR(U21&gt;=W21,E21&gt;=W21),USD_GBP*LOOKUP(IF(U21="",E21,U21),{0,1,10,100,150,500,1000,2500,5000},{0.0,0.0312,0.0312,0.0114,0.0114,0.0108,0.007,0.0064,0.0064}),"MOQ="&amp;W21),"")</f>
        <v>0.015301616735237875</v>
      </c>
      <c r="W21" s="17">
        <v>10</v>
      </c>
      <c r="X21" s="19">
        <f>IFERROR(IF(U21="",E21,U21)*V21,"")</f>
        <v>9.181</v>
      </c>
      <c r="Y21" s="20" t="s">
        <v>164</v>
      </c>
      <c r="AF21" s="17">
        <v>94</v>
      </c>
      <c r="AH21" s="18">
        <f>IFERROR(IF(OR(AG21&gt;=AI21,E21&gt;=AI21),LOOKUP(IF(AG21="",E21,AG21),{0,1,10,50,100,1000,10000},{0.0,0.1,0.035,0.035,0.013,0.007,0.004}),"MOQ="&amp;AI21),"")</f>
        <v>0.013</v>
      </c>
      <c r="AI21" s="17">
        <v>1</v>
      </c>
      <c r="AJ21" s="19">
        <f>IFERROR(IF(AG21="",E21,AG21)*AH21,"")</f>
        <v>7.8</v>
      </c>
      <c r="AK21" s="20" t="s">
        <v>189</v>
      </c>
      <c r="AL21" s="17">
        <v>89</v>
      </c>
      <c r="AN21" s="18">
        <f>IFERROR(IF(OR(AM21&gt;=AO21,E21&gt;=AO21),LOOKUP(IF(AM21="",E21,AM21),{0,1,10,25,50,100,5000},{0.0,0.031,0.031,0.024,0.018,0.011,0.006}),"MOQ="&amp;AO21),"")</f>
        <v>0.011</v>
      </c>
      <c r="AO21" s="17">
        <v>10</v>
      </c>
      <c r="AP21" s="19">
        <f>IFERROR(IF(AM21="",E21,AM21)*AN21,"")</f>
        <v>6.6</v>
      </c>
      <c r="AQ21" s="20" t="s">
        <v>216</v>
      </c>
      <c r="AR21" s="17">
        <v>2700</v>
      </c>
      <c r="AT21" s="18">
        <f>IFERROR(IF(OR(AS21&gt;=AU21,E21&gt;=AU21),USD_GBP*LOOKUP(IF(AS21="",E21,AS21),{0,1,5000},{0.0,0.004,0.004}),"MOQ="&amp;AU21),"")</f>
        <v/>
      </c>
      <c r="AU21" s="17">
        <v>5000</v>
      </c>
      <c r="AV21" s="19">
        <f>IFERROR(IF(AS21="",E21,AS21)*AT21,"")</f>
        <v/>
      </c>
      <c r="AW21" s="20" t="s">
        <v>234</v>
      </c>
      <c r="AX21" s="21" t="s">
        <v>109</v>
      </c>
      <c r="AZ21" s="18">
        <f>IFERROR(IF(OR(AY21&gt;=BA21,E21&gt;=BA21),USD_GBP*LOOKUP(IF(AY21="",E21,AY21),{0,1,100,1000,5000,15000,50000},{0.0,0.03625,0.03625,0.01574,0.00615,0.00478,0.0041}),"MOQ="&amp;BA21),"")</f>
        <v>0.051359593208553045</v>
      </c>
      <c r="BA21" s="17">
        <v>100</v>
      </c>
      <c r="BB21" s="19">
        <f>IFERROR(IF(AY21="",E21,AY21)*AZ21,"")</f>
        <v>30.8158</v>
      </c>
      <c r="BC21" s="20" t="s">
        <v>246</v>
      </c>
    </row>
    <row r="22" spans="1:55">
      <c r="A22" s="17" t="s">
        <v>59</v>
      </c>
      <c r="B22" s="17" t="s">
        <v>60</v>
      </c>
      <c r="C22" s="17" t="s">
        <v>51</v>
      </c>
      <c r="D22" s="17" t="s">
        <v>61</v>
      </c>
      <c r="E22" s="17">
        <f>CEILING(BoardQty*6.0,1)</f>
        <v>600</v>
      </c>
      <c r="F22" s="18">
        <f>IF(MIN(J22,P22,V22,AB22,AH22,AN22,AT22,AZ22)&lt;&gt;0,MIN(J22,P22,V22,AB22,AH22,AN22,AT22,AZ22),"")</f>
        <v>0.011</v>
      </c>
      <c r="G22" s="19">
        <f>IF(AND(ISNUMBER(E22),ISNUMBER(F22)),E22*F22,"")</f>
        <v>6.6</v>
      </c>
      <c r="H22" s="17">
        <v>4</v>
      </c>
      <c r="J22" s="18">
        <f>IFERROR(IF(OR(I22&gt;=K22,E22&gt;=K22),LOOKUP(IF(I22="",E22,I22),{0,1,5000,100000},{0.0,0.0053,0.0053,0.0043}),"MOQ="&amp;K22),"")</f>
        <v/>
      </c>
      <c r="K22" s="17">
        <v>5000</v>
      </c>
      <c r="L22" s="19">
        <f>IFERROR(IF(I22="",E22,I22)*J22,"")</f>
        <v/>
      </c>
      <c r="M22" s="20" t="s">
        <v>115</v>
      </c>
      <c r="N22" s="17">
        <v>690629</v>
      </c>
      <c r="P22" s="18">
        <f>IFERROR(IF(OR(O22&gt;=Q22,E22&gt;=Q22),LOOKUP(IF(O22="",E22,O22),{0,1,10,100,1000,2500,5000},{0.0,0.1,0.042,0.0169,0.00759,0.00659,0.00544}),"MOQ="&amp;Q22),"")</f>
        <v>0.0169</v>
      </c>
      <c r="Q22" s="17">
        <v>1</v>
      </c>
      <c r="R22" s="19">
        <f>IFERROR(IF(O22="",E22,O22)*P22,"")</f>
        <v>10.14</v>
      </c>
      <c r="S22" s="20" t="s">
        <v>139</v>
      </c>
      <c r="T22" s="21" t="s">
        <v>109</v>
      </c>
      <c r="V22" s="18">
        <f>IFERROR(IF(OR(U22&gt;=W22,E22&gt;=W22),USD_GBP*LOOKUP(IF(U22="",E22,U22),{0,1,10,100,150,500,1000,2500,5000},{0.0,0.0312,0.0312,0.0114,0.0114,0.0108,0.007,0.0064,0.0064}),"MOQ="&amp;W22),"")</f>
        <v>0.015301616735237875</v>
      </c>
      <c r="W22" s="17">
        <v>10</v>
      </c>
      <c r="X22" s="19">
        <f>IFERROR(IF(U22="",E22,U22)*V22,"")</f>
        <v>9.181</v>
      </c>
      <c r="Y22" s="20" t="s">
        <v>165</v>
      </c>
      <c r="AF22" s="17">
        <v>4673</v>
      </c>
      <c r="AH22" s="18">
        <f>IFERROR(IF(OR(AG22&gt;=AI22,E22&gt;=AI22),LOOKUP(IF(AG22="",E22,AG22),{0,1,10,50,100,1000,10000},{0.0,0.1,0.031,0.031,0.013,0.007,0.005}),"MOQ="&amp;AI22),"")</f>
        <v>0.013</v>
      </c>
      <c r="AI22" s="17">
        <v>1</v>
      </c>
      <c r="AJ22" s="19">
        <f>IFERROR(IF(AG22="",E22,AG22)*AH22,"")</f>
        <v>7.8</v>
      </c>
      <c r="AK22" s="20" t="s">
        <v>190</v>
      </c>
      <c r="AL22" s="17">
        <v>5000</v>
      </c>
      <c r="AN22" s="18">
        <f>IFERROR(IF(OR(AM22&gt;=AO22,E22&gt;=AO22),LOOKUP(IF(AM22="",E22,AM22),{0,1,10,25,50,100,5000},{0.0,0.031,0.031,0.024,0.018,0.011,0.006}),"MOQ="&amp;AO22),"")</f>
        <v>0.011</v>
      </c>
      <c r="AO22" s="17">
        <v>10</v>
      </c>
      <c r="AP22" s="19">
        <f>IFERROR(IF(AM22="",E22,AM22)*AN22,"")</f>
        <v>6.6</v>
      </c>
      <c r="AQ22" s="20" t="s">
        <v>217</v>
      </c>
      <c r="AR22" s="17">
        <v>4400</v>
      </c>
      <c r="AT22" s="18">
        <f>IFERROR(IF(OR(AS22&gt;=AU22,E22&gt;=AU22),USD_GBP*LOOKUP(IF(AS22="",E22,AS22),{0,1,5000},{0.0,0.004,0.004}),"MOQ="&amp;AU22),"")</f>
        <v/>
      </c>
      <c r="AU22" s="17">
        <v>5000</v>
      </c>
      <c r="AV22" s="19">
        <f>IFERROR(IF(AS22="",E22,AS22)*AT22,"")</f>
        <v/>
      </c>
      <c r="AW22" s="20" t="s">
        <v>235</v>
      </c>
      <c r="AX22" s="17">
        <v>7000</v>
      </c>
      <c r="AZ22" s="18">
        <f>IFERROR(IF(OR(AY22&gt;=BA22,E22&gt;=BA22),USD_GBP*LOOKUP(IF(AY22="",E22,AY22),{0,1,100,1000,5000,15000,50000},{0.0,0.03634,0.03634,0.01574,0.00615,0.00478,0.0041}),"MOQ="&amp;BA22),"")</f>
        <v>0.05148710668134669</v>
      </c>
      <c r="BA22" s="17">
        <v>100</v>
      </c>
      <c r="BB22" s="19">
        <f>IFERROR(IF(AY22="",E22,AY22)*AZ22,"")</f>
        <v>30.8923</v>
      </c>
      <c r="BC22" s="20" t="s">
        <v>247</v>
      </c>
    </row>
    <row r="23" spans="1:55">
      <c r="A23" s="17" t="s">
        <v>62</v>
      </c>
      <c r="B23" s="17" t="s">
        <v>63</v>
      </c>
      <c r="C23" s="17" t="s">
        <v>51</v>
      </c>
      <c r="D23" s="17" t="s">
        <v>64</v>
      </c>
      <c r="E23" s="17">
        <f>CEILING(BoardQty*6.0,1)</f>
        <v>600</v>
      </c>
      <c r="F23" s="18">
        <f>IF(MIN(J23,P23,V23,AB23,AH23,AN23,AT23,AZ23)&lt;&gt;0,MIN(J23,P23,V23,AB23,AH23,AN23,AT23,AZ23),"")</f>
        <v>0.018418612736860403</v>
      </c>
      <c r="G23" s="19">
        <f>IF(AND(ISNUMBER(E23),ISNUMBER(F23)),E23*F23,"")</f>
        <v>11.0512</v>
      </c>
      <c r="N23" s="21" t="s">
        <v>109</v>
      </c>
      <c r="P23" s="18">
        <f>IFERROR(IF(OR(O23&gt;=Q23,E23&gt;=Q23),LOOKUP(IF(O23="",E23,O23),{0,1,5000},{0.0,0.01717,0.01717}),"MOQ="&amp;Q23),"")</f>
        <v/>
      </c>
      <c r="Q23" s="17">
        <v>5000</v>
      </c>
      <c r="R23" s="19">
        <f>IFERROR(IF(O23="",E23,O23)*P23,"")</f>
        <v/>
      </c>
      <c r="S23" s="20" t="s">
        <v>140</v>
      </c>
      <c r="T23" s="17">
        <v>5521</v>
      </c>
      <c r="V23" s="18">
        <f>IFERROR(IF(OR(U23&gt;=W23,E23&gt;=W23),USD_GBP*LOOKUP(IF(U23="",E23,U23),{0,1,10,100,150,500,1000,2500,5000,25000},{0.0,0.0591,0.0591,0.0383,0.0383,0.0253,0.0169,0.0159,0.015,0.0149}),"MOQ="&amp;W23),"")</f>
        <v>0.035845454018659094</v>
      </c>
      <c r="W23" s="17">
        <v>10</v>
      </c>
      <c r="X23" s="19">
        <f>IFERROR(IF(U23="",E23,U23)*V23,"")</f>
        <v>21.5073</v>
      </c>
      <c r="Y23" s="20" t="s">
        <v>166</v>
      </c>
      <c r="AF23" s="17">
        <v>10137</v>
      </c>
      <c r="AH23" s="18">
        <f>IFERROR(IF(OR(AG23&gt;=AI23,E23&gt;=AI23),LOOKUP(IF(AG23="",E23,AG23),{0,1,10,50,100,1000,10000},{0.0,0.14,0.077,0.064,0.043,0.02,0.02}),"MOQ="&amp;AI23),"")</f>
        <v>0.043</v>
      </c>
      <c r="AI23" s="17">
        <v>1</v>
      </c>
      <c r="AJ23" s="19">
        <f>IFERROR(IF(AG23="",E23,AG23)*AH23,"")</f>
        <v>25.8</v>
      </c>
      <c r="AK23" s="20" t="s">
        <v>191</v>
      </c>
      <c r="AL23" s="17">
        <v>5521</v>
      </c>
      <c r="AN23" s="18">
        <f>IFERROR(IF(OR(AM23&gt;=AO23,E23&gt;=AO23),LOOKUP(IF(AM23="",E23,AM23),{0,1,10,25,50,100},{0.0,0.079,0.079,0.073,0.066,0.046}),"MOQ="&amp;AO23),"")</f>
        <v>0.046</v>
      </c>
      <c r="AO23" s="17">
        <v>10</v>
      </c>
      <c r="AP23" s="19">
        <f>IFERROR(IF(AM23="",E23,AM23)*AN23,"")</f>
        <v>27.6</v>
      </c>
      <c r="AQ23" s="20" t="s">
        <v>218</v>
      </c>
      <c r="AR23" s="17">
        <v>5500</v>
      </c>
      <c r="AT23" s="18">
        <f>IFERROR(IF(OR(AS23&gt;=AU23,E23&gt;=AU23),USD_GBP*LOOKUP(IF(AS23="",E23,AS23),{0,1,100,1000},{0.0,0.013,0.013,0.028}),"MOQ="&amp;AU23),"")</f>
        <v>0.018418612736860403</v>
      </c>
      <c r="AU23" s="17">
        <v>100</v>
      </c>
      <c r="AV23" s="19">
        <f>IFERROR(IF(AS23="",E23,AS23)*AT23,"")</f>
        <v>11.0512</v>
      </c>
      <c r="AW23" s="20" t="s">
        <v>236</v>
      </c>
    </row>
    <row r="24" spans="1:55">
      <c r="A24" s="17" t="s">
        <v>65</v>
      </c>
      <c r="B24" s="17" t="s">
        <v>66</v>
      </c>
      <c r="C24" s="17" t="s">
        <v>51</v>
      </c>
      <c r="D24" s="17" t="s">
        <v>67</v>
      </c>
      <c r="E24" s="17">
        <f>CEILING(BoardQty*6.0,1)</f>
        <v>600</v>
      </c>
      <c r="F24" s="18">
        <f>IF(MIN(J24,P24,V24,AB24,AH24,AN24,AT24,AZ24)&lt;&gt;0,MIN(J24,P24,V24,AB24,AH24,AN24,AT24,AZ24),"")</f>
        <v>0.014</v>
      </c>
      <c r="G24" s="19">
        <f>IF(AND(ISNUMBER(E24),ISNUMBER(F24)),E24*F24,"")</f>
        <v>8.4</v>
      </c>
      <c r="H24" s="21" t="s">
        <v>109</v>
      </c>
      <c r="J24" s="18">
        <f>IFERROR(IF(OR(I24&gt;=K24,E24&gt;=K24),LOOKUP(IF(I24="",E24,I24),{0,1,25000,250000,2500000},{0.0,0.0132,0.0132,0.0122,0.0067}),"MOQ="&amp;K24),"")</f>
        <v/>
      </c>
      <c r="K24" s="17">
        <v>25000</v>
      </c>
      <c r="L24" s="19">
        <f>IFERROR(IF(I24="",E24,I24)*J24,"")</f>
        <v/>
      </c>
      <c r="M24" s="20" t="s">
        <v>116</v>
      </c>
      <c r="N24" s="21" t="s">
        <v>109</v>
      </c>
      <c r="P24" s="18">
        <f>IFERROR(IF(OR(O24&gt;=Q24,E24&gt;=Q24),LOOKUP(IF(O24="",E24,O24),{0,1,25000},{0.0,0.005,0.005}),"MOQ="&amp;Q24),"")</f>
        <v/>
      </c>
      <c r="Q24" s="17">
        <v>25000</v>
      </c>
      <c r="R24" s="19">
        <f>IFERROR(IF(O24="",E24,O24)*P24,"")</f>
        <v/>
      </c>
      <c r="S24" s="20" t="s">
        <v>141</v>
      </c>
      <c r="AF24" s="17">
        <v>38452</v>
      </c>
      <c r="AH24" s="18">
        <f>IFERROR(IF(OR(AG24&gt;=AI24,E24&gt;=AI24),LOOKUP(IF(AG24="",E24,AG24),{0,1,10,50,100,1000,10000},{0.0,0.1,0.024,0.024,0.014,0.008,0.004}),"MOQ="&amp;AI24),"")</f>
        <v>0.014</v>
      </c>
      <c r="AI24" s="17">
        <v>1</v>
      </c>
      <c r="AJ24" s="19">
        <f>IFERROR(IF(AG24="",E24,AG24)*AH24,"")</f>
        <v>8.4</v>
      </c>
      <c r="AK24" s="20" t="s">
        <v>192</v>
      </c>
      <c r="AL24" s="21" t="s">
        <v>109</v>
      </c>
      <c r="AN24" s="18">
        <f>IFERROR(IF(OR(AM24&gt;=AO24,E24&gt;=AO24),LOOKUP(IF(AM24="",E24,AM24),{0,1,25000},{0.0,0.004,0.004}),"MOQ="&amp;AO24),"")</f>
        <v/>
      </c>
      <c r="AO24" s="17">
        <v>25000</v>
      </c>
      <c r="AP24" s="19">
        <f>IFERROR(IF(AM24="",E24,AM24)*AN24,"")</f>
        <v/>
      </c>
      <c r="AQ24" s="20" t="s">
        <v>219</v>
      </c>
      <c r="AR24" s="17">
        <v>2700</v>
      </c>
      <c r="AT24" s="18">
        <f>IFERROR(IF(OR(AS24&gt;=AU24,E24&gt;=AU24),USD_GBP*LOOKUP(IF(AS24="",E24,AS24),{0,1,50,750,5000},{0.0,0.029,0.029,0.013,0.007}),"MOQ="&amp;AU24),"")</f>
        <v>0.04108767456684244</v>
      </c>
      <c r="AU24" s="17">
        <v>50</v>
      </c>
      <c r="AV24" s="19">
        <f>IFERROR(IF(AS24="",E24,AS24)*AT24,"")</f>
        <v>24.6526</v>
      </c>
      <c r="AW24" s="20" t="s">
        <v>237</v>
      </c>
    </row>
    <row r="25" spans="1:55">
      <c r="A25" s="17" t="s">
        <v>68</v>
      </c>
      <c r="B25" s="17" t="s">
        <v>69</v>
      </c>
      <c r="C25" s="17" t="s">
        <v>51</v>
      </c>
      <c r="D25" s="17" t="s">
        <v>70</v>
      </c>
      <c r="E25" s="17">
        <f>CEILING(BoardQty*4.0,1)</f>
        <v>400</v>
      </c>
      <c r="F25" s="18">
        <f>IF(MIN(J25,P25,V25,AB25,AH25,AN25,AT25,AZ25)&lt;&gt;0,MIN(J25,P25,V25,AB25,AH25,AN25,AT25,AZ25),"")</f>
        <v>0.011</v>
      </c>
      <c r="G25" s="19">
        <f>IF(AND(ISNUMBER(E25),ISNUMBER(F25)),E25*F25,"")</f>
        <v>4.4</v>
      </c>
      <c r="H25" s="17">
        <v>7</v>
      </c>
      <c r="J25" s="18">
        <f>IFERROR(IF(OR(I25&gt;=K25,E25&gt;=K25),LOOKUP(IF(I25="",E25,I25),{0,1,5000},{0.0,0.0048,0.0048}),"MOQ="&amp;K25),"")</f>
        <v/>
      </c>
      <c r="K25" s="17">
        <v>5000</v>
      </c>
      <c r="L25" s="19">
        <f>IFERROR(IF(I25="",E25,I25)*J25,"")</f>
        <v/>
      </c>
      <c r="M25" s="20" t="s">
        <v>117</v>
      </c>
      <c r="N25" s="17">
        <v>9191898</v>
      </c>
      <c r="P25" s="18">
        <f>IFERROR(IF(OR(O25&gt;=Q25,E25&gt;=Q25),LOOKUP(IF(O25="",E25,O25),{0,1,10,100,1000,2500,5000},{0.0,0.1,0.042,0.0169,0.00759,0.00659,0.00544}),"MOQ="&amp;Q25),"")</f>
        <v>0.0169</v>
      </c>
      <c r="Q25" s="17">
        <v>1</v>
      </c>
      <c r="R25" s="19">
        <f>IFERROR(IF(O25="",E25,O25)*P25,"")</f>
        <v>6.76</v>
      </c>
      <c r="S25" s="20" t="s">
        <v>142</v>
      </c>
      <c r="T25" s="17">
        <v>344810</v>
      </c>
      <c r="V25" s="18">
        <f>IFERROR(IF(OR(U25&gt;=W25,E25&gt;=W25),USD_GBP*LOOKUP(IF(U25="",E25,U25),{0,1,10,100,150,500,1000,2500,5000,25000},{0.0,0.0356,0.0356,0.013,0.013,0.0123,0.008,0.0073,0.0072,0.0053}),"MOQ="&amp;W25),"")</f>
        <v>0.018418612736860403</v>
      </c>
      <c r="W25" s="17">
        <v>10</v>
      </c>
      <c r="X25" s="19">
        <f>IFERROR(IF(U25="",E25,U25)*V25,"")</f>
        <v>7.3674</v>
      </c>
      <c r="Y25" s="20" t="s">
        <v>167</v>
      </c>
      <c r="AF25" s="17">
        <v>524512</v>
      </c>
      <c r="AH25" s="18">
        <f>IFERROR(IF(OR(AG25&gt;=AI25,E25&gt;=AI25),LOOKUP(IF(AG25="",E25,AG25),{0,1,10,50,100,1000,10000},{0.0,0.1,0.036,0.036,0.012,0.007,0.004}),"MOQ="&amp;AI25),"")</f>
        <v>0.012</v>
      </c>
      <c r="AI25" s="17">
        <v>1</v>
      </c>
      <c r="AJ25" s="19">
        <f>IFERROR(IF(AG25="",E25,AG25)*AH25,"")</f>
        <v>4.8</v>
      </c>
      <c r="AK25" s="20" t="s">
        <v>193</v>
      </c>
      <c r="AL25" s="17">
        <v>315640</v>
      </c>
      <c r="AN25" s="18">
        <f>IFERROR(IF(OR(AM25&gt;=AO25,E25&gt;=AO25),LOOKUP(IF(AM25="",E25,AM25),{0,1,10,25,50,100,5000,10000},{0.0,0.031,0.031,0.024,0.018,0.011,0.01,0.007}),"MOQ="&amp;AO25),"")</f>
        <v>0.011</v>
      </c>
      <c r="AO25" s="17">
        <v>10</v>
      </c>
      <c r="AP25" s="19">
        <f>IFERROR(IF(AM25="",E25,AM25)*AN25,"")</f>
        <v>4.4</v>
      </c>
      <c r="AQ25" s="20" t="s">
        <v>220</v>
      </c>
      <c r="AR25" s="17">
        <v>750000</v>
      </c>
      <c r="AT25" s="18">
        <f>IFERROR(IF(OR(AS25&gt;=AU25,E25&gt;=AU25),USD_GBP*LOOKUP(IF(AS25="",E25,AS25),{0,1,5000},{0.0,0.01,0.01}),"MOQ="&amp;AU25),"")</f>
        <v/>
      </c>
      <c r="AU25" s="17">
        <v>5000</v>
      </c>
      <c r="AV25" s="19">
        <f>IFERROR(IF(AS25="",E25,AS25)*AT25,"")</f>
        <v/>
      </c>
      <c r="AW25" s="20" t="s">
        <v>238</v>
      </c>
      <c r="AX25" s="17">
        <v>191300</v>
      </c>
      <c r="AZ25" s="18">
        <f>IFERROR(IF(OR(AY25&gt;=BA25,E25&gt;=BA25),USD_GBP*LOOKUP(IF(AY25="",E25,AY25),{0,1,100,1000,5000,15000,50000},{0.0,0.0117,0.0117,0.00275,0.00193,0.00183,0.00177}),"MOQ="&amp;BA25),"")</f>
        <v>0.016576751463174364</v>
      </c>
      <c r="BA25" s="17">
        <v>100</v>
      </c>
      <c r="BB25" s="19">
        <f>IFERROR(IF(AY25="",E25,AY25)*AZ25,"")</f>
        <v>6.6307</v>
      </c>
      <c r="BC25" s="20" t="s">
        <v>248</v>
      </c>
    </row>
    <row r="26" spans="1:55">
      <c r="A26" s="17" t="s">
        <v>71</v>
      </c>
      <c r="B26" s="17" t="s">
        <v>72</v>
      </c>
      <c r="C26" s="17" t="s">
        <v>51</v>
      </c>
      <c r="D26" s="17" t="s">
        <v>73</v>
      </c>
      <c r="E26" s="17">
        <f>CEILING(BoardQty*2.0,1)</f>
        <v>200</v>
      </c>
      <c r="F26" s="18">
        <f>IF(MIN(J26,P26,V26,AB26,AH26,AN26,AT26,AZ26)&lt;&gt;0,MIN(J26,P26,V26,AB26,AH26,AN26,AT26,AZ26),"")</f>
        <v>0.045</v>
      </c>
      <c r="G26" s="19">
        <f>IF(AND(ISNUMBER(E26),ISNUMBER(F26)),E26*F26,"")</f>
        <v>9.0</v>
      </c>
      <c r="H26" s="21" t="s">
        <v>109</v>
      </c>
      <c r="J26" s="18">
        <f>IFERROR(IF(OR(I26&gt;=K26,E26&gt;=K26),LOOKUP(IF(I26="",E26,I26),{0,1,5000,50000,500000,2500000},{0.0,0.0597,0.0597,0.0549,0.0284,0.0165}),"MOQ="&amp;K26),"")</f>
        <v/>
      </c>
      <c r="K26" s="17">
        <v>5000</v>
      </c>
      <c r="L26" s="19">
        <f>IFERROR(IF(I26="",E26,I26)*J26,"")</f>
        <v/>
      </c>
      <c r="M26" s="20" t="s">
        <v>118</v>
      </c>
      <c r="N26" s="17">
        <v>9976</v>
      </c>
      <c r="P26" s="18">
        <f>IFERROR(IF(OR(O26&gt;=Q26,E26&gt;=Q26),LOOKUP(IF(O26="",E26,O26),{0,1,10,100,1000,2500,5000},{0.0,0.2,0.172,0.0673,0.02815,0.02581,0.02346}),"MOQ="&amp;Q26),"")</f>
        <v>0.0673</v>
      </c>
      <c r="Q26" s="17">
        <v>1</v>
      </c>
      <c r="R26" s="19">
        <f>IFERROR(IF(O26="",E26,O26)*P26,"")</f>
        <v>13.46</v>
      </c>
      <c r="S26" s="20" t="s">
        <v>143</v>
      </c>
      <c r="T26" s="17">
        <v>5118</v>
      </c>
      <c r="V26" s="18">
        <f>IFERROR(IF(OR(U26&gt;=W26,E26&gt;=W26),USD_GBP*LOOKUP(IF(U26="",E26,U26),{0,1,10,25,50,100,150,250,500,1000,2500,5000},{0.0,0.0978,0.07,0.0654,0.0513,0.0373,0.049,0.034,0.032,0.031,0.028,0.023}),"MOQ="&amp;W26),"")</f>
        <v>0.06942400185431999</v>
      </c>
      <c r="W26" s="17">
        <v>1</v>
      </c>
      <c r="X26" s="19">
        <f>IFERROR(IF(U26="",E26,U26)*V26,"")</f>
        <v>13.8848</v>
      </c>
      <c r="Y26" s="20" t="s">
        <v>168</v>
      </c>
      <c r="AF26" s="17">
        <v>11936</v>
      </c>
      <c r="AH26" s="18">
        <f>IFERROR(IF(OR(AG26&gt;=AI26,E26&gt;=AI26),LOOKUP(IF(AG26="",E26,AG26),{0,1,10,50,100,1000,10000},{0.0,0.18,0.079,0.079,0.045,0.023,0.018}),"MOQ="&amp;AI26),"")</f>
        <v>0.045</v>
      </c>
      <c r="AI26" s="17">
        <v>1</v>
      </c>
      <c r="AJ26" s="19">
        <f>IFERROR(IF(AG26="",E26,AG26)*AH26,"")</f>
        <v>9.0</v>
      </c>
      <c r="AK26" s="20" t="s">
        <v>194</v>
      </c>
      <c r="AL26" s="17">
        <v>5118</v>
      </c>
      <c r="AN26" s="18">
        <f>IFERROR(IF(OR(AM26&gt;=AO26,E26&gt;=AO26),LOOKUP(IF(AM26="",E26,AM26),{0,1,25,50,100,250,500,5000,10000},{0.0,0.18,0.079,0.062,0.045,0.041,0.036,0.019,0.018}),"MOQ="&amp;AO26),"")</f>
        <v>0.045</v>
      </c>
      <c r="AO26" s="17">
        <v>1</v>
      </c>
      <c r="AP26" s="19">
        <f>IFERROR(IF(AM26="",E26,AM26)*AN26,"")</f>
        <v>9.0</v>
      </c>
      <c r="AQ26" s="20" t="s">
        <v>221</v>
      </c>
    </row>
    <row r="27" spans="1:55">
      <c r="A27" s="17" t="s">
        <v>74</v>
      </c>
      <c r="B27" s="17" t="s">
        <v>75</v>
      </c>
      <c r="C27" s="17" t="s">
        <v>51</v>
      </c>
      <c r="D27" s="17" t="s">
        <v>76</v>
      </c>
      <c r="E27" s="17">
        <f>CEILING(BoardQty*2.0,1)</f>
        <v>200</v>
      </c>
      <c r="F27" s="18">
        <f>IF(MIN(J27,P27,V27,AB27,AH27,AN27,AT27,AZ27)&lt;&gt;0,MIN(J27,P27,V27,AB27,AH27,AN27,AT27,AZ27),"")</f>
        <v>0.116</v>
      </c>
      <c r="G27" s="19">
        <f>IF(AND(ISNUMBER(E27),ISNUMBER(F27)),E27*F27,"")</f>
        <v>23.2</v>
      </c>
      <c r="H27" s="21" t="s">
        <v>109</v>
      </c>
      <c r="J27" s="18">
        <f>IFERROR(IF(OR(I27&gt;=K27,E27&gt;=K27),LOOKUP(IF(I27="",E27,I27),{0,1,5000,50000,500000},{0.0,0.1671,0.1671,0.0953,0.057}),"MOQ="&amp;K27),"")</f>
        <v/>
      </c>
      <c r="K27" s="17">
        <v>5000</v>
      </c>
      <c r="L27" s="19">
        <f>IFERROR(IF(I27="",E27,I27)*J27,"")</f>
        <v/>
      </c>
      <c r="M27" s="20" t="s">
        <v>119</v>
      </c>
      <c r="AF27" s="17">
        <v>5236</v>
      </c>
      <c r="AH27" s="18">
        <f>IFERROR(IF(OR(AG27&gt;=AI27,E27&gt;=AI27),LOOKUP(IF(AG27="",E27,AG27),{0,1,10,50,100,1000,10000},{0.0,0.15,0.145,0.126,0.116,0.078,0.078}),"MOQ="&amp;AI27),"")</f>
        <v>0.116</v>
      </c>
      <c r="AI27" s="17">
        <v>1</v>
      </c>
      <c r="AJ27" s="19">
        <f>IFERROR(IF(AG27="",E27,AG27)*AH27,"")</f>
        <v>23.2</v>
      </c>
      <c r="AK27" s="20" t="s">
        <v>195</v>
      </c>
    </row>
    <row r="28" spans="1:55">
      <c r="A28" s="17" t="s">
        <v>77</v>
      </c>
      <c r="B28" s="17" t="s">
        <v>78</v>
      </c>
      <c r="C28" s="17" t="s">
        <v>51</v>
      </c>
      <c r="D28" s="17" t="s">
        <v>79</v>
      </c>
      <c r="E28" s="17">
        <f>CEILING(BoardQty*2.0,1)</f>
        <v>200</v>
      </c>
      <c r="F28" s="18">
        <f>IF(MIN(J28,P28,V28,AB28,AH28,AN28,AT28,AZ28)&lt;&gt;0,MIN(J28,P28,V28,AB28,AH28,AN28,AT28,AZ28),"")</f>
        <v>0.133</v>
      </c>
      <c r="G28" s="19">
        <f>IF(AND(ISNUMBER(E28),ISNUMBER(F28)),E28*F28,"")</f>
        <v>26.6</v>
      </c>
      <c r="H28" s="21" t="s">
        <v>109</v>
      </c>
      <c r="J28" s="18">
        <f>IFERROR(IF(OR(I28&gt;=K28,E28&gt;=K28),LOOKUP(IF(I28="",E28,I28),{0,1,5000,50000,500000,2500000,5000000},{0.0,0.1755,0.1755,0.1634,0.0925,0.0549,0.0545}),"MOQ="&amp;K28),"")</f>
        <v/>
      </c>
      <c r="K28" s="17">
        <v>5000</v>
      </c>
      <c r="L28" s="19">
        <f>IFERROR(IF(I28="",E28,I28)*J28,"")</f>
        <v/>
      </c>
      <c r="M28" s="20" t="s">
        <v>79</v>
      </c>
      <c r="N28" s="21" t="s">
        <v>109</v>
      </c>
      <c r="P28" s="18">
        <f>IFERROR(IF(OR(O28&gt;=Q28,E28&gt;=Q28),LOOKUP(IF(O28="",E28,O28),{0,1,5000,10000},{0.0,0.054,0.054,0.0532}),"MOQ="&amp;Q28),"")</f>
        <v/>
      </c>
      <c r="Q28" s="17">
        <v>5000</v>
      </c>
      <c r="R28" s="19">
        <f>IFERROR(IF(O28="",E28,O28)*P28,"")</f>
        <v/>
      </c>
      <c r="S28" s="20" t="s">
        <v>144</v>
      </c>
      <c r="AF28" s="17">
        <v>1411</v>
      </c>
      <c r="AH28" s="18">
        <f>IFERROR(IF(OR(AG28&gt;=AI28,E28&gt;=AI28),LOOKUP(IF(AG28="",E28,AG28),{0,1,10,50,100,1000,10000},{0.0,0.41,0.318,0.318,0.133,0.073,0.052}),"MOQ="&amp;AI28),"")</f>
        <v>0.133</v>
      </c>
      <c r="AI28" s="17">
        <v>1</v>
      </c>
      <c r="AJ28" s="19">
        <f>IFERROR(IF(AG28="",E28,AG28)*AH28,"")</f>
        <v>26.6</v>
      </c>
      <c r="AK28" s="20" t="s">
        <v>196</v>
      </c>
      <c r="AL28" s="21" t="s">
        <v>109</v>
      </c>
      <c r="AN28" s="18">
        <f>IFERROR(IF(OR(AM28&gt;=AO28,E28&gt;=AO28),LOOKUP(IF(AM28="",E28,AM28),{0,1,5000,10000,20000,30000,50000},{0.0,0.057,0.057,0.056,0.055,0.054,0.052}),"MOQ="&amp;AO28),"")</f>
        <v/>
      </c>
      <c r="AO28" s="17">
        <v>5000</v>
      </c>
      <c r="AP28" s="19">
        <f>IFERROR(IF(AM28="",E28,AM28)*AN28,"")</f>
        <v/>
      </c>
      <c r="AQ28" s="20" t="s">
        <v>222</v>
      </c>
    </row>
    <row r="29" spans="1:55">
      <c r="A29" s="17" t="s">
        <v>80</v>
      </c>
      <c r="B29" s="17" t="s">
        <v>81</v>
      </c>
      <c r="C29" s="17" t="s">
        <v>51</v>
      </c>
      <c r="D29" s="17" t="s">
        <v>82</v>
      </c>
      <c r="E29" s="17">
        <f>CEILING(BoardQty*1.0,1)</f>
        <v>100</v>
      </c>
      <c r="F29" s="18">
        <f>IF(MIN(J29,P29,V29,AB29,AH29,AN29,AT29,AZ29)&lt;&gt;0,MIN(J29,P29,V29,AB29,AH29,AN29,AT29,AZ29),"")</f>
        <v>0.1035</v>
      </c>
      <c r="G29" s="19">
        <f>IF(AND(ISNUMBER(E29),ISNUMBER(F29)),E29*F29,"")</f>
        <v>10.35</v>
      </c>
      <c r="N29" s="17">
        <v>7030</v>
      </c>
      <c r="P29" s="18">
        <f>IFERROR(IF(OR(O29&gt;=Q29,E29&gt;=Q29),LOOKUP(IF(O29="",E29,O29),{0,1,10,100,1000,2500,5000,10000,25000},{0.0,0.36,0.259,0.1035,0.051,0.04725,0.04275,0.0408,0.0399}),"MOQ="&amp;Q29),"")</f>
        <v>0.1035</v>
      </c>
      <c r="Q29" s="17">
        <v>1</v>
      </c>
      <c r="R29" s="19">
        <f>IFERROR(IF(O29="",E29,O29)*P29,"")</f>
        <v>10.35</v>
      </c>
      <c r="S29" s="20" t="s">
        <v>145</v>
      </c>
      <c r="AF29" s="17">
        <v>733</v>
      </c>
      <c r="AH29" s="18">
        <f>IFERROR(IF(OR(AG29&gt;=AI29,E29&gt;=AI29),LOOKUP(IF(AG29="",E29,AG29),{0,1,10,50,100,1000,10000},{0.0,0.41,0.299,0.299,0.119,0.058,0.042}),"MOQ="&amp;AI29),"")</f>
        <v>0.119</v>
      </c>
      <c r="AI29" s="17">
        <v>1</v>
      </c>
      <c r="AJ29" s="19">
        <f>IFERROR(IF(AG29="",E29,AG29)*AH29,"")</f>
        <v>11.9</v>
      </c>
      <c r="AK29" s="20" t="s">
        <v>197</v>
      </c>
    </row>
    <row r="30" spans="1:55">
      <c r="A30" s="17" t="s">
        <v>83</v>
      </c>
      <c r="B30" s="17" t="s">
        <v>84</v>
      </c>
      <c r="C30" s="17" t="s">
        <v>51</v>
      </c>
      <c r="D30" s="17" t="s">
        <v>85</v>
      </c>
      <c r="E30" s="17">
        <f>CEILING(BoardQty*1.0,1)</f>
        <v>100</v>
      </c>
      <c r="F30" s="18">
        <f>IF(MIN(J30,P30,V30,AB30,AH30,AN30,AT30,AZ30)&lt;&gt;0,MIN(J30,P30,V30,AB30,AH30,AN30,AT30,AZ30),"")</f>
        <v>0.0518</v>
      </c>
      <c r="G30" s="19">
        <f>IF(AND(ISNUMBER(E30),ISNUMBER(F30)),E30*F30,"")</f>
        <v>5.18</v>
      </c>
      <c r="H30" s="21" t="s">
        <v>109</v>
      </c>
      <c r="J30" s="18">
        <f>IFERROR(IF(OR(I30&gt;=K30,E30&gt;=K30),LOOKUP(IF(I30="",E30,I30),{0,1,5000,10000,25000},{0.0,0.0348,0.0348,0.0329,0.032}),"MOQ="&amp;K30),"")</f>
        <v/>
      </c>
      <c r="K30" s="17">
        <v>5000</v>
      </c>
      <c r="L30" s="19">
        <f>IFERROR(IF(I30="",E30,I30)*J30,"")</f>
        <v/>
      </c>
      <c r="M30" s="20" t="s">
        <v>120</v>
      </c>
      <c r="N30" s="17">
        <v>6228</v>
      </c>
      <c r="P30" s="18">
        <f>IFERROR(IF(OR(O30&gt;=Q30,E30&gt;=Q30),LOOKUP(IF(O30="",E30,O30),{0,1,10,100,1000,2500,5000,10000,25000},{0.0,0.31,0.262,0.1023,0.04284,0.03927,0.0357,0.03332,0.03237}),"MOQ="&amp;Q30),"")</f>
        <v>0.1023</v>
      </c>
      <c r="Q30" s="17">
        <v>1</v>
      </c>
      <c r="R30" s="19">
        <f>IFERROR(IF(O30="",E30,O30)*P30,"")</f>
        <v>10.23</v>
      </c>
      <c r="S30" s="20" t="s">
        <v>146</v>
      </c>
      <c r="T30" s="17">
        <v>7564</v>
      </c>
      <c r="V30" s="18">
        <f>IFERROR(IF(OR(U30&gt;=W30,E30&gt;=W30),USD_GBP*LOOKUP(IF(U30="",E30,U30),{0,1,10,100,500,1000,2500,5000,25000},{0.0,0.215,0.215,0.0903,0.068,0.0323,0.0303,0.0289,0.0277}),"MOQ="&amp;W30),"")</f>
        <v>0.1279385177029611</v>
      </c>
      <c r="W30" s="17">
        <v>10</v>
      </c>
      <c r="X30" s="19">
        <f>IFERROR(IF(U30="",E30,U30)*V30,"")</f>
        <v>12.7939</v>
      </c>
      <c r="Y30" s="20" t="s">
        <v>169</v>
      </c>
      <c r="Z30" s="17">
        <v>2005</v>
      </c>
      <c r="AB30" s="18">
        <f>IFERROR(IF(OR(AA30&gt;=AC30,E30&gt;=AC30),LOOKUP(IF(AA30="",E30,AA30),{0,1,5,50,150,500,2500,5000},{0.0,0.0706,0.0706,0.0518,0.0484,0.0449,0.0434,0.0426}),"MOQ="&amp;AC30),"")</f>
        <v>0.0518</v>
      </c>
      <c r="AC30" s="17">
        <v>5</v>
      </c>
      <c r="AD30" s="19">
        <f>IFERROR(IF(AA30="",E30,AA30)*AB30,"")</f>
        <v>5.18</v>
      </c>
      <c r="AE30" s="20" t="s">
        <v>174</v>
      </c>
      <c r="AF30" s="17">
        <v>1454</v>
      </c>
      <c r="AH30" s="18">
        <f>IFERROR(IF(OR(AG30&gt;=AI30,E30&gt;=AI30),LOOKUP(IF(AG30="",E30,AG30),{0,1,10,50,100,1000,10000},{0.0,0.36,0.221,0.221,0.118,0.045,0.035}),"MOQ="&amp;AI30),"")</f>
        <v>0.118</v>
      </c>
      <c r="AI30" s="17">
        <v>1</v>
      </c>
      <c r="AJ30" s="19">
        <f>IFERROR(IF(AG30="",E30,AG30)*AH30,"")</f>
        <v>11.8</v>
      </c>
      <c r="AK30" s="20" t="s">
        <v>198</v>
      </c>
      <c r="AL30" s="17">
        <v>1255</v>
      </c>
      <c r="AN30" s="18">
        <f>IFERROR(IF(OR(AM30&gt;=AO30,E30&gt;=AO30),LOOKUP(IF(AM30="",E30,AM30),{0,1,10,25,50,100,5000,10000,20000,30000,50000},{0.0,0.221,0.221,0.187,0.152,0.118,0.069,0.057,0.051,0.048,0.042}),"MOQ="&amp;AO30),"")</f>
        <v>0.118</v>
      </c>
      <c r="AO30" s="17">
        <v>10</v>
      </c>
      <c r="AP30" s="19">
        <f>IFERROR(IF(AM30="",E30,AM30)*AN30,"")</f>
        <v>11.8</v>
      </c>
      <c r="AQ30" s="20" t="s">
        <v>223</v>
      </c>
      <c r="AR30" s="17">
        <v>455</v>
      </c>
      <c r="AT30" s="18">
        <f>IFERROR(IF(OR(AS30&gt;=AU30,E30&gt;=AU30),USD_GBP*LOOKUP(IF(AS30="",E30,AS30),{0,1,5,50,250,1250,2500},{0.0,0.268,0.268,0.168,0.09,0.038,0.034}),"MOQ="&amp;AU30),"")</f>
        <v>0.23802514921481138</v>
      </c>
      <c r="AU30" s="17">
        <v>5</v>
      </c>
      <c r="AV30" s="19">
        <f>IFERROR(IF(AS30="",E30,AS30)*AT30,"")</f>
        <v>23.8025</v>
      </c>
      <c r="AW30" s="20" t="s">
        <v>239</v>
      </c>
      <c r="AX30" s="17">
        <v>1090</v>
      </c>
      <c r="AZ30" s="18">
        <f>IFERROR(IF(OR(AY30&gt;=BA30,E30&gt;=BA30),USD_GBP*LOOKUP(IF(AY30="",E30,AY30),{0,1,10,100,1000,5000},{0.0,0.07788,0.07788,0.04756,0.03188,0.02755}),"MOQ="&amp;BA30),"")</f>
        <v>0.06738378628962159</v>
      </c>
      <c r="BA30" s="17">
        <v>10</v>
      </c>
      <c r="BB30" s="19">
        <f>IFERROR(IF(AY30="",E30,AY30)*AZ30,"")</f>
        <v>6.7384</v>
      </c>
      <c r="BC30" s="20" t="s">
        <v>120</v>
      </c>
    </row>
    <row r="31" spans="1:55">
      <c r="A31" s="17" t="s">
        <v>86</v>
      </c>
      <c r="B31" s="17" t="s">
        <v>87</v>
      </c>
      <c r="C31" s="17" t="s">
        <v>88</v>
      </c>
      <c r="D31" s="17" t="s">
        <v>89</v>
      </c>
      <c r="E31" s="17">
        <f>CEILING(BoardQty*2.0,1)</f>
        <v>200</v>
      </c>
      <c r="F31" s="18">
        <f>IF(MIN(J31,P31,V31,AB31,AH31,AN31,AT31,AZ31)&lt;&gt;0,MIN(J31,P31,V31,AB31,AH31,AN31,AT31,AZ31),"")</f>
        <v>2.3125</v>
      </c>
      <c r="G31" s="19">
        <f>IF(AND(ISNUMBER(E31),ISNUMBER(F31)),E31*F31,"")</f>
        <v>462.5</v>
      </c>
      <c r="H31" s="21" t="s">
        <v>109</v>
      </c>
      <c r="J31" s="18">
        <f>IFERROR(IF(OR(I31&gt;=K31,E31&gt;=K31),LOOKUP(IF(I31="",E31,I31),{0,1,3000,30000,300000,1500000,3000000},{0.0,4.25,4.25,3.959,2.307,1.52,1.515}),"MOQ="&amp;K31),"")</f>
        <v/>
      </c>
      <c r="K31" s="17">
        <v>3000</v>
      </c>
      <c r="L31" s="19">
        <f>IFERROR(IF(I31="",E31,I31)*J31,"")</f>
        <v/>
      </c>
      <c r="M31" s="20" t="s">
        <v>121</v>
      </c>
      <c r="N31" s="21" t="s">
        <v>109</v>
      </c>
      <c r="P31" s="18">
        <f>IFERROR(IF(OR(O31&gt;=Q31,E31&gt;=Q31),LOOKUP(IF(O31="",E31,O31),{0,1,5,10,25,50,100,500,1000,3000},{0.0,4.25,3.75,3.312,2.6876,2.375,2.3125,1.9375,1.8125,1.75}),"MOQ="&amp;Q31),"")</f>
        <v>2.3125</v>
      </c>
      <c r="Q31" s="17">
        <v>1</v>
      </c>
      <c r="R31" s="19">
        <f>IFERROR(IF(O31="",E31,O31)*P31,"")</f>
        <v>462.5</v>
      </c>
      <c r="S31" s="20" t="s">
        <v>147</v>
      </c>
      <c r="AL31" s="21" t="s">
        <v>109</v>
      </c>
      <c r="AN31" s="18">
        <f>IFERROR(IF(OR(AM31&gt;=AO31,E31&gt;=AO31),LOOKUP(IF(AM31="",E31,AM31),{0,1,3000},{0.0,2.54,2.54}),"MOQ="&amp;AO31),"")</f>
        <v/>
      </c>
      <c r="AO31" s="17">
        <v>3000</v>
      </c>
      <c r="AP31" s="19">
        <f>IFERROR(IF(AM31="",E31,AM31)*AN31,"")</f>
        <v/>
      </c>
      <c r="AQ31" s="20" t="s">
        <v>224</v>
      </c>
    </row>
    <row r="32" spans="1:55">
      <c r="A32" s="17" t="s">
        <v>90</v>
      </c>
      <c r="B32" s="17" t="s">
        <v>91</v>
      </c>
      <c r="C32" s="17" t="s">
        <v>88</v>
      </c>
      <c r="D32" s="17" t="s">
        <v>92</v>
      </c>
      <c r="E32" s="17">
        <f>CEILING(BoardQty*1.0,1)</f>
        <v>100</v>
      </c>
      <c r="F32" s="18">
        <f>IF(MIN(J32,P32,V32,AB32,AH32,AN32,AT32,AZ32)&lt;&gt;0,MIN(J32,P32,V32,AB32,AH32,AN32,AT32,AZ32),"")</f>
        <v>2.706119255954105</v>
      </c>
      <c r="G32" s="19">
        <f>IF(AND(ISNUMBER(E32),ISNUMBER(F32)),E32*F32,"")</f>
        <v>270.6119</v>
      </c>
      <c r="H32" s="21" t="s">
        <v>109</v>
      </c>
      <c r="M32" s="20" t="s">
        <v>122</v>
      </c>
      <c r="N32" s="21" t="s">
        <v>109</v>
      </c>
      <c r="P32" s="18">
        <f>IFERROR(IF(OR(O32&gt;=Q32,E32&gt;=Q32),LOOKUP(IF(O32="",E32,O32),{0,1,5,10,25,50,100,500,1000,3000},{0.0,5.64,4.98,4.399,3.5688,3.154,3.071,2.573,2.407,2.324}),"MOQ="&amp;Q32),"")</f>
        <v>3.071</v>
      </c>
      <c r="Q32" s="17">
        <v>1</v>
      </c>
      <c r="R32" s="19">
        <f>IFERROR(IF(O32="",E32,O32)*P32,"")</f>
        <v>307.1</v>
      </c>
      <c r="S32" s="20" t="s">
        <v>148</v>
      </c>
      <c r="T32" s="21" t="s">
        <v>109</v>
      </c>
      <c r="V32" s="18">
        <f>IFERROR(IF(OR(U32&gt;=W32,E32&gt;=W32),USD_GBP*LOOKUP(IF(U32="",E32,U32),{0,1,10,25,50,100,250,500,1000,3000},{0.0,4.31,3.81,3.09,2.73,2.65,2.44,2.23,2.09,1.97}),"MOQ="&amp;W32),"")</f>
        <v>3.754563365590774</v>
      </c>
      <c r="W32" s="17">
        <v>1</v>
      </c>
      <c r="X32" s="19">
        <f>IFERROR(IF(U32="",E32,U32)*V32,"")</f>
        <v>375.4563</v>
      </c>
      <c r="Y32" s="20" t="s">
        <v>170</v>
      </c>
      <c r="AL32" s="21" t="s">
        <v>109</v>
      </c>
      <c r="AN32" s="18">
        <f>IFERROR(IF(OR(AM32&gt;=AO32,E32&gt;=AO32),LOOKUP(IF(AM32="",E32,AM32),{0,1,3000},{0.0,2.32,2.32}),"MOQ="&amp;AO32),"")</f>
        <v/>
      </c>
      <c r="AO32" s="17">
        <v>3000</v>
      </c>
      <c r="AP32" s="19">
        <f>IFERROR(IF(AM32="",E32,AM32)*AN32,"")</f>
        <v/>
      </c>
      <c r="AQ32" s="20" t="s">
        <v>225</v>
      </c>
      <c r="AR32" s="17">
        <v>2777</v>
      </c>
      <c r="AT32" s="18">
        <f>IFERROR(IF(OR(AS32&gt;=AU32,E32&gt;=AU32),USD_GBP*LOOKUP(IF(AS32="",E32,AS32),{0,1,25,100,250,500},{0.0,6.26,3.96,3.4,3.13,2.84}),"MOQ="&amp;AU32),"")</f>
        <v>4.817175638871182</v>
      </c>
      <c r="AU32" s="17">
        <v>1</v>
      </c>
      <c r="AV32" s="19">
        <f>IFERROR(IF(AS32="",E32,AS32)*AT32,"")</f>
        <v>481.7176</v>
      </c>
      <c r="AW32" s="20" t="s">
        <v>240</v>
      </c>
      <c r="AX32" s="21" t="s">
        <v>109</v>
      </c>
      <c r="AZ32" s="18">
        <f>IFERROR(IF(OR(AY32&gt;=BA32,E32&gt;=BA32),USD_GBP*LOOKUP(IF(AY32="",E32,AY32),{0,1,5,25,100,500},{0.0,2.55,2.31,2.06,1.91,1.81}),"MOQ="&amp;BA32),"")</f>
        <v>2.706119255954105</v>
      </c>
      <c r="BA32" s="17">
        <v>1</v>
      </c>
      <c r="BB32" s="19">
        <f>IFERROR(IF(AY32="",E32,AY32)*AZ32,"")</f>
        <v>270.6119</v>
      </c>
      <c r="BC32" s="20" t="s">
        <v>122</v>
      </c>
    </row>
    <row r="33" spans="1:54">
      <c r="A33" s="17" t="s">
        <v>93</v>
      </c>
      <c r="B33" s="17" t="s">
        <v>94</v>
      </c>
      <c r="C33" s="17" t="s">
        <v>95</v>
      </c>
      <c r="D33" s="17" t="s">
        <v>96</v>
      </c>
      <c r="E33" s="17">
        <f>CEILING(BoardQty*1.0,1)</f>
        <v>100</v>
      </c>
      <c r="F33" s="18">
        <f>IF(MIN(J33,P33,V33,AB33,AH33,AN33,AT33,AZ33)&lt;&gt;0,MIN(J33,P33,V33,AB33,AH33,AN33,AT33,AZ33),"")</f>
        <v>4.5474</v>
      </c>
      <c r="G33" s="19">
        <f>IF(AND(ISNUMBER(E33),ISNUMBER(F33)),E33*F33,"")</f>
        <v>454.74</v>
      </c>
      <c r="H33" s="21" t="s">
        <v>109</v>
      </c>
      <c r="J33" s="18">
        <f>IFERROR(IF(OR(I33&gt;=K33,E33&gt;=K33),LOOKUP(IF(I33="",E33,I33),{0,1,1000,10000,100000,500000,1000000},{0.0,6.18,6.18,5.798,3.658,2.672,2.666}),"MOQ="&amp;K33),"")</f>
        <v/>
      </c>
      <c r="K33" s="17">
        <v>1000</v>
      </c>
      <c r="L33" s="19">
        <f>IFERROR(IF(I33="",E33,I33)*J33,"")</f>
        <v/>
      </c>
      <c r="M33" s="20" t="s">
        <v>96</v>
      </c>
      <c r="N33" s="21" t="s">
        <v>109</v>
      </c>
      <c r="P33" s="18">
        <f>IFERROR(IF(OR(O33&gt;=Q33,E33&gt;=Q33),LOOKUP(IF(O33="",E33,O33),{0,1,10,25,100,250,500,1000},{0.0,6.18,5.55,5.2472,4.5474,4.3142,3.87112,3.674}),"MOQ="&amp;Q33),"")</f>
        <v>4.5474</v>
      </c>
      <c r="Q33" s="17">
        <v>1</v>
      </c>
      <c r="R33" s="19">
        <f>IFERROR(IF(O33="",E33,O33)*P33,"")</f>
        <v>454.74</v>
      </c>
      <c r="S33" s="20" t="s">
        <v>149</v>
      </c>
      <c r="AF33" s="21" t="s">
        <v>109</v>
      </c>
      <c r="AH33" s="18">
        <f>IFERROR(IF(OR(AG33&gt;=AI33,E33&gt;=AI33),LOOKUP(IF(AG33="",E33,AG33),{0,1,10,50,100,1000,10000},{0.0,6.18,5.56,5.25,4.55,3.67,3.67}),"MOQ="&amp;AI33),"")</f>
        <v>4.55</v>
      </c>
      <c r="AI33" s="17">
        <v>1</v>
      </c>
      <c r="AJ33" s="19">
        <f>IFERROR(IF(AG33="",E33,AG33)*AH33,"")</f>
        <v>455.0</v>
      </c>
      <c r="AK33" s="20" t="s">
        <v>199</v>
      </c>
    </row>
    <row r="34" spans="1:54">
      <c r="A34" s="17" t="s">
        <v>97</v>
      </c>
      <c r="B34" s="17" t="s">
        <v>98</v>
      </c>
      <c r="C34" s="17" t="s">
        <v>99</v>
      </c>
      <c r="D34" s="17" t="s">
        <v>98</v>
      </c>
      <c r="E34" s="17">
        <f>CEILING(BoardQty*2.0,1)</f>
        <v>200</v>
      </c>
      <c r="F34" s="18">
        <f>IF(MIN(J34,P34,V34,AB34,AH34,AN34,AT34,AZ34)&lt;&gt;0,MIN(J34,P34,V34,AB34,AH34,AN34,AT34,AZ34),"")</f>
        <v>4.002</v>
      </c>
      <c r="G34" s="19">
        <f>IF(AND(ISNUMBER(E34),ISNUMBER(F34)),E34*F34,"")</f>
        <v>800.4</v>
      </c>
      <c r="H34" s="21" t="s">
        <v>109</v>
      </c>
      <c r="J34" s="18">
        <f>IFERROR(IF(OR(I34&gt;=K34,E34&gt;=K34),LOOKUP(IF(I34="",E34,I34),{0,1,10,25,50,100,250,500},{0.0,5.555,4.936,4.879,4.55,4.002,3.855,2.921}),"MOQ="&amp;K34),"")</f>
        <v>4.002</v>
      </c>
      <c r="K34" s="17">
        <v>1</v>
      </c>
      <c r="L34" s="19">
        <f>IFERROR(IF(I34="",E34,I34)*J34,"")</f>
        <v>800.4</v>
      </c>
      <c r="M34" s="20" t="s">
        <v>98</v>
      </c>
      <c r="N34" s="17">
        <v>241</v>
      </c>
      <c r="P34" s="18">
        <f>IFERROR(IF(OR(O34&gt;=Q34,E34&gt;=Q34),LOOKUP(IF(O34="",E34,O34),{0,1,10,25,100,250,500,1000},{0.0,5.63,5.056,4.7796,4.1423,3.92984,3.52624,3.34668}),"MOQ="&amp;Q34),"")</f>
        <v>4.1423</v>
      </c>
      <c r="Q34" s="17">
        <v>1</v>
      </c>
      <c r="R34" s="19">
        <f>IFERROR(IF(O34="",E34,O34)*P34,"")</f>
        <v>828.46</v>
      </c>
      <c r="S34" s="20" t="s">
        <v>150</v>
      </c>
      <c r="T34" s="21" t="s">
        <v>109</v>
      </c>
      <c r="V34" s="18">
        <f>IFERROR(IF(OR(U34&gt;=W34,E34&gt;=W34),USD_GBP*LOOKUP(IF(U34="",E34,U34),{0,1,10,25,50,100,250,500},{0.0,5.13,4.18,4.06,3.94,3.41,3.23,2.9}),"MOQ="&amp;W34),"")</f>
        <v>4.831343802514922</v>
      </c>
      <c r="W34" s="17">
        <v>1</v>
      </c>
      <c r="X34" s="19">
        <f>IFERROR(IF(U34="",E34,U34)*V34,"")</f>
        <v>966.2688</v>
      </c>
      <c r="Y34" s="20" t="s">
        <v>171</v>
      </c>
      <c r="AF34" s="17">
        <v>237</v>
      </c>
      <c r="AH34" s="18">
        <f>IFERROR(IF(OR(AG34&gt;=AI34,E34&gt;=AI34),LOOKUP(IF(AG34="",E34,AG34),{0,1,10,50,100,1000,10000},{0.0,5.63,5.06,4.77,4.14,3.2,2.9}),"MOQ="&amp;AI34),"")</f>
        <v>4.14</v>
      </c>
      <c r="AI34" s="17">
        <v>1</v>
      </c>
      <c r="AJ34" s="19">
        <f>IFERROR(IF(AG34="",E34,AG34)*AH34,"")</f>
        <v>828.0</v>
      </c>
      <c r="AK34" s="20" t="s">
        <v>200</v>
      </c>
      <c r="AL34" s="17">
        <v>134</v>
      </c>
      <c r="AN34" s="18">
        <f>IFERROR(IF(OR(AM34&gt;=AO34,E34&gt;=AO34),LOOKUP(IF(AM34="",E34,AM34),{0,1,10,25,50,100,150,250},{0.0,1.06,1.06,1.06,1.06,1.06,4.22,4.17}),"MOQ="&amp;AO34),"")</f>
        <v>4.22</v>
      </c>
      <c r="AO34" s="17">
        <v>1</v>
      </c>
      <c r="AP34" s="19">
        <f>IFERROR(IF(AM34="",E34,AM34)*AN34,"")</f>
        <v>844.0</v>
      </c>
      <c r="AQ34" s="20" t="s">
        <v>226</v>
      </c>
      <c r="AR34" s="17">
        <v>297</v>
      </c>
      <c r="AT34" s="18">
        <f>IFERROR(IF(OR(AS34&gt;=AU34,E34&gt;=AU34),USD_GBP*LOOKUP(IF(AS34="",E34,AS34),{0,1,5,10,15,25},{0.0,4.76,4.57,4.43,4.28,4.19}),"MOQ="&amp;AU34),"")</f>
        <v>5.936460566726546</v>
      </c>
      <c r="AU34" s="17">
        <v>1</v>
      </c>
      <c r="AV34" s="19">
        <f>IFERROR(IF(AS34="",E34,AS34)*AT34,"")</f>
        <v>1187.2921</v>
      </c>
      <c r="AW34" s="20" t="s">
        <v>241</v>
      </c>
    </row>
    <row r="35" spans="1:54">
      <c r="A35" s="17" t="s">
        <v>100</v>
      </c>
      <c r="B35" s="17" t="s">
        <v>101</v>
      </c>
      <c r="C35" s="17" t="s">
        <v>102</v>
      </c>
      <c r="D35" s="17" t="s">
        <v>103</v>
      </c>
      <c r="E35" s="17">
        <f>CEILING(BoardQty*6.0,1)</f>
        <v>600</v>
      </c>
      <c r="F35" s="18">
        <f>IF(MIN(J35,P35,V35,AB35,AH35,AN35,AT35,AZ35)&lt;&gt;0,MIN(J35,P35,V35,AB35,AH35,AN35,AT35,AZ35),"")</f>
        <v>0.6</v>
      </c>
      <c r="G35" s="19">
        <f>IF(AND(ISNUMBER(E35),ISNUMBER(F35)),E35*F35,"")</f>
        <v>360.0</v>
      </c>
      <c r="H35" s="21" t="s">
        <v>109</v>
      </c>
      <c r="J35" s="18">
        <f>IFERROR(IF(OR(I35&gt;=K35,E35&gt;=K35),LOOKUP(IF(I35="",E35,I35),{0,1,250,2500,25000,125000,250000},{0.0,0.6,0.6,0.5871,0.5118,0.4722,0.4718}),"MOQ="&amp;K35),"")</f>
        <v>0.6</v>
      </c>
      <c r="K35" s="17">
        <v>250</v>
      </c>
      <c r="L35" s="19">
        <f>IFERROR(IF(I35="",E35,I35)*J35,"")</f>
        <v>360.0</v>
      </c>
      <c r="M35" s="20" t="s">
        <v>103</v>
      </c>
      <c r="N35" s="17">
        <v>1038</v>
      </c>
      <c r="P35" s="18">
        <f>IFERROR(IF(OR(O35&gt;=Q35,E35&gt;=Q35),LOOKUP(IF(O35="",E35,O35),{0,1,10,25,100,250,500,1000},{0.0,1.41,1.263,1.1992,0.985,0.92072,0.81366,0.67468}),"MOQ="&amp;Q35),"")</f>
        <v>0.81366</v>
      </c>
      <c r="Q35" s="17">
        <v>1</v>
      </c>
      <c r="R35" s="19">
        <f>IFERROR(IF(O35="",E35,O35)*P35,"")</f>
        <v>488.196</v>
      </c>
      <c r="S35" s="20" t="s">
        <v>151</v>
      </c>
      <c r="T35" s="17">
        <v>145</v>
      </c>
      <c r="V35" s="18">
        <f>IFERROR(IF(OR(U35&gt;=W35,E35&gt;=W35),USD_GBP*LOOKUP(IF(U35="",E35,U35),{0,1,10,50,100,250,500,1000,2500},{0.0,1.28,1.07,0.9,0.734,0.648,0.614,0.564,0.514}),"MOQ="&amp;W35),"")</f>
        <v>0.8699252477255606</v>
      </c>
      <c r="W35" s="17">
        <v>1</v>
      </c>
      <c r="X35" s="19">
        <f>IFERROR(IF(U35="",E35,U35)*V35,"")</f>
        <v>521.9551</v>
      </c>
      <c r="Y35" s="20" t="s">
        <v>172</v>
      </c>
      <c r="AF35" s="17">
        <v>377</v>
      </c>
      <c r="AH35" s="18">
        <f>IFERROR(IF(OR(AG35&gt;=AI35,E35&gt;=AI35),LOOKUP(IF(AG35="",E35,AG35),{0,1,10,50,100,1000,10000},{0.0,1.41,1.27,1.2,0.921,0.606,0.565}),"MOQ="&amp;AI35),"")</f>
        <v>0.921</v>
      </c>
      <c r="AI35" s="17">
        <v>1</v>
      </c>
      <c r="AJ35" s="19">
        <f>IFERROR(IF(AG35="",E35,AG35)*AH35,"")</f>
        <v>552.6</v>
      </c>
      <c r="AK35" s="20" t="s">
        <v>201</v>
      </c>
      <c r="AL35" s="17">
        <v>145</v>
      </c>
      <c r="AN35" s="18">
        <f>IFERROR(IF(OR(AM35&gt;=AO35,E35&gt;=AO35),LOOKUP(IF(AM35="",E35,AM35),{0,1,10,25,50,100},{0.0,1.89,1.79,1.68,1.59,1.49}),"MOQ="&amp;AO35),"")</f>
        <v>1.49</v>
      </c>
      <c r="AO35" s="17">
        <v>1</v>
      </c>
      <c r="AP35" s="19">
        <f>IFERROR(IF(AM35="",E35,AM35)*AN35,"")</f>
        <v>894.0</v>
      </c>
      <c r="AQ35" s="20" t="s">
        <v>227</v>
      </c>
      <c r="AR35" s="17">
        <v>30</v>
      </c>
      <c r="AT35" s="18">
        <f>IFERROR(IF(OR(AS35&gt;=AU35,E35&gt;=AU35),USD_GBP*LOOKUP(IF(AS35="",E35,AS35),{0,1,5,50,250,500,1000},{0.0,1.02,1.02,0.812,0.622,0.548,0.504}),"MOQ="&amp;AU35),"")</f>
        <v>0.7764153676768847</v>
      </c>
      <c r="AU35" s="17">
        <v>5</v>
      </c>
      <c r="AV35" s="19">
        <f>IFERROR(IF(AS35="",E35,AS35)*AT35,"")</f>
        <v>465.8492</v>
      </c>
      <c r="AW35" s="20" t="s">
        <v>242</v>
      </c>
    </row>
    <row r="37" spans="1:54">
      <c r="B37" s="22" t="s">
        <v>251</v>
      </c>
      <c r="F37" s="1" t="s">
        <v>249</v>
      </c>
      <c r="G37" s="5">
        <f>SUM(K37,Q37,W37,AC37,AI37,AO37,AU37,BA37)</f>
        <v>0</v>
      </c>
      <c r="H37" s="20" t="s">
        <v>123</v>
      </c>
      <c r="I37" s="6">
        <f>IFERROR(IF(COUNTIF(I7:I35,"&gt;0")&gt;0,COUNTIF(I7:I35,"&gt;0")&amp;" of "&amp;(ROWS(K7:K35)-COUNTBLANK(K7:K35))&amp;" parts purchased",""),"")</f>
        <v/>
      </c>
      <c r="L37" s="5">
        <f>SUMIF(I7:I35,"&gt;0",L7:L35)</f>
        <v>0</v>
      </c>
      <c r="N37" s="20" t="s">
        <v>123</v>
      </c>
      <c r="O37" s="6">
        <f>IFERROR(IF(COUNTIF(O7:O35,"&gt;0")&gt;0,COUNTIF(O7:O35,"&gt;0")&amp;" of "&amp;(ROWS(Q7:Q35)-COUNTBLANK(Q7:Q35))&amp;" parts purchased",""),"")</f>
        <v/>
      </c>
      <c r="R37" s="5">
        <f>SUMIF(O7:O35,"&gt;0",R7:R35)</f>
        <v>0</v>
      </c>
      <c r="T37" s="20" t="s">
        <v>123</v>
      </c>
      <c r="U37" s="6">
        <f>IFERROR(IF(COUNTIF(U7:U35,"&gt;0")&gt;0,COUNTIF(U7:U35,"&gt;0")&amp;" of "&amp;(ROWS(W7:W35)-COUNTBLANK(W7:W35))&amp;" parts purchased",""),"")</f>
        <v/>
      </c>
      <c r="X37" s="5">
        <f>SUMIF(U7:U35,"&gt;0",X7:X35)</f>
        <v>0</v>
      </c>
      <c r="Z37" s="20" t="s">
        <v>123</v>
      </c>
      <c r="AA37" s="6">
        <f>IFERROR(IF(COUNTIF(AA7:AA35,"&gt;0")&gt;0,COUNTIF(AA7:AA35,"&gt;0")&amp;" of "&amp;(ROWS(AC7:AC35)-COUNTBLANK(AC7:AC35))&amp;" parts purchased",""),"")</f>
        <v/>
      </c>
      <c r="AD37" s="5">
        <f>SUMIF(AA7:AA35,"&gt;0",AD7:AD35)</f>
        <v>0</v>
      </c>
      <c r="AF37" s="20" t="s">
        <v>123</v>
      </c>
      <c r="AG37" s="6">
        <f>IFERROR(IF(COUNTIF(AG7:AG35,"&gt;0")&gt;0,COUNTIF(AG7:AG35,"&gt;0")&amp;" of "&amp;(ROWS(AI7:AI35)-COUNTBLANK(AI7:AI35))&amp;" parts purchased",""),"")</f>
        <v/>
      </c>
      <c r="AJ37" s="5">
        <f>SUMIF(AG7:AG35,"&gt;0",AJ7:AJ35)</f>
        <v>0</v>
      </c>
      <c r="AL37" s="20" t="s">
        <v>123</v>
      </c>
      <c r="AM37" s="6">
        <f>IFERROR(IF(COUNTIF(AM7:AM35,"&gt;0")&gt;0,COUNTIF(AM7:AM35,"&gt;0")&amp;" of "&amp;(ROWS(AO7:AO35)-COUNTBLANK(AO7:AO35))&amp;" parts purchased",""),"")</f>
        <v/>
      </c>
      <c r="AP37" s="5">
        <f>SUMIF(AM7:AM35,"&gt;0",AP7:AP35)</f>
        <v>0</v>
      </c>
      <c r="AR37" s="20" t="s">
        <v>123</v>
      </c>
      <c r="AS37" s="6">
        <f>IFERROR(IF(COUNTIF(AS7:AS35,"&gt;0")&gt;0,COUNTIF(AS7:AS35,"&gt;0")&amp;" of "&amp;(ROWS(AU7:AU35)-COUNTBLANK(AU7:AU35))&amp;" parts purchased",""),"")</f>
        <v/>
      </c>
      <c r="AV37" s="5">
        <f>SUMIF(AS7:AS35,"&gt;0",AV7:AV35)</f>
        <v>0</v>
      </c>
      <c r="AX37" s="20" t="s">
        <v>123</v>
      </c>
      <c r="AY37" s="6">
        <f>IFERROR(IF(COUNTIF(AY7:AY35,"&gt;0")&gt;0,COUNTIF(AY7:AY35,"&gt;0")&amp;" of "&amp;(ROWS(BA7:BA35)-COUNTBLANK(BA7:BA35))&amp;" parts purchased",""),"")</f>
        <v/>
      </c>
      <c r="BB37" s="5">
        <f>SUMIF(AY7:AY35,"&gt;0",BB7:BB35)</f>
        <v>0</v>
      </c>
    </row>
    <row r="38" spans="1:54">
      <c r="B38" s="22" t="s">
        <v>252</v>
      </c>
      <c r="C38">
        <v>1.416816364373877</v>
      </c>
      <c r="F38" s="22" t="s">
        <v>250</v>
      </c>
      <c r="I38" s="23">
        <f>CONCATENATE(I68,I69,I70,I71,I72,I73,I74,I75,I76,I77,I78,I79,I80,I81,I82,I83,I84,I85,I86,I87,I88,I89,I90,I91,I92,I93,I94,I95,I96)</f>
        <v/>
      </c>
      <c r="O38" s="23">
        <f>CONCATENATE(O68,O69,O70,O71,O72,O73,O74,O75,O76,O77,O78,O79,O80,O81,O82,O83,O84,O85,O86,O87,O88,O89,O90,O91,O92,O93,O94,O95,O96)</f>
        <v/>
      </c>
      <c r="U38" s="23">
        <f>CONCATENATE(U68,U69,U70,U71,U72,U73,U74,U75,U76,U77,U78,U79,U80,U81,U82,U83,U84,U85,U86,U87,U88,U89,U90,U91,U92,U93,U94,U95,U96)</f>
        <v/>
      </c>
      <c r="AA38" s="23" t="str">
        <f>CONCATENATE(AA97,AA68,AA69,AA70,AA71,AA72,AA73,AA74,AA75,AA76,AA77,AA78,AA79,AA80,AA81,AA82,AA83,AA84,AA85,AA86,AA87,AA88,AA89,AA90,AA91,AA92,AA93,AA94,AA95,AA96)</f>
        <v>Copy this header and order to a CSV
file and use it for JLCPCB 
manufacturer PCB house.
The multipart components that use
"#" symbol are not allowed by JLCPCB.</v>
      </c>
      <c r="AG38" s="23">
        <f>CONCATENATE(AG68,AG69,AG70,AG71,AG72,AG73,AG74,AG75,AG76,AG77,AG78,AG79,AG80,AG81,AG82,AG83,AG84,AG85,AG86,AG87,AG88,AG89,AG90,AG91,AG92,AG93,AG94,AG95,AG96)</f>
        <v/>
      </c>
      <c r="AM38" s="23">
        <f>CONCATENATE(AM68,AM69,AM70,AM71,AM72,AM73,AM74,AM75,AM76,AM77,AM78,AM79,AM80,AM81,AM82,AM83,AM84,AM85,AM86,AM87,AM88,AM89,AM90,AM91,AM92,AM93,AM94,AM95,AM96)</f>
        <v/>
      </c>
      <c r="AS38" s="23">
        <f>CONCATENATE(AS68,AS69,AS70,AS71,AS72,AS73,AS74,AS75,AS76,AS77,AS78,AS79,AS80,AS81,AS82,AS83,AS84,AS85,AS86,AS87,AS88,AS89,AS90,AS91,AS92,AS93,AS94,AS95,AS96)</f>
        <v/>
      </c>
      <c r="AY38" s="23">
        <f>CONCATENATE(AY68,AY69,AY70,AY71,AY72,AY73,AY74,AY75,AY76,AY77,AY78,AY79,AY80,AY81,AY82,AY83,AY84,AY85,AY86,AY87,AY88,AY89,AY90,AY91,AY92,AY93,AY94,AY95,AY96)</f>
        <v/>
      </c>
    </row>
    <row r="40" spans="1:54">
      <c r="A40" s="2" t="s">
        <v>263</v>
      </c>
    </row>
    <row r="68" spans="9:51" ht="30" hidden="1" customHeight="1">
      <c r="I68" t="str">
        <f t="array" ref="I68:I96">IF(ISNUMBER(I7:I35)*(I7:I35&gt;=K7:K35)*(M7:M35&lt;&gt;""),M7:M35&amp;","&amp;TEXT(ROUNDUP(I7:I35/IF(ISNUMBER(K7:K35),K7:K35,1))*K7:K35,"##0")&amp;","&amp;SUBSTITUTE(IF(PURCHASE_DESCRIPTION&lt;&gt;"",PURCHASE_DESCRIPTION&amp;":","")&amp;A7:A35,",",";")&amp;CHAR(10),"")</f>
        <v/>
      </c>
      <c r="O68" t="str">
        <f t="array" ref="O68:O96">IF(ISNUMBER(O7:O35)*(O7:O35&gt;=Q7:Q35)*(S7:S35&lt;&gt;""),TEXT(ROUNDUP(O7:O35/IF(ISNUMBER(Q7:Q35),Q7:Q35,1))*Q7:Q35,"##0")&amp;","&amp;S7:S35&amp;","&amp;SUBSTITUTE(IF(PURCHASE_DESCRIPTION&lt;&gt;"",PURCHASE_DESCRIPTION&amp;":","")&amp;A7:A35,",",";")&amp;CHAR(10),"")</f>
        <v/>
      </c>
      <c r="U68" t="str">
        <f t="array" ref="U68:U96">IF(ISNUMBER(U7:U35)*(U7:U35&gt;=W7:W35)*(Y7:Y35&lt;&gt;""),Y7:Y35&amp;","&amp;TEXT(ROUNDUP(U7:U35/IF(ISNUMBER(W7:W35),W7:W35,1))*W7:W35,"##0")&amp;","&amp;""&amp;","&amp;LEFT(SUBSTITUTE(SUBSTITUTE(IF(PURCHASE_DESCRIPTION&lt;&gt;"",PURCHASE_DESCRIPTION&amp;":","")&amp;A7:A35,",",";"),"
",";"),30)&amp;CHAR(10),"")</f>
        <v/>
      </c>
      <c r="AA68" t="str">
        <f t="array" ref="AA68:AA96">IF(ISNUMBER(AA7:AA35)*(AA7:AA35&gt;=AC7:AC35)*(AE7:AE35&lt;&gt;""),TEXT(ROUNDUP(AA7:AA35/IF(ISNUMBER(AC7:AC35),AC7:AC35,1))*AC7:AC35,"##0")&amp;","&amp;SUBSTITUTE(IF(PURCHASE_DESCRIPTION&lt;&gt;"",PURCHASE_DESCRIPTION&amp;":","")&amp;A7:A35,",",";")&amp;","&amp;SUBSTITUTE(IF(PURCHASE_DESCRIPTION&lt;&gt;"",PURCHASE_DESCRIPTION&amp;":","")&amp;C7:C35,",",";")&amp;","&amp;AE7:AE35&amp;CHAR(10),"")</f>
        <v/>
      </c>
      <c r="AG68" t="str">
        <f t="array" ref="AG68:AG96">IF(ISNUMBER(AG7:AG35)*(AG7:AG35&gt;=AI7:AI35)*(AK7:AK35&lt;&gt;""),AK7:AK35&amp;"|"&amp;TEXT(ROUNDUP(AG7:AG35/IF(ISNUMBER(AI7:AI35),AI7:AI35,1))*AI7:AI35,"##0")&amp;"|"&amp;SUBSTITUTE(SUBSTITUTE(IF(PURCHASE_DESCRIPTION&lt;&gt;"",PURCHASE_DESCRIPTION&amp;":","")&amp;A7:A35,"|",";")," ","_")&amp;CHAR(10),"")</f>
        <v/>
      </c>
      <c r="AM68" t="str">
        <f t="array" ref="AM68:AM96">IF(ISNUMBER(AM7:AM35)*(AM7:AM35&gt;=AO7:AO35)*(AQ7:AQ35&lt;&gt;""),AQ7:AQ35&amp;","&amp;TEXT(ROUNDUP(AM7:AM35/IF(ISNUMBER(AO7:AO35),AO7:AO35,1))*AO7:AO35,"##0")&amp;","&amp;SUBSTITUTE(SUBSTITUTE(IF(PURCHASE_DESCRIPTION&lt;&gt;"",PURCHASE_DESCRIPTION&amp;":","")&amp;A7:A35,",",";"),"
",";")&amp;","&amp;""&amp;CHAR(10),"")</f>
        <v/>
      </c>
      <c r="AS68" t="str">
        <f t="array" ref="AS68:AS96">IF(ISNUMBER(AS7:AS35)*(AS7:AS35&gt;=AU7:AU35)*(AW7:AW35&lt;&gt;""),AW7:AW35&amp;","&amp;TEXT(ROUNDUP(AS7:AS35/IF(ISNUMBER(AU7:AU35),AU7:AU35,1))*AU7:AU35,"##0")&amp;","&amp;""&amp;","&amp;""&amp;","&amp;""&amp;","&amp;D7:D35&amp;","&amp;SUBSTITUTE(IF(PURCHASE_DESCRIPTION&lt;&gt;"",PURCHASE_DESCRIPTION&amp;":","")&amp;A7:A35,",",";")&amp;CHAR(10),"")</f>
        <v/>
      </c>
      <c r="AY68" t="str">
        <f t="array" ref="AY68:AY96">IF(ISNUMBER(AY7:AY35)*(AY7:AY35&gt;=BA7:BA35)*(BC7:BC35&lt;&gt;""),BC7:BC35&amp;" "&amp;TEXT(ROUNDUP(AY7:AY35/IF(ISNUMBER(BA7:BA35),BA7:BA35,1))*BA7:BA35,"##0")&amp;" "&amp;SUBSTITUTE(IF(PURCHASE_DESCRIPTION&lt;&gt;"",PURCHASE_DESCRIPTION&amp;":","")&amp;A7:A35," ",";")&amp;CHAR(10),"")</f>
        <v/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I94">
        <v>0</v>
      </c>
      <c r="O94">
        <v>0</v>
      </c>
      <c r="U94">
        <v>0</v>
      </c>
      <c r="AA94">
        <v>0</v>
      </c>
      <c r="AG94">
        <v>0</v>
      </c>
      <c r="AM94">
        <v>0</v>
      </c>
      <c r="AS94">
        <v>0</v>
      </c>
      <c r="AY94">
        <v>0</v>
      </c>
    </row>
    <row r="95" spans="9:51" ht="30" hidden="1" customHeight="1">
      <c r="I95">
        <v>0</v>
      </c>
      <c r="O95">
        <v>0</v>
      </c>
      <c r="U95">
        <v>0</v>
      </c>
      <c r="AA95">
        <v>0</v>
      </c>
      <c r="AG95">
        <v>0</v>
      </c>
      <c r="AM95">
        <v>0</v>
      </c>
      <c r="AS95">
        <v>0</v>
      </c>
      <c r="AY95">
        <v>0</v>
      </c>
    </row>
    <row r="96" spans="9:51" ht="30" hidden="1" customHeight="1">
      <c r="I96">
        <v>0</v>
      </c>
      <c r="O96">
        <v>0</v>
      </c>
      <c r="U96">
        <v>0</v>
      </c>
      <c r="AA96">
        <v>0</v>
      </c>
      <c r="AG96">
        <v>0</v>
      </c>
      <c r="AM96">
        <v>0</v>
      </c>
      <c r="AS96">
        <v>0</v>
      </c>
      <c r="AY96">
        <v>0</v>
      </c>
    </row>
    <row r="97" spans="27:27" ht="30" hidden="1" customHeight="1">
      <c r="AA97">
        <f>IFERROR(IF(COUNTIFS(AA7:AA35,"&gt;0",AD7:AD35,"&lt;&gt;")&gt;0,"Quantity,Comment,Designator,Footprint,LCSC Part #(optional)"&amp;CHAR(10),""),"")</f>
        <v/>
      </c>
    </row>
  </sheetData>
  <mergeCells count="17">
    <mergeCell ref="A5:G5"/>
    <mergeCell ref="H5:M5"/>
    <mergeCell ref="I38:L67"/>
    <mergeCell ref="N5:S5"/>
    <mergeCell ref="O38:R67"/>
    <mergeCell ref="T5:Y5"/>
    <mergeCell ref="U38:X67"/>
    <mergeCell ref="Z5:AE5"/>
    <mergeCell ref="AA38:AD67"/>
    <mergeCell ref="AF5:AK5"/>
    <mergeCell ref="AG38:AJ67"/>
    <mergeCell ref="AL5:AQ5"/>
    <mergeCell ref="AM38:AP67"/>
    <mergeCell ref="AR5:AW5"/>
    <mergeCell ref="AS38:AV67"/>
    <mergeCell ref="AX5:BC5"/>
    <mergeCell ref="AY38:BB67"/>
  </mergeCells>
  <conditionalFormatting sqref="AA30">
    <cfRule type="expression" dxfId="3" priority="423">
      <formula>AND(AA30&gt;0,MOD(AA30,AC30)&lt;&gt;0)</formula>
    </cfRule>
    <cfRule type="cellIs" dxfId="0" priority="424" operator="greaterThan">
      <formula>Z30</formula>
    </cfRule>
  </conditionalFormatting>
  <conditionalFormatting sqref="AB30">
    <cfRule type="cellIs" dxfId="2" priority="426" operator="lessThanOrEqual">
      <formula>F30</formula>
    </cfRule>
  </conditionalFormatting>
  <conditionalFormatting sqref="AD30">
    <cfRule type="cellIs" dxfId="2" priority="425" operator="lessThanOrEqual">
      <formula>G30</formula>
    </cfRule>
  </conditionalFormatting>
  <conditionalFormatting sqref="AF10">
    <cfRule type="cellIs" dxfId="0" priority="442" operator="equal">
      <formula>0</formula>
    </cfRule>
    <cfRule type="cellIs" dxfId="1" priority="443" operator="lessThan">
      <formula>E10</formula>
    </cfRule>
  </conditionalFormatting>
  <conditionalFormatting sqref="AF11">
    <cfRule type="cellIs" dxfId="0" priority="447" operator="equal">
      <formula>0</formula>
    </cfRule>
    <cfRule type="cellIs" dxfId="1" priority="448" operator="lessThan">
      <formula>E11</formula>
    </cfRule>
  </conditionalFormatting>
  <conditionalFormatting sqref="AF12">
    <cfRule type="cellIs" dxfId="0" priority="452" operator="equal">
      <formula>0</formula>
    </cfRule>
    <cfRule type="cellIs" dxfId="1" priority="453" operator="lessThan">
      <formula>E12</formula>
    </cfRule>
  </conditionalFormatting>
  <conditionalFormatting sqref="AF13">
    <cfRule type="cellIs" dxfId="0" priority="457" operator="equal">
      <formula>0</formula>
    </cfRule>
    <cfRule type="cellIs" dxfId="1" priority="458" operator="lessThan">
      <formula>E13</formula>
    </cfRule>
  </conditionalFormatting>
  <conditionalFormatting sqref="AF15">
    <cfRule type="cellIs" dxfId="0" priority="462" operator="equal">
      <formula>0</formula>
    </cfRule>
    <cfRule type="cellIs" dxfId="1" priority="463" operator="lessThan">
      <formula>E15</formula>
    </cfRule>
  </conditionalFormatting>
  <conditionalFormatting sqref="AF16">
    <cfRule type="cellIs" dxfId="0" priority="467" operator="equal">
      <formula>0</formula>
    </cfRule>
    <cfRule type="cellIs" dxfId="1" priority="468" operator="lessThan">
      <formula>E16</formula>
    </cfRule>
  </conditionalFormatting>
  <conditionalFormatting sqref="AF17">
    <cfRule type="cellIs" dxfId="0" priority="472" operator="equal">
      <formula>0</formula>
    </cfRule>
    <cfRule type="cellIs" dxfId="1" priority="473" operator="lessThan">
      <formula>E17</formula>
    </cfRule>
  </conditionalFormatting>
  <conditionalFormatting sqref="AF18">
    <cfRule type="cellIs" dxfId="0" priority="477" operator="equal">
      <formula>0</formula>
    </cfRule>
    <cfRule type="cellIs" dxfId="1" priority="478" operator="lessThan">
      <formula>E18</formula>
    </cfRule>
  </conditionalFormatting>
  <conditionalFormatting sqref="AF19">
    <cfRule type="cellIs" dxfId="0" priority="482" operator="equal">
      <formula>0</formula>
    </cfRule>
    <cfRule type="cellIs" dxfId="1" priority="483" operator="lessThan">
      <formula>E19</formula>
    </cfRule>
  </conditionalFormatting>
  <conditionalFormatting sqref="AF20">
    <cfRule type="cellIs" dxfId="0" priority="487" operator="equal">
      <formula>0</formula>
    </cfRule>
    <cfRule type="cellIs" dxfId="1" priority="488" operator="lessThan">
      <formula>E20</formula>
    </cfRule>
  </conditionalFormatting>
  <conditionalFormatting sqref="AF21">
    <cfRule type="cellIs" dxfId="0" priority="492" operator="equal">
      <formula>0</formula>
    </cfRule>
    <cfRule type="cellIs" dxfId="1" priority="493" operator="lessThan">
      <formula>E21</formula>
    </cfRule>
  </conditionalFormatting>
  <conditionalFormatting sqref="AF22">
    <cfRule type="cellIs" dxfId="0" priority="497" operator="equal">
      <formula>0</formula>
    </cfRule>
    <cfRule type="cellIs" dxfId="1" priority="498" operator="lessThan">
      <formula>E22</formula>
    </cfRule>
  </conditionalFormatting>
  <conditionalFormatting sqref="AF23">
    <cfRule type="cellIs" dxfId="0" priority="502" operator="equal">
      <formula>0</formula>
    </cfRule>
    <cfRule type="cellIs" dxfId="1" priority="503" operator="lessThan">
      <formula>E23</formula>
    </cfRule>
  </conditionalFormatting>
  <conditionalFormatting sqref="AF24">
    <cfRule type="cellIs" dxfId="0" priority="507" operator="equal">
      <formula>0</formula>
    </cfRule>
    <cfRule type="cellIs" dxfId="1" priority="508" operator="lessThan">
      <formula>E24</formula>
    </cfRule>
  </conditionalFormatting>
  <conditionalFormatting sqref="AF25">
    <cfRule type="cellIs" dxfId="0" priority="512" operator="equal">
      <formula>0</formula>
    </cfRule>
    <cfRule type="cellIs" dxfId="1" priority="513" operator="lessThan">
      <formula>E25</formula>
    </cfRule>
  </conditionalFormatting>
  <conditionalFormatting sqref="AF26">
    <cfRule type="cellIs" dxfId="0" priority="517" operator="equal">
      <formula>0</formula>
    </cfRule>
    <cfRule type="cellIs" dxfId="1" priority="518" operator="lessThan">
      <formula>E26</formula>
    </cfRule>
  </conditionalFormatting>
  <conditionalFormatting sqref="AF27">
    <cfRule type="cellIs" dxfId="0" priority="522" operator="equal">
      <formula>0</formula>
    </cfRule>
    <cfRule type="cellIs" dxfId="1" priority="523" operator="lessThan">
      <formula>E27</formula>
    </cfRule>
  </conditionalFormatting>
  <conditionalFormatting sqref="AF28">
    <cfRule type="cellIs" dxfId="0" priority="527" operator="equal">
      <formula>0</formula>
    </cfRule>
    <cfRule type="cellIs" dxfId="1" priority="528" operator="lessThan">
      <formula>E28</formula>
    </cfRule>
  </conditionalFormatting>
  <conditionalFormatting sqref="AF29">
    <cfRule type="cellIs" dxfId="0" priority="532" operator="equal">
      <formula>0</formula>
    </cfRule>
    <cfRule type="cellIs" dxfId="1" priority="533" operator="lessThan">
      <formula>E29</formula>
    </cfRule>
  </conditionalFormatting>
  <conditionalFormatting sqref="AF30">
    <cfRule type="cellIs" dxfId="0" priority="537" operator="equal">
      <formula>0</formula>
    </cfRule>
    <cfRule type="cellIs" dxfId="1" priority="538" operator="lessThan">
      <formula>E30</formula>
    </cfRule>
  </conditionalFormatting>
  <conditionalFormatting sqref="AF33">
    <cfRule type="cellIs" dxfId="0" priority="542" operator="equal">
      <formula>0</formula>
    </cfRule>
    <cfRule type="cellIs" dxfId="1" priority="543" operator="lessThan">
      <formula>E33</formula>
    </cfRule>
  </conditionalFormatting>
  <conditionalFormatting sqref="AF34">
    <cfRule type="cellIs" dxfId="0" priority="547" operator="equal">
      <formula>0</formula>
    </cfRule>
    <cfRule type="cellIs" dxfId="1" priority="548" operator="lessThan">
      <formula>E34</formula>
    </cfRule>
  </conditionalFormatting>
  <conditionalFormatting sqref="AF35">
    <cfRule type="cellIs" dxfId="0" priority="552" operator="equal">
      <formula>0</formula>
    </cfRule>
    <cfRule type="cellIs" dxfId="1" priority="553" operator="lessThan">
      <formula>E35</formula>
    </cfRule>
  </conditionalFormatting>
  <conditionalFormatting sqref="AF7">
    <cfRule type="cellIs" dxfId="0" priority="427" operator="equal">
      <formula>0</formula>
    </cfRule>
    <cfRule type="cellIs" dxfId="1" priority="428" operator="lessThan">
      <formula>E7</formula>
    </cfRule>
  </conditionalFormatting>
  <conditionalFormatting sqref="AF8">
    <cfRule type="cellIs" dxfId="0" priority="432" operator="equal">
      <formula>0</formula>
    </cfRule>
    <cfRule type="cellIs" dxfId="1" priority="433" operator="lessThan">
      <formula>E8</formula>
    </cfRule>
  </conditionalFormatting>
  <conditionalFormatting sqref="AF9">
    <cfRule type="cellIs" dxfId="0" priority="437" operator="equal">
      <formula>0</formula>
    </cfRule>
    <cfRule type="cellIs" dxfId="1" priority="438" operator="lessThan">
      <formula>E9</formula>
    </cfRule>
  </conditionalFormatting>
  <conditionalFormatting sqref="AG10">
    <cfRule type="cellIs" dxfId="0" priority="444" operator="greaterThan">
      <formula>AF10</formula>
    </cfRule>
  </conditionalFormatting>
  <conditionalFormatting sqref="AG11">
    <cfRule type="cellIs" dxfId="0" priority="449" operator="greaterThan">
      <formula>AF11</formula>
    </cfRule>
  </conditionalFormatting>
  <conditionalFormatting sqref="AG12">
    <cfRule type="cellIs" dxfId="0" priority="454" operator="greaterThan">
      <formula>AF12</formula>
    </cfRule>
  </conditionalFormatting>
  <conditionalFormatting sqref="AG13">
    <cfRule type="cellIs" dxfId="0" priority="459" operator="greaterThan">
      <formula>AF13</formula>
    </cfRule>
  </conditionalFormatting>
  <conditionalFormatting sqref="AG15">
    <cfRule type="cellIs" dxfId="0" priority="464" operator="greaterThan">
      <formula>AF15</formula>
    </cfRule>
  </conditionalFormatting>
  <conditionalFormatting sqref="AG16">
    <cfRule type="cellIs" dxfId="0" priority="469" operator="greaterThan">
      <formula>AF16</formula>
    </cfRule>
  </conditionalFormatting>
  <conditionalFormatting sqref="AG17">
    <cfRule type="cellIs" dxfId="0" priority="474" operator="greaterThan">
      <formula>AF17</formula>
    </cfRule>
  </conditionalFormatting>
  <conditionalFormatting sqref="AG18">
    <cfRule type="cellIs" dxfId="0" priority="479" operator="greaterThan">
      <formula>AF18</formula>
    </cfRule>
  </conditionalFormatting>
  <conditionalFormatting sqref="AG19">
    <cfRule type="cellIs" dxfId="0" priority="484" operator="greaterThan">
      <formula>AF19</formula>
    </cfRule>
  </conditionalFormatting>
  <conditionalFormatting sqref="AG20">
    <cfRule type="cellIs" dxfId="0" priority="489" operator="greaterThan">
      <formula>AF20</formula>
    </cfRule>
  </conditionalFormatting>
  <conditionalFormatting sqref="AG21">
    <cfRule type="cellIs" dxfId="0" priority="494" operator="greaterThan">
      <formula>AF21</formula>
    </cfRule>
  </conditionalFormatting>
  <conditionalFormatting sqref="AG22">
    <cfRule type="cellIs" dxfId="0" priority="499" operator="greaterThan">
      <formula>AF22</formula>
    </cfRule>
  </conditionalFormatting>
  <conditionalFormatting sqref="AG23">
    <cfRule type="cellIs" dxfId="0" priority="504" operator="greaterThan">
      <formula>AF23</formula>
    </cfRule>
  </conditionalFormatting>
  <conditionalFormatting sqref="AG24">
    <cfRule type="cellIs" dxfId="0" priority="509" operator="greaterThan">
      <formula>AF24</formula>
    </cfRule>
  </conditionalFormatting>
  <conditionalFormatting sqref="AG25">
    <cfRule type="cellIs" dxfId="0" priority="514" operator="greaterThan">
      <formula>AF25</formula>
    </cfRule>
  </conditionalFormatting>
  <conditionalFormatting sqref="AG26">
    <cfRule type="cellIs" dxfId="0" priority="519" operator="greaterThan">
      <formula>AF26</formula>
    </cfRule>
  </conditionalFormatting>
  <conditionalFormatting sqref="AG27">
    <cfRule type="cellIs" dxfId="0" priority="524" operator="greaterThan">
      <formula>AF27</formula>
    </cfRule>
  </conditionalFormatting>
  <conditionalFormatting sqref="AG28">
    <cfRule type="cellIs" dxfId="0" priority="529" operator="greaterThan">
      <formula>AF28</formula>
    </cfRule>
  </conditionalFormatting>
  <conditionalFormatting sqref="AG29">
    <cfRule type="cellIs" dxfId="0" priority="534" operator="greaterThan">
      <formula>AF29</formula>
    </cfRule>
  </conditionalFormatting>
  <conditionalFormatting sqref="AG30">
    <cfRule type="cellIs" dxfId="0" priority="539" operator="greaterThan">
      <formula>AF30</formula>
    </cfRule>
  </conditionalFormatting>
  <conditionalFormatting sqref="AG33">
    <cfRule type="cellIs" dxfId="0" priority="544" operator="greaterThan">
      <formula>AF33</formula>
    </cfRule>
  </conditionalFormatting>
  <conditionalFormatting sqref="AG34">
    <cfRule type="cellIs" dxfId="0" priority="549" operator="greaterThan">
      <formula>AF34</formula>
    </cfRule>
  </conditionalFormatting>
  <conditionalFormatting sqref="AG35">
    <cfRule type="cellIs" dxfId="0" priority="554" operator="greaterThan">
      <formula>AF35</formula>
    </cfRule>
  </conditionalFormatting>
  <conditionalFormatting sqref="AG7">
    <cfRule type="cellIs" dxfId="0" priority="429" operator="greaterThan">
      <formula>AF7</formula>
    </cfRule>
  </conditionalFormatting>
  <conditionalFormatting sqref="AG8">
    <cfRule type="cellIs" dxfId="0" priority="434" operator="greaterThan">
      <formula>AF8</formula>
    </cfRule>
  </conditionalFormatting>
  <conditionalFormatting sqref="AG9">
    <cfRule type="cellIs" dxfId="0" priority="439" operator="greaterThan">
      <formula>AF9</formula>
    </cfRule>
  </conditionalFormatting>
  <conditionalFormatting sqref="AH10">
    <cfRule type="cellIs" dxfId="2" priority="446" operator="lessThanOrEqual">
      <formula>F10</formula>
    </cfRule>
  </conditionalFormatting>
  <conditionalFormatting sqref="AH11">
    <cfRule type="cellIs" dxfId="2" priority="451" operator="lessThanOrEqual">
      <formula>F11</formula>
    </cfRule>
  </conditionalFormatting>
  <conditionalFormatting sqref="AH12">
    <cfRule type="cellIs" dxfId="2" priority="456" operator="lessThanOrEqual">
      <formula>F12</formula>
    </cfRule>
  </conditionalFormatting>
  <conditionalFormatting sqref="AH13">
    <cfRule type="cellIs" dxfId="2" priority="461" operator="lessThanOrEqual">
      <formula>F13</formula>
    </cfRule>
  </conditionalFormatting>
  <conditionalFormatting sqref="AH15">
    <cfRule type="cellIs" dxfId="2" priority="466" operator="lessThanOrEqual">
      <formula>F15</formula>
    </cfRule>
  </conditionalFormatting>
  <conditionalFormatting sqref="AH16">
    <cfRule type="cellIs" dxfId="2" priority="471" operator="lessThanOrEqual">
      <formula>F16</formula>
    </cfRule>
  </conditionalFormatting>
  <conditionalFormatting sqref="AH17">
    <cfRule type="cellIs" dxfId="2" priority="476" operator="lessThanOrEqual">
      <formula>F17</formula>
    </cfRule>
  </conditionalFormatting>
  <conditionalFormatting sqref="AH18">
    <cfRule type="cellIs" dxfId="2" priority="481" operator="lessThanOrEqual">
      <formula>F18</formula>
    </cfRule>
  </conditionalFormatting>
  <conditionalFormatting sqref="AH19">
    <cfRule type="cellIs" dxfId="2" priority="486" operator="lessThanOrEqual">
      <formula>F19</formula>
    </cfRule>
  </conditionalFormatting>
  <conditionalFormatting sqref="AH20">
    <cfRule type="cellIs" dxfId="2" priority="491" operator="lessThanOrEqual">
      <formula>F20</formula>
    </cfRule>
  </conditionalFormatting>
  <conditionalFormatting sqref="AH21">
    <cfRule type="cellIs" dxfId="2" priority="496" operator="lessThanOrEqual">
      <formula>F21</formula>
    </cfRule>
  </conditionalFormatting>
  <conditionalFormatting sqref="AH22">
    <cfRule type="cellIs" dxfId="2" priority="501" operator="lessThanOrEqual">
      <formula>F22</formula>
    </cfRule>
  </conditionalFormatting>
  <conditionalFormatting sqref="AH23">
    <cfRule type="cellIs" dxfId="2" priority="506" operator="lessThanOrEqual">
      <formula>F23</formula>
    </cfRule>
  </conditionalFormatting>
  <conditionalFormatting sqref="AH24">
    <cfRule type="cellIs" dxfId="2" priority="511" operator="lessThanOrEqual">
      <formula>F24</formula>
    </cfRule>
  </conditionalFormatting>
  <conditionalFormatting sqref="AH25">
    <cfRule type="cellIs" dxfId="2" priority="516" operator="lessThanOrEqual">
      <formula>F25</formula>
    </cfRule>
  </conditionalFormatting>
  <conditionalFormatting sqref="AH26">
    <cfRule type="cellIs" dxfId="2" priority="521" operator="lessThanOrEqual">
      <formula>F26</formula>
    </cfRule>
  </conditionalFormatting>
  <conditionalFormatting sqref="AH27">
    <cfRule type="cellIs" dxfId="2" priority="526" operator="lessThanOrEqual">
      <formula>F27</formula>
    </cfRule>
  </conditionalFormatting>
  <conditionalFormatting sqref="AH28">
    <cfRule type="cellIs" dxfId="2" priority="531" operator="lessThanOrEqual">
      <formula>F28</formula>
    </cfRule>
  </conditionalFormatting>
  <conditionalFormatting sqref="AH29">
    <cfRule type="cellIs" dxfId="2" priority="536" operator="lessThanOrEqual">
      <formula>F29</formula>
    </cfRule>
  </conditionalFormatting>
  <conditionalFormatting sqref="AH30">
    <cfRule type="cellIs" dxfId="2" priority="541" operator="lessThanOrEqual">
      <formula>F30</formula>
    </cfRule>
  </conditionalFormatting>
  <conditionalFormatting sqref="AH33">
    <cfRule type="cellIs" dxfId="2" priority="546" operator="lessThanOrEqual">
      <formula>F33</formula>
    </cfRule>
  </conditionalFormatting>
  <conditionalFormatting sqref="AH34">
    <cfRule type="cellIs" dxfId="2" priority="551" operator="lessThanOrEqual">
      <formula>F34</formula>
    </cfRule>
  </conditionalFormatting>
  <conditionalFormatting sqref="AH35">
    <cfRule type="cellIs" dxfId="2" priority="556" operator="lessThanOrEqual">
      <formula>F35</formula>
    </cfRule>
  </conditionalFormatting>
  <conditionalFormatting sqref="AH7">
    <cfRule type="cellIs" dxfId="2" priority="431" operator="lessThanOrEqual">
      <formula>F7</formula>
    </cfRule>
  </conditionalFormatting>
  <conditionalFormatting sqref="AH8">
    <cfRule type="cellIs" dxfId="2" priority="436" operator="lessThanOrEqual">
      <formula>F8</formula>
    </cfRule>
  </conditionalFormatting>
  <conditionalFormatting sqref="AH9">
    <cfRule type="cellIs" dxfId="2" priority="441" operator="lessThanOrEqual">
      <formula>F9</formula>
    </cfRule>
  </conditionalFormatting>
  <conditionalFormatting sqref="AJ10">
    <cfRule type="cellIs" dxfId="2" priority="445" operator="lessThanOrEqual">
      <formula>G10</formula>
    </cfRule>
  </conditionalFormatting>
  <conditionalFormatting sqref="AJ11">
    <cfRule type="cellIs" dxfId="2" priority="450" operator="lessThanOrEqual">
      <formula>G11</formula>
    </cfRule>
  </conditionalFormatting>
  <conditionalFormatting sqref="AJ12">
    <cfRule type="cellIs" dxfId="2" priority="455" operator="lessThanOrEqual">
      <formula>G12</formula>
    </cfRule>
  </conditionalFormatting>
  <conditionalFormatting sqref="AJ13">
    <cfRule type="cellIs" dxfId="2" priority="460" operator="lessThanOrEqual">
      <formula>G13</formula>
    </cfRule>
  </conditionalFormatting>
  <conditionalFormatting sqref="AJ15">
    <cfRule type="cellIs" dxfId="2" priority="465" operator="lessThanOrEqual">
      <formula>G15</formula>
    </cfRule>
  </conditionalFormatting>
  <conditionalFormatting sqref="AJ16">
    <cfRule type="cellIs" dxfId="2" priority="470" operator="lessThanOrEqual">
      <formula>G16</formula>
    </cfRule>
  </conditionalFormatting>
  <conditionalFormatting sqref="AJ17">
    <cfRule type="cellIs" dxfId="2" priority="475" operator="lessThanOrEqual">
      <formula>G17</formula>
    </cfRule>
  </conditionalFormatting>
  <conditionalFormatting sqref="AJ18">
    <cfRule type="cellIs" dxfId="2" priority="480" operator="lessThanOrEqual">
      <formula>G18</formula>
    </cfRule>
  </conditionalFormatting>
  <conditionalFormatting sqref="AJ19">
    <cfRule type="cellIs" dxfId="2" priority="485" operator="lessThanOrEqual">
      <formula>G19</formula>
    </cfRule>
  </conditionalFormatting>
  <conditionalFormatting sqref="AJ20">
    <cfRule type="cellIs" dxfId="2" priority="490" operator="lessThanOrEqual">
      <formula>G20</formula>
    </cfRule>
  </conditionalFormatting>
  <conditionalFormatting sqref="AJ21">
    <cfRule type="cellIs" dxfId="2" priority="495" operator="lessThanOrEqual">
      <formula>G21</formula>
    </cfRule>
  </conditionalFormatting>
  <conditionalFormatting sqref="AJ22">
    <cfRule type="cellIs" dxfId="2" priority="500" operator="lessThanOrEqual">
      <formula>G22</formula>
    </cfRule>
  </conditionalFormatting>
  <conditionalFormatting sqref="AJ23">
    <cfRule type="cellIs" dxfId="2" priority="505" operator="lessThanOrEqual">
      <formula>G23</formula>
    </cfRule>
  </conditionalFormatting>
  <conditionalFormatting sqref="AJ24">
    <cfRule type="cellIs" dxfId="2" priority="510" operator="lessThanOrEqual">
      <formula>G24</formula>
    </cfRule>
  </conditionalFormatting>
  <conditionalFormatting sqref="AJ25">
    <cfRule type="cellIs" dxfId="2" priority="515" operator="lessThanOrEqual">
      <formula>G25</formula>
    </cfRule>
  </conditionalFormatting>
  <conditionalFormatting sqref="AJ26">
    <cfRule type="cellIs" dxfId="2" priority="520" operator="lessThanOrEqual">
      <formula>G26</formula>
    </cfRule>
  </conditionalFormatting>
  <conditionalFormatting sqref="AJ27">
    <cfRule type="cellIs" dxfId="2" priority="525" operator="lessThanOrEqual">
      <formula>G27</formula>
    </cfRule>
  </conditionalFormatting>
  <conditionalFormatting sqref="AJ28">
    <cfRule type="cellIs" dxfId="2" priority="530" operator="lessThanOrEqual">
      <formula>G28</formula>
    </cfRule>
  </conditionalFormatting>
  <conditionalFormatting sqref="AJ29">
    <cfRule type="cellIs" dxfId="2" priority="535" operator="lessThanOrEqual">
      <formula>G29</formula>
    </cfRule>
  </conditionalFormatting>
  <conditionalFormatting sqref="AJ30">
    <cfRule type="cellIs" dxfId="2" priority="540" operator="lessThanOrEqual">
      <formula>G30</formula>
    </cfRule>
  </conditionalFormatting>
  <conditionalFormatting sqref="AJ33">
    <cfRule type="cellIs" dxfId="2" priority="545" operator="lessThanOrEqual">
      <formula>G33</formula>
    </cfRule>
  </conditionalFormatting>
  <conditionalFormatting sqref="AJ34">
    <cfRule type="cellIs" dxfId="2" priority="550" operator="lessThanOrEqual">
      <formula>G34</formula>
    </cfRule>
  </conditionalFormatting>
  <conditionalFormatting sqref="AJ35">
    <cfRule type="cellIs" dxfId="2" priority="555" operator="lessThanOrEqual">
      <formula>G35</formula>
    </cfRule>
  </conditionalFormatting>
  <conditionalFormatting sqref="AJ7">
    <cfRule type="cellIs" dxfId="2" priority="430" operator="lessThanOrEqual">
      <formula>G7</formula>
    </cfRule>
  </conditionalFormatting>
  <conditionalFormatting sqref="AJ8">
    <cfRule type="cellIs" dxfId="2" priority="435" operator="lessThanOrEqual">
      <formula>G8</formula>
    </cfRule>
  </conditionalFormatting>
  <conditionalFormatting sqref="AJ9">
    <cfRule type="cellIs" dxfId="2" priority="440" operator="lessThanOrEqual">
      <formula>G9</formula>
    </cfRule>
  </conditionalFormatting>
  <conditionalFormatting sqref="AL10">
    <cfRule type="cellIs" dxfId="0" priority="573" operator="equal">
      <formula>0</formula>
    </cfRule>
    <cfRule type="cellIs" dxfId="1" priority="574" operator="lessThan">
      <formula>E10</formula>
    </cfRule>
  </conditionalFormatting>
  <conditionalFormatting sqref="AL11">
    <cfRule type="cellIs" dxfId="0" priority="578" operator="equal">
      <formula>0</formula>
    </cfRule>
    <cfRule type="cellIs" dxfId="1" priority="579" operator="lessThan">
      <formula>E11</formula>
    </cfRule>
  </conditionalFormatting>
  <conditionalFormatting sqref="AL12">
    <cfRule type="cellIs" dxfId="0" priority="584" operator="equal">
      <formula>0</formula>
    </cfRule>
    <cfRule type="cellIs" dxfId="1" priority="585" operator="lessThan">
      <formula>E12</formula>
    </cfRule>
  </conditionalFormatting>
  <conditionalFormatting sqref="AL13">
    <cfRule type="cellIs" dxfId="0" priority="593" operator="equal">
      <formula>0</formula>
    </cfRule>
    <cfRule type="cellIs" dxfId="1" priority="594" operator="lessThan">
      <formula>E13</formula>
    </cfRule>
  </conditionalFormatting>
  <conditionalFormatting sqref="AL14">
    <cfRule type="cellIs" dxfId="0" priority="602" operator="equal">
      <formula>0</formula>
    </cfRule>
    <cfRule type="cellIs" dxfId="1" priority="603" operator="lessThan">
      <formula>E14</formula>
    </cfRule>
  </conditionalFormatting>
  <conditionalFormatting sqref="AL15">
    <cfRule type="cellIs" dxfId="0" priority="607" operator="equal">
      <formula>0</formula>
    </cfRule>
    <cfRule type="cellIs" dxfId="1" priority="608" operator="lessThan">
      <formula>E15</formula>
    </cfRule>
  </conditionalFormatting>
  <conditionalFormatting sqref="AL16">
    <cfRule type="cellIs" dxfId="0" priority="612" operator="equal">
      <formula>0</formula>
    </cfRule>
    <cfRule type="cellIs" dxfId="1" priority="613" operator="lessThan">
      <formula>E16</formula>
    </cfRule>
  </conditionalFormatting>
  <conditionalFormatting sqref="AL17">
    <cfRule type="cellIs" dxfId="0" priority="617" operator="equal">
      <formula>0</formula>
    </cfRule>
    <cfRule type="cellIs" dxfId="1" priority="618" operator="lessThan">
      <formula>E17</formula>
    </cfRule>
  </conditionalFormatting>
  <conditionalFormatting sqref="AL18">
    <cfRule type="cellIs" dxfId="0" priority="622" operator="equal">
      <formula>0</formula>
    </cfRule>
    <cfRule type="cellIs" dxfId="1" priority="623" operator="lessThan">
      <formula>E18</formula>
    </cfRule>
  </conditionalFormatting>
  <conditionalFormatting sqref="AL19">
    <cfRule type="cellIs" dxfId="0" priority="627" operator="equal">
      <formula>0</formula>
    </cfRule>
    <cfRule type="cellIs" dxfId="1" priority="628" operator="lessThan">
      <formula>E19</formula>
    </cfRule>
  </conditionalFormatting>
  <conditionalFormatting sqref="AL21">
    <cfRule type="cellIs" dxfId="0" priority="632" operator="equal">
      <formula>0</formula>
    </cfRule>
    <cfRule type="cellIs" dxfId="1" priority="633" operator="lessThan">
      <formula>E21</formula>
    </cfRule>
  </conditionalFormatting>
  <conditionalFormatting sqref="AL22">
    <cfRule type="cellIs" dxfId="0" priority="638" operator="equal">
      <formula>0</formula>
    </cfRule>
    <cfRule type="cellIs" dxfId="1" priority="639" operator="lessThan">
      <formula>E22</formula>
    </cfRule>
  </conditionalFormatting>
  <conditionalFormatting sqref="AL23">
    <cfRule type="cellIs" dxfId="0" priority="644" operator="equal">
      <formula>0</formula>
    </cfRule>
    <cfRule type="cellIs" dxfId="1" priority="645" operator="lessThan">
      <formula>E23</formula>
    </cfRule>
  </conditionalFormatting>
  <conditionalFormatting sqref="AL24">
    <cfRule type="cellIs" dxfId="0" priority="650" operator="equal">
      <formula>0</formula>
    </cfRule>
    <cfRule type="cellIs" dxfId="1" priority="651" operator="lessThan">
      <formula>E24</formula>
    </cfRule>
  </conditionalFormatting>
  <conditionalFormatting sqref="AL25">
    <cfRule type="cellIs" dxfId="0" priority="659" operator="equal">
      <formula>0</formula>
    </cfRule>
    <cfRule type="cellIs" dxfId="1" priority="660" operator="lessThan">
      <formula>E25</formula>
    </cfRule>
  </conditionalFormatting>
  <conditionalFormatting sqref="AL26">
    <cfRule type="cellIs" dxfId="0" priority="665" operator="equal">
      <formula>0</formula>
    </cfRule>
    <cfRule type="cellIs" dxfId="1" priority="666" operator="lessThan">
      <formula>E26</formula>
    </cfRule>
  </conditionalFormatting>
  <conditionalFormatting sqref="AL28">
    <cfRule type="cellIs" dxfId="0" priority="670" operator="equal">
      <formula>0</formula>
    </cfRule>
    <cfRule type="cellIs" dxfId="1" priority="671" operator="lessThan">
      <formula>E28</formula>
    </cfRule>
  </conditionalFormatting>
  <conditionalFormatting sqref="AL30">
    <cfRule type="cellIs" dxfId="0" priority="679" operator="equal">
      <formula>0</formula>
    </cfRule>
    <cfRule type="cellIs" dxfId="1" priority="680" operator="lessThan">
      <formula>E30</formula>
    </cfRule>
  </conditionalFormatting>
  <conditionalFormatting sqref="AL31">
    <cfRule type="cellIs" dxfId="0" priority="685" operator="equal">
      <formula>0</formula>
    </cfRule>
    <cfRule type="cellIs" dxfId="1" priority="686" operator="lessThan">
      <formula>E31</formula>
    </cfRule>
  </conditionalFormatting>
  <conditionalFormatting sqref="AL32">
    <cfRule type="cellIs" dxfId="0" priority="694" operator="equal">
      <formula>0</formula>
    </cfRule>
    <cfRule type="cellIs" dxfId="1" priority="695" operator="lessThan">
      <formula>E32</formula>
    </cfRule>
  </conditionalFormatting>
  <conditionalFormatting sqref="AL34">
    <cfRule type="cellIs" dxfId="0" priority="703" operator="equal">
      <formula>0</formula>
    </cfRule>
    <cfRule type="cellIs" dxfId="1" priority="704" operator="lessThan">
      <formula>E34</formula>
    </cfRule>
  </conditionalFormatting>
  <conditionalFormatting sqref="AL35">
    <cfRule type="cellIs" dxfId="0" priority="708" operator="equal">
      <formula>0</formula>
    </cfRule>
    <cfRule type="cellIs" dxfId="1" priority="709" operator="lessThan">
      <formula>E35</formula>
    </cfRule>
  </conditionalFormatting>
  <conditionalFormatting sqref="AL7">
    <cfRule type="cellIs" dxfId="0" priority="557" operator="equal">
      <formula>0</formula>
    </cfRule>
    <cfRule type="cellIs" dxfId="1" priority="558" operator="lessThan">
      <formula>E7</formula>
    </cfRule>
  </conditionalFormatting>
  <conditionalFormatting sqref="AL8">
    <cfRule type="cellIs" dxfId="0" priority="563" operator="equal">
      <formula>0</formula>
    </cfRule>
    <cfRule type="cellIs" dxfId="1" priority="564" operator="lessThan">
      <formula>E8</formula>
    </cfRule>
  </conditionalFormatting>
  <conditionalFormatting sqref="AL9">
    <cfRule type="cellIs" dxfId="0" priority="568" operator="equal">
      <formula>0</formula>
    </cfRule>
    <cfRule type="cellIs" dxfId="1" priority="569" operator="lessThan">
      <formula>E9</formula>
    </cfRule>
  </conditionalFormatting>
  <conditionalFormatting sqref="AM10">
    <cfRule type="cellIs" dxfId="0" priority="575" operator="greaterThan">
      <formula>AL10</formula>
    </cfRule>
  </conditionalFormatting>
  <conditionalFormatting sqref="AM11">
    <cfRule type="expression" dxfId="3" priority="580">
      <formula>AND(AM11&gt;0,MOD(AM11,AO11)&lt;&gt;0)</formula>
    </cfRule>
    <cfRule type="cellIs" dxfId="0" priority="581" operator="greaterThan">
      <formula>AL11</formula>
    </cfRule>
  </conditionalFormatting>
  <conditionalFormatting sqref="AM12">
    <cfRule type="expression" dxfId="3" priority="586">
      <formula>AND(AM12&gt;0,MOD(AM12,AO12)&lt;&gt;0)</formula>
    </cfRule>
    <cfRule type="cellIs" dxfId="0" priority="587" operator="greaterThan">
      <formula>AL12</formula>
    </cfRule>
  </conditionalFormatting>
  <conditionalFormatting sqref="AM13">
    <cfRule type="expression" dxfId="3" priority="595">
      <formula>AND(AM13&gt;0,MOD(AM13,AO13)&lt;&gt;0)</formula>
    </cfRule>
    <cfRule type="cellIs" dxfId="0" priority="596" operator="greaterThan">
      <formula>AL13</formula>
    </cfRule>
  </conditionalFormatting>
  <conditionalFormatting sqref="AM14">
    <cfRule type="cellIs" dxfId="0" priority="604" operator="greaterThan">
      <formula>AL14</formula>
    </cfRule>
  </conditionalFormatting>
  <conditionalFormatting sqref="AM15">
    <cfRule type="cellIs" dxfId="0" priority="609" operator="greaterThan">
      <formula>AL15</formula>
    </cfRule>
  </conditionalFormatting>
  <conditionalFormatting sqref="AM16">
    <cfRule type="cellIs" dxfId="0" priority="614" operator="greaterThan">
      <formula>AL16</formula>
    </cfRule>
  </conditionalFormatting>
  <conditionalFormatting sqref="AM17">
    <cfRule type="cellIs" dxfId="0" priority="619" operator="greaterThan">
      <formula>AL17</formula>
    </cfRule>
  </conditionalFormatting>
  <conditionalFormatting sqref="AM18">
    <cfRule type="cellIs" dxfId="0" priority="624" operator="greaterThan">
      <formula>AL18</formula>
    </cfRule>
  </conditionalFormatting>
  <conditionalFormatting sqref="AM19">
    <cfRule type="cellIs" dxfId="0" priority="629" operator="greaterThan">
      <formula>AL19</formula>
    </cfRule>
  </conditionalFormatting>
  <conditionalFormatting sqref="AM21">
    <cfRule type="expression" dxfId="3" priority="634">
      <formula>AND(AM21&gt;0,MOD(AM21,AO21)&lt;&gt;0)</formula>
    </cfRule>
    <cfRule type="cellIs" dxfId="0" priority="635" operator="greaterThan">
      <formula>AL21</formula>
    </cfRule>
  </conditionalFormatting>
  <conditionalFormatting sqref="AM22">
    <cfRule type="expression" dxfId="3" priority="640">
      <formula>AND(AM22&gt;0,MOD(AM22,AO22)&lt;&gt;0)</formula>
    </cfRule>
    <cfRule type="cellIs" dxfId="0" priority="641" operator="greaterThan">
      <formula>AL22</formula>
    </cfRule>
  </conditionalFormatting>
  <conditionalFormatting sqref="AM23">
    <cfRule type="expression" dxfId="3" priority="646">
      <formula>AND(AM23&gt;0,MOD(AM23,AO23)&lt;&gt;0)</formula>
    </cfRule>
    <cfRule type="cellIs" dxfId="0" priority="647" operator="greaterThan">
      <formula>AL23</formula>
    </cfRule>
  </conditionalFormatting>
  <conditionalFormatting sqref="AM24">
    <cfRule type="expression" dxfId="3" priority="652">
      <formula>AND(AM24&gt;0,MOD(AM24,AO24)&lt;&gt;0)</formula>
    </cfRule>
    <cfRule type="cellIs" dxfId="0" priority="653" operator="greaterThan">
      <formula>AL24</formula>
    </cfRule>
  </conditionalFormatting>
  <conditionalFormatting sqref="AM25">
    <cfRule type="expression" dxfId="3" priority="661">
      <formula>AND(AM25&gt;0,MOD(AM25,AO25)&lt;&gt;0)</formula>
    </cfRule>
    <cfRule type="cellIs" dxfId="0" priority="662" operator="greaterThan">
      <formula>AL25</formula>
    </cfRule>
  </conditionalFormatting>
  <conditionalFormatting sqref="AM26">
    <cfRule type="cellIs" dxfId="0" priority="667" operator="greaterThan">
      <formula>AL26</formula>
    </cfRule>
  </conditionalFormatting>
  <conditionalFormatting sqref="AM28">
    <cfRule type="expression" dxfId="3" priority="672">
      <formula>AND(AM28&gt;0,MOD(AM28,AO28)&lt;&gt;0)</formula>
    </cfRule>
    <cfRule type="cellIs" dxfId="0" priority="673" operator="greaterThan">
      <formula>AL28</formula>
    </cfRule>
  </conditionalFormatting>
  <conditionalFormatting sqref="AM30">
    <cfRule type="expression" dxfId="3" priority="681">
      <formula>AND(AM30&gt;0,MOD(AM30,AO30)&lt;&gt;0)</formula>
    </cfRule>
    <cfRule type="cellIs" dxfId="0" priority="682" operator="greaterThan">
      <formula>AL30</formula>
    </cfRule>
  </conditionalFormatting>
  <conditionalFormatting sqref="AM31">
    <cfRule type="expression" dxfId="3" priority="687">
      <formula>AND(AM31&gt;0,MOD(AM31,AO31)&lt;&gt;0)</formula>
    </cfRule>
    <cfRule type="cellIs" dxfId="0" priority="688" operator="greaterThan">
      <formula>AL31</formula>
    </cfRule>
  </conditionalFormatting>
  <conditionalFormatting sqref="AM32">
    <cfRule type="expression" dxfId="3" priority="696">
      <formula>AND(AM32&gt;0,MOD(AM32,AO32)&lt;&gt;0)</formula>
    </cfRule>
    <cfRule type="cellIs" dxfId="0" priority="697" operator="greaterThan">
      <formula>AL32</formula>
    </cfRule>
  </conditionalFormatting>
  <conditionalFormatting sqref="AM34">
    <cfRule type="cellIs" dxfId="0" priority="705" operator="greaterThan">
      <formula>AL34</formula>
    </cfRule>
  </conditionalFormatting>
  <conditionalFormatting sqref="AM35">
    <cfRule type="cellIs" dxfId="0" priority="710" operator="greaterThan">
      <formula>AL35</formula>
    </cfRule>
  </conditionalFormatting>
  <conditionalFormatting sqref="AM7">
    <cfRule type="expression" dxfId="3" priority="559">
      <formula>AND(AM7&gt;0,MOD(AM7,AO7)&lt;&gt;0)</formula>
    </cfRule>
    <cfRule type="cellIs" dxfId="0" priority="560" operator="greaterThan">
      <formula>AL7</formula>
    </cfRule>
  </conditionalFormatting>
  <conditionalFormatting sqref="AM8">
    <cfRule type="cellIs" dxfId="0" priority="565" operator="greaterThan">
      <formula>AL8</formula>
    </cfRule>
  </conditionalFormatting>
  <conditionalFormatting sqref="AM9">
    <cfRule type="cellIs" dxfId="0" priority="570" operator="greaterThan">
      <formula>AL9</formula>
    </cfRule>
  </conditionalFormatting>
  <conditionalFormatting sqref="AN10">
    <cfRule type="cellIs" dxfId="2" priority="577" operator="lessThanOrEqual">
      <formula>F10</formula>
    </cfRule>
  </conditionalFormatting>
  <conditionalFormatting sqref="AN11">
    <cfRule type="cellIs" dxfId="2" priority="583" operator="lessThanOrEqual">
      <formula>F11</formula>
    </cfRule>
  </conditionalFormatting>
  <conditionalFormatting sqref="AN12">
    <cfRule type="cellIs" dxfId="2" priority="589" operator="lessThanOrEqual">
      <formula>F12</formula>
    </cfRule>
    <cfRule type="expression" dxfId="3" priority="590">
      <formula>AND(E12&lt;3000,AM12&lt;3000)</formula>
    </cfRule>
  </conditionalFormatting>
  <conditionalFormatting sqref="AN13">
    <cfRule type="cellIs" dxfId="2" priority="598" operator="lessThanOrEqual">
      <formula>F13</formula>
    </cfRule>
    <cfRule type="expression" dxfId="3" priority="599">
      <formula>AND(E13&lt;1500,AM13&lt;1500)</formula>
    </cfRule>
  </conditionalFormatting>
  <conditionalFormatting sqref="AN14">
    <cfRule type="cellIs" dxfId="2" priority="606" operator="lessThanOrEqual">
      <formula>F14</formula>
    </cfRule>
  </conditionalFormatting>
  <conditionalFormatting sqref="AN15">
    <cfRule type="cellIs" dxfId="2" priority="611" operator="lessThanOrEqual">
      <formula>F15</formula>
    </cfRule>
  </conditionalFormatting>
  <conditionalFormatting sqref="AN16">
    <cfRule type="cellIs" dxfId="2" priority="616" operator="lessThanOrEqual">
      <formula>F16</formula>
    </cfRule>
  </conditionalFormatting>
  <conditionalFormatting sqref="AN17">
    <cfRule type="cellIs" dxfId="2" priority="621" operator="lessThanOrEqual">
      <formula>F17</formula>
    </cfRule>
  </conditionalFormatting>
  <conditionalFormatting sqref="AN18">
    <cfRule type="cellIs" dxfId="2" priority="626" operator="lessThanOrEqual">
      <formula>F18</formula>
    </cfRule>
  </conditionalFormatting>
  <conditionalFormatting sqref="AN19">
    <cfRule type="cellIs" dxfId="2" priority="631" operator="lessThanOrEqual">
      <formula>F19</formula>
    </cfRule>
  </conditionalFormatting>
  <conditionalFormatting sqref="AN21">
    <cfRule type="cellIs" dxfId="2" priority="637" operator="lessThanOrEqual">
      <formula>F21</formula>
    </cfRule>
  </conditionalFormatting>
  <conditionalFormatting sqref="AN22">
    <cfRule type="cellIs" dxfId="2" priority="643" operator="lessThanOrEqual">
      <formula>F22</formula>
    </cfRule>
  </conditionalFormatting>
  <conditionalFormatting sqref="AN23">
    <cfRule type="cellIs" dxfId="2" priority="649" operator="lessThanOrEqual">
      <formula>F23</formula>
    </cfRule>
  </conditionalFormatting>
  <conditionalFormatting sqref="AN24">
    <cfRule type="cellIs" dxfId="2" priority="655" operator="lessThanOrEqual">
      <formula>F24</formula>
    </cfRule>
    <cfRule type="expression" dxfId="3" priority="656">
      <formula>AND(E24&lt;25000,AM24&lt;25000)</formula>
    </cfRule>
  </conditionalFormatting>
  <conditionalFormatting sqref="AN25">
    <cfRule type="cellIs" dxfId="2" priority="664" operator="lessThanOrEqual">
      <formula>F25</formula>
    </cfRule>
  </conditionalFormatting>
  <conditionalFormatting sqref="AN26">
    <cfRule type="cellIs" dxfId="2" priority="669" operator="lessThanOrEqual">
      <formula>F26</formula>
    </cfRule>
  </conditionalFormatting>
  <conditionalFormatting sqref="AN28">
    <cfRule type="cellIs" dxfId="2" priority="675" operator="lessThanOrEqual">
      <formula>F28</formula>
    </cfRule>
    <cfRule type="expression" dxfId="3" priority="676">
      <formula>AND(E28&lt;5000,AM28&lt;5000)</formula>
    </cfRule>
  </conditionalFormatting>
  <conditionalFormatting sqref="AN30">
    <cfRule type="cellIs" dxfId="2" priority="684" operator="lessThanOrEqual">
      <formula>F30</formula>
    </cfRule>
  </conditionalFormatting>
  <conditionalFormatting sqref="AN31">
    <cfRule type="cellIs" dxfId="2" priority="690" operator="lessThanOrEqual">
      <formula>F31</formula>
    </cfRule>
    <cfRule type="expression" dxfId="3" priority="691">
      <formula>AND(E31&lt;3000,AM31&lt;3000)</formula>
    </cfRule>
  </conditionalFormatting>
  <conditionalFormatting sqref="AN32">
    <cfRule type="cellIs" dxfId="2" priority="699" operator="lessThanOrEqual">
      <formula>F32</formula>
    </cfRule>
    <cfRule type="expression" dxfId="3" priority="700">
      <formula>AND(E32&lt;3000,AM32&lt;3000)</formula>
    </cfRule>
  </conditionalFormatting>
  <conditionalFormatting sqref="AN34">
    <cfRule type="cellIs" dxfId="2" priority="707" operator="lessThanOrEqual">
      <formula>F34</formula>
    </cfRule>
  </conditionalFormatting>
  <conditionalFormatting sqref="AN35">
    <cfRule type="cellIs" dxfId="2" priority="712" operator="lessThanOrEqual">
      <formula>F35</formula>
    </cfRule>
  </conditionalFormatting>
  <conditionalFormatting sqref="AN7">
    <cfRule type="cellIs" dxfId="2" priority="562" operator="lessThanOrEqual">
      <formula>F7</formula>
    </cfRule>
  </conditionalFormatting>
  <conditionalFormatting sqref="AN8">
    <cfRule type="cellIs" dxfId="2" priority="567" operator="lessThanOrEqual">
      <formula>F8</formula>
    </cfRule>
  </conditionalFormatting>
  <conditionalFormatting sqref="AN9">
    <cfRule type="cellIs" dxfId="2" priority="572" operator="lessThanOrEqual">
      <formula>F9</formula>
    </cfRule>
  </conditionalFormatting>
  <conditionalFormatting sqref="AO12">
    <cfRule type="expression" dxfId="3" priority="591">
      <formula>AND(E12&lt;3000,AM12&lt;3000)</formula>
    </cfRule>
  </conditionalFormatting>
  <conditionalFormatting sqref="AO13">
    <cfRule type="expression" dxfId="3" priority="600">
      <formula>AND(E13&lt;1500,AM13&lt;1500)</formula>
    </cfRule>
  </conditionalFormatting>
  <conditionalFormatting sqref="AO24">
    <cfRule type="expression" dxfId="3" priority="657">
      <formula>AND(E24&lt;25000,AM24&lt;25000)</formula>
    </cfRule>
  </conditionalFormatting>
  <conditionalFormatting sqref="AO28">
    <cfRule type="expression" dxfId="3" priority="677">
      <formula>AND(E28&lt;5000,AM28&lt;5000)</formula>
    </cfRule>
  </conditionalFormatting>
  <conditionalFormatting sqref="AO31">
    <cfRule type="expression" dxfId="3" priority="692">
      <formula>AND(E31&lt;3000,AM31&lt;3000)</formula>
    </cfRule>
  </conditionalFormatting>
  <conditionalFormatting sqref="AO32">
    <cfRule type="expression" dxfId="3" priority="701">
      <formula>AND(E32&lt;3000,AM32&lt;3000)</formula>
    </cfRule>
  </conditionalFormatting>
  <conditionalFormatting sqref="AP10">
    <cfRule type="cellIs" dxfId="2" priority="576" operator="lessThanOrEqual">
      <formula>G10</formula>
    </cfRule>
  </conditionalFormatting>
  <conditionalFormatting sqref="AP11">
    <cfRule type="cellIs" dxfId="2" priority="582" operator="lessThanOrEqual">
      <formula>G11</formula>
    </cfRule>
  </conditionalFormatting>
  <conditionalFormatting sqref="AP12">
    <cfRule type="cellIs" dxfId="2" priority="588" operator="lessThanOrEqual">
      <formula>G12</formula>
    </cfRule>
    <cfRule type="expression" dxfId="3" priority="592">
      <formula>AND(E12&lt;3000,AM12&lt;3000)</formula>
    </cfRule>
  </conditionalFormatting>
  <conditionalFormatting sqref="AP13">
    <cfRule type="cellIs" dxfId="2" priority="597" operator="lessThanOrEqual">
      <formula>G13</formula>
    </cfRule>
    <cfRule type="expression" dxfId="3" priority="601">
      <formula>AND(E13&lt;1500,AM13&lt;1500)</formula>
    </cfRule>
  </conditionalFormatting>
  <conditionalFormatting sqref="AP14">
    <cfRule type="cellIs" dxfId="2" priority="605" operator="lessThanOrEqual">
      <formula>G14</formula>
    </cfRule>
  </conditionalFormatting>
  <conditionalFormatting sqref="AP15">
    <cfRule type="cellIs" dxfId="2" priority="610" operator="lessThanOrEqual">
      <formula>G15</formula>
    </cfRule>
  </conditionalFormatting>
  <conditionalFormatting sqref="AP16">
    <cfRule type="cellIs" dxfId="2" priority="615" operator="lessThanOrEqual">
      <formula>G16</formula>
    </cfRule>
  </conditionalFormatting>
  <conditionalFormatting sqref="AP17">
    <cfRule type="cellIs" dxfId="2" priority="620" operator="lessThanOrEqual">
      <formula>G17</formula>
    </cfRule>
  </conditionalFormatting>
  <conditionalFormatting sqref="AP18">
    <cfRule type="cellIs" dxfId="2" priority="625" operator="lessThanOrEqual">
      <formula>G18</formula>
    </cfRule>
  </conditionalFormatting>
  <conditionalFormatting sqref="AP19">
    <cfRule type="cellIs" dxfId="2" priority="630" operator="lessThanOrEqual">
      <formula>G19</formula>
    </cfRule>
  </conditionalFormatting>
  <conditionalFormatting sqref="AP21">
    <cfRule type="cellIs" dxfId="2" priority="636" operator="lessThanOrEqual">
      <formula>G21</formula>
    </cfRule>
  </conditionalFormatting>
  <conditionalFormatting sqref="AP22">
    <cfRule type="cellIs" dxfId="2" priority="642" operator="lessThanOrEqual">
      <formula>G22</formula>
    </cfRule>
  </conditionalFormatting>
  <conditionalFormatting sqref="AP23">
    <cfRule type="cellIs" dxfId="2" priority="648" operator="lessThanOrEqual">
      <formula>G23</formula>
    </cfRule>
  </conditionalFormatting>
  <conditionalFormatting sqref="AP24">
    <cfRule type="cellIs" dxfId="2" priority="654" operator="lessThanOrEqual">
      <formula>G24</formula>
    </cfRule>
    <cfRule type="expression" dxfId="3" priority="658">
      <formula>AND(E24&lt;25000,AM24&lt;25000)</formula>
    </cfRule>
  </conditionalFormatting>
  <conditionalFormatting sqref="AP25">
    <cfRule type="cellIs" dxfId="2" priority="663" operator="lessThanOrEqual">
      <formula>G25</formula>
    </cfRule>
  </conditionalFormatting>
  <conditionalFormatting sqref="AP26">
    <cfRule type="cellIs" dxfId="2" priority="668" operator="lessThanOrEqual">
      <formula>G26</formula>
    </cfRule>
  </conditionalFormatting>
  <conditionalFormatting sqref="AP28">
    <cfRule type="cellIs" dxfId="2" priority="674" operator="lessThanOrEqual">
      <formula>G28</formula>
    </cfRule>
    <cfRule type="expression" dxfId="3" priority="678">
      <formula>AND(E28&lt;5000,AM28&lt;5000)</formula>
    </cfRule>
  </conditionalFormatting>
  <conditionalFormatting sqref="AP30">
    <cfRule type="cellIs" dxfId="2" priority="683" operator="lessThanOrEqual">
      <formula>G30</formula>
    </cfRule>
  </conditionalFormatting>
  <conditionalFormatting sqref="AP31">
    <cfRule type="cellIs" dxfId="2" priority="689" operator="lessThanOrEqual">
      <formula>G31</formula>
    </cfRule>
    <cfRule type="expression" dxfId="3" priority="693">
      <formula>AND(E31&lt;3000,AM31&lt;3000)</formula>
    </cfRule>
  </conditionalFormatting>
  <conditionalFormatting sqref="AP32">
    <cfRule type="cellIs" dxfId="2" priority="698" operator="lessThanOrEqual">
      <formula>G32</formula>
    </cfRule>
    <cfRule type="expression" dxfId="3" priority="702">
      <formula>AND(E32&lt;3000,AM32&lt;3000)</formula>
    </cfRule>
  </conditionalFormatting>
  <conditionalFormatting sqref="AP34">
    <cfRule type="cellIs" dxfId="2" priority="706" operator="lessThanOrEqual">
      <formula>G34</formula>
    </cfRule>
  </conditionalFormatting>
  <conditionalFormatting sqref="AP35">
    <cfRule type="cellIs" dxfId="2" priority="711" operator="lessThanOrEqual">
      <formula>G35</formula>
    </cfRule>
  </conditionalFormatting>
  <conditionalFormatting sqref="AP7">
    <cfRule type="cellIs" dxfId="2" priority="561" operator="lessThanOrEqual">
      <formula>G7</formula>
    </cfRule>
  </conditionalFormatting>
  <conditionalFormatting sqref="AP8">
    <cfRule type="cellIs" dxfId="2" priority="566" operator="lessThanOrEqual">
      <formula>G8</formula>
    </cfRule>
  </conditionalFormatting>
  <conditionalFormatting sqref="AP9">
    <cfRule type="cellIs" dxfId="2" priority="571" operator="lessThanOrEqual">
      <formula>G9</formula>
    </cfRule>
  </conditionalFormatting>
  <conditionalFormatting sqref="AR11">
    <cfRule type="cellIs" dxfId="0" priority="731" operator="equal">
      <formula>0</formula>
    </cfRule>
    <cfRule type="cellIs" dxfId="1" priority="732" operator="lessThan">
      <formula>E11</formula>
    </cfRule>
  </conditionalFormatting>
  <conditionalFormatting sqref="AR12">
    <cfRule type="cellIs" dxfId="0" priority="737" operator="equal">
      <formula>0</formula>
    </cfRule>
    <cfRule type="cellIs" dxfId="1" priority="738" operator="lessThan">
      <formula>E12</formula>
    </cfRule>
  </conditionalFormatting>
  <conditionalFormatting sqref="AR17">
    <cfRule type="cellIs" dxfId="0" priority="743" operator="equal">
      <formula>0</formula>
    </cfRule>
    <cfRule type="cellIs" dxfId="1" priority="744" operator="lessThan">
      <formula>E17</formula>
    </cfRule>
  </conditionalFormatting>
  <conditionalFormatting sqref="AR21">
    <cfRule type="cellIs" dxfId="0" priority="748" operator="equal">
      <formula>0</formula>
    </cfRule>
    <cfRule type="cellIs" dxfId="1" priority="749" operator="lessThan">
      <formula>E21</formula>
    </cfRule>
  </conditionalFormatting>
  <conditionalFormatting sqref="AR22">
    <cfRule type="cellIs" dxfId="0" priority="757" operator="equal">
      <formula>0</formula>
    </cfRule>
    <cfRule type="cellIs" dxfId="1" priority="758" operator="lessThan">
      <formula>E22</formula>
    </cfRule>
  </conditionalFormatting>
  <conditionalFormatting sqref="AR23">
    <cfRule type="cellIs" dxfId="0" priority="766" operator="equal">
      <formula>0</formula>
    </cfRule>
    <cfRule type="cellIs" dxfId="1" priority="767" operator="lessThan">
      <formula>E23</formula>
    </cfRule>
  </conditionalFormatting>
  <conditionalFormatting sqref="AR24">
    <cfRule type="cellIs" dxfId="0" priority="772" operator="equal">
      <formula>0</formula>
    </cfRule>
    <cfRule type="cellIs" dxfId="1" priority="773" operator="lessThan">
      <formula>E24</formula>
    </cfRule>
  </conditionalFormatting>
  <conditionalFormatting sqref="AR25">
    <cfRule type="cellIs" dxfId="0" priority="778" operator="equal">
      <formula>0</formula>
    </cfRule>
    <cfRule type="cellIs" dxfId="1" priority="779" operator="lessThan">
      <formula>E25</formula>
    </cfRule>
  </conditionalFormatting>
  <conditionalFormatting sqref="AR30">
    <cfRule type="cellIs" dxfId="0" priority="787" operator="equal">
      <formula>0</formula>
    </cfRule>
    <cfRule type="cellIs" dxfId="1" priority="788" operator="lessThan">
      <formula>E30</formula>
    </cfRule>
  </conditionalFormatting>
  <conditionalFormatting sqref="AR32">
    <cfRule type="cellIs" dxfId="0" priority="793" operator="equal">
      <formula>0</formula>
    </cfRule>
    <cfRule type="cellIs" dxfId="1" priority="794" operator="lessThan">
      <formula>E32</formula>
    </cfRule>
  </conditionalFormatting>
  <conditionalFormatting sqref="AR34">
    <cfRule type="cellIs" dxfId="0" priority="798" operator="equal">
      <formula>0</formula>
    </cfRule>
    <cfRule type="cellIs" dxfId="1" priority="799" operator="lessThan">
      <formula>E34</formula>
    </cfRule>
  </conditionalFormatting>
  <conditionalFormatting sqref="AR35">
    <cfRule type="cellIs" dxfId="0" priority="803" operator="equal">
      <formula>0</formula>
    </cfRule>
    <cfRule type="cellIs" dxfId="1" priority="804" operator="lessThan">
      <formula>E35</formula>
    </cfRule>
  </conditionalFormatting>
  <conditionalFormatting sqref="AR7">
    <cfRule type="cellIs" dxfId="0" priority="713" operator="equal">
      <formula>0</formula>
    </cfRule>
    <cfRule type="cellIs" dxfId="1" priority="714" operator="lessThan">
      <formula>E7</formula>
    </cfRule>
  </conditionalFormatting>
  <conditionalFormatting sqref="AR8">
    <cfRule type="cellIs" dxfId="0" priority="722" operator="equal">
      <formula>0</formula>
    </cfRule>
    <cfRule type="cellIs" dxfId="1" priority="723" operator="lessThan">
      <formula>E8</formula>
    </cfRule>
  </conditionalFormatting>
  <conditionalFormatting sqref="AS11">
    <cfRule type="expression" dxfId="3" priority="733">
      <formula>AND(AS11&gt;0,MOD(AS11,AU11)&lt;&gt;0)</formula>
    </cfRule>
    <cfRule type="cellIs" dxfId="0" priority="734" operator="greaterThan">
      <formula>AR11</formula>
    </cfRule>
  </conditionalFormatting>
  <conditionalFormatting sqref="AS12">
    <cfRule type="expression" dxfId="3" priority="739">
      <formula>AND(AS12&gt;0,MOD(AS12,AU12)&lt;&gt;0)</formula>
    </cfRule>
    <cfRule type="cellIs" dxfId="0" priority="740" operator="greaterThan">
      <formula>AR12</formula>
    </cfRule>
  </conditionalFormatting>
  <conditionalFormatting sqref="AS17">
    <cfRule type="cellIs" dxfId="0" priority="745" operator="greaterThan">
      <formula>AR17</formula>
    </cfRule>
  </conditionalFormatting>
  <conditionalFormatting sqref="AS21">
    <cfRule type="expression" dxfId="3" priority="750">
      <formula>AND(AS21&gt;0,MOD(AS21,AU21)&lt;&gt;0)</formula>
    </cfRule>
    <cfRule type="cellIs" dxfId="0" priority="751" operator="greaterThan">
      <formula>AR21</formula>
    </cfRule>
  </conditionalFormatting>
  <conditionalFormatting sqref="AS22">
    <cfRule type="expression" dxfId="3" priority="759">
      <formula>AND(AS22&gt;0,MOD(AS22,AU22)&lt;&gt;0)</formula>
    </cfRule>
    <cfRule type="cellIs" dxfId="0" priority="760" operator="greaterThan">
      <formula>AR22</formula>
    </cfRule>
  </conditionalFormatting>
  <conditionalFormatting sqref="AS23">
    <cfRule type="expression" dxfId="3" priority="768">
      <formula>AND(AS23&gt;0,MOD(AS23,AU23)&lt;&gt;0)</formula>
    </cfRule>
    <cfRule type="cellIs" dxfId="0" priority="769" operator="greaterThan">
      <formula>AR23</formula>
    </cfRule>
  </conditionalFormatting>
  <conditionalFormatting sqref="AS24">
    <cfRule type="expression" dxfId="3" priority="774">
      <formula>AND(AS24&gt;0,MOD(AS24,AU24)&lt;&gt;0)</formula>
    </cfRule>
    <cfRule type="cellIs" dxfId="0" priority="775" operator="greaterThan">
      <formula>AR24</formula>
    </cfRule>
  </conditionalFormatting>
  <conditionalFormatting sqref="AS25">
    <cfRule type="expression" dxfId="3" priority="780">
      <formula>AND(AS25&gt;0,MOD(AS25,AU25)&lt;&gt;0)</formula>
    </cfRule>
    <cfRule type="cellIs" dxfId="0" priority="781" operator="greaterThan">
      <formula>AR25</formula>
    </cfRule>
  </conditionalFormatting>
  <conditionalFormatting sqref="AS30">
    <cfRule type="expression" dxfId="3" priority="789">
      <formula>AND(AS30&gt;0,MOD(AS30,AU30)&lt;&gt;0)</formula>
    </cfRule>
    <cfRule type="cellIs" dxfId="0" priority="790" operator="greaterThan">
      <formula>AR30</formula>
    </cfRule>
  </conditionalFormatting>
  <conditionalFormatting sqref="AS32">
    <cfRule type="cellIs" dxfId="0" priority="795" operator="greaterThan">
      <formula>AR32</formula>
    </cfRule>
  </conditionalFormatting>
  <conditionalFormatting sqref="AS34">
    <cfRule type="cellIs" dxfId="0" priority="800" operator="greaterThan">
      <formula>AR34</formula>
    </cfRule>
  </conditionalFormatting>
  <conditionalFormatting sqref="AS35">
    <cfRule type="expression" dxfId="3" priority="805">
      <formula>AND(AS35&gt;0,MOD(AS35,AU35)&lt;&gt;0)</formula>
    </cfRule>
    <cfRule type="cellIs" dxfId="0" priority="806" operator="greaterThan">
      <formula>AR35</formula>
    </cfRule>
  </conditionalFormatting>
  <conditionalFormatting sqref="AS7">
    <cfRule type="expression" dxfId="3" priority="715">
      <formula>AND(AS7&gt;0,MOD(AS7,AU7)&lt;&gt;0)</formula>
    </cfRule>
    <cfRule type="cellIs" dxfId="0" priority="716" operator="greaterThan">
      <formula>AR7</formula>
    </cfRule>
  </conditionalFormatting>
  <conditionalFormatting sqref="AS8">
    <cfRule type="expression" dxfId="3" priority="724">
      <formula>AND(AS8&gt;0,MOD(AS8,AU8)&lt;&gt;0)</formula>
    </cfRule>
    <cfRule type="cellIs" dxfId="0" priority="725" operator="greaterThan">
      <formula>AR8</formula>
    </cfRule>
  </conditionalFormatting>
  <conditionalFormatting sqref="AT11">
    <cfRule type="cellIs" dxfId="2" priority="736" operator="lessThanOrEqual">
      <formula>F11</formula>
    </cfRule>
  </conditionalFormatting>
  <conditionalFormatting sqref="AT12">
    <cfRule type="cellIs" dxfId="2" priority="742" operator="lessThanOrEqual">
      <formula>F12</formula>
    </cfRule>
  </conditionalFormatting>
  <conditionalFormatting sqref="AT17">
    <cfRule type="cellIs" dxfId="2" priority="747" operator="lessThanOrEqual">
      <formula>F17</formula>
    </cfRule>
  </conditionalFormatting>
  <conditionalFormatting sqref="AT21">
    <cfRule type="cellIs" dxfId="2" priority="753" operator="lessThanOrEqual">
      <formula>F21</formula>
    </cfRule>
    <cfRule type="expression" dxfId="3" priority="754">
      <formula>AND(E21&lt;5000,AS21&lt;5000)</formula>
    </cfRule>
  </conditionalFormatting>
  <conditionalFormatting sqref="AT22">
    <cfRule type="cellIs" dxfId="2" priority="762" operator="lessThanOrEqual">
      <formula>F22</formula>
    </cfRule>
    <cfRule type="expression" dxfId="3" priority="763">
      <formula>AND(E22&lt;5000,AS22&lt;5000)</formula>
    </cfRule>
  </conditionalFormatting>
  <conditionalFormatting sqref="AT23">
    <cfRule type="cellIs" dxfId="2" priority="771" operator="lessThanOrEqual">
      <formula>F23</formula>
    </cfRule>
  </conditionalFormatting>
  <conditionalFormatting sqref="AT24">
    <cfRule type="cellIs" dxfId="2" priority="777" operator="lessThanOrEqual">
      <formula>F24</formula>
    </cfRule>
  </conditionalFormatting>
  <conditionalFormatting sqref="AT25">
    <cfRule type="cellIs" dxfId="2" priority="783" operator="lessThanOrEqual">
      <formula>F25</formula>
    </cfRule>
    <cfRule type="expression" dxfId="3" priority="784">
      <formula>AND(E25&lt;5000,AS25&lt;5000)</formula>
    </cfRule>
  </conditionalFormatting>
  <conditionalFormatting sqref="AT30">
    <cfRule type="cellIs" dxfId="2" priority="792" operator="lessThanOrEqual">
      <formula>F30</formula>
    </cfRule>
  </conditionalFormatting>
  <conditionalFormatting sqref="AT32">
    <cfRule type="cellIs" dxfId="2" priority="797" operator="lessThanOrEqual">
      <formula>F32</formula>
    </cfRule>
  </conditionalFormatting>
  <conditionalFormatting sqref="AT34">
    <cfRule type="cellIs" dxfId="2" priority="802" operator="lessThanOrEqual">
      <formula>F34</formula>
    </cfRule>
  </conditionalFormatting>
  <conditionalFormatting sqref="AT35">
    <cfRule type="cellIs" dxfId="2" priority="808" operator="lessThanOrEqual">
      <formula>F35</formula>
    </cfRule>
  </conditionalFormatting>
  <conditionalFormatting sqref="AT7">
    <cfRule type="cellIs" dxfId="2" priority="718" operator="lessThanOrEqual">
      <formula>F7</formula>
    </cfRule>
    <cfRule type="expression" dxfId="3" priority="719">
      <formula>AND(E7&lt;3000,AS7&lt;3000)</formula>
    </cfRule>
  </conditionalFormatting>
  <conditionalFormatting sqref="AT8">
    <cfRule type="cellIs" dxfId="2" priority="727" operator="lessThanOrEqual">
      <formula>F8</formula>
    </cfRule>
    <cfRule type="expression" dxfId="3" priority="728">
      <formula>AND(E8&lt;4000,AS8&lt;4000)</formula>
    </cfRule>
  </conditionalFormatting>
  <conditionalFormatting sqref="AU21">
    <cfRule type="expression" dxfId="3" priority="755">
      <formula>AND(E21&lt;5000,AS21&lt;5000)</formula>
    </cfRule>
  </conditionalFormatting>
  <conditionalFormatting sqref="AU22">
    <cfRule type="expression" dxfId="3" priority="764">
      <formula>AND(E22&lt;5000,AS22&lt;5000)</formula>
    </cfRule>
  </conditionalFormatting>
  <conditionalFormatting sqref="AU25">
    <cfRule type="expression" dxfId="3" priority="785">
      <formula>AND(E25&lt;5000,AS25&lt;5000)</formula>
    </cfRule>
  </conditionalFormatting>
  <conditionalFormatting sqref="AU7">
    <cfRule type="expression" dxfId="3" priority="720">
      <formula>AND(E7&lt;3000,AS7&lt;3000)</formula>
    </cfRule>
  </conditionalFormatting>
  <conditionalFormatting sqref="AU8">
    <cfRule type="expression" dxfId="3" priority="729">
      <formula>AND(E8&lt;4000,AS8&lt;4000)</formula>
    </cfRule>
  </conditionalFormatting>
  <conditionalFormatting sqref="AV11">
    <cfRule type="cellIs" dxfId="2" priority="735" operator="lessThanOrEqual">
      <formula>G11</formula>
    </cfRule>
  </conditionalFormatting>
  <conditionalFormatting sqref="AV12">
    <cfRule type="cellIs" dxfId="2" priority="741" operator="lessThanOrEqual">
      <formula>G12</formula>
    </cfRule>
  </conditionalFormatting>
  <conditionalFormatting sqref="AV17">
    <cfRule type="cellIs" dxfId="2" priority="746" operator="lessThanOrEqual">
      <formula>G17</formula>
    </cfRule>
  </conditionalFormatting>
  <conditionalFormatting sqref="AV21">
    <cfRule type="cellIs" dxfId="2" priority="752" operator="lessThanOrEqual">
      <formula>G21</formula>
    </cfRule>
    <cfRule type="expression" dxfId="3" priority="756">
      <formula>AND(E21&lt;5000,AS21&lt;5000)</formula>
    </cfRule>
  </conditionalFormatting>
  <conditionalFormatting sqref="AV22">
    <cfRule type="cellIs" dxfId="2" priority="761" operator="lessThanOrEqual">
      <formula>G22</formula>
    </cfRule>
    <cfRule type="expression" dxfId="3" priority="765">
      <formula>AND(E22&lt;5000,AS22&lt;5000)</formula>
    </cfRule>
  </conditionalFormatting>
  <conditionalFormatting sqref="AV23">
    <cfRule type="cellIs" dxfId="2" priority="770" operator="lessThanOrEqual">
      <formula>G23</formula>
    </cfRule>
  </conditionalFormatting>
  <conditionalFormatting sqref="AV24">
    <cfRule type="cellIs" dxfId="2" priority="776" operator="lessThanOrEqual">
      <formula>G24</formula>
    </cfRule>
  </conditionalFormatting>
  <conditionalFormatting sqref="AV25">
    <cfRule type="cellIs" dxfId="2" priority="782" operator="lessThanOrEqual">
      <formula>G25</formula>
    </cfRule>
    <cfRule type="expression" dxfId="3" priority="786">
      <formula>AND(E25&lt;5000,AS25&lt;5000)</formula>
    </cfRule>
  </conditionalFormatting>
  <conditionalFormatting sqref="AV30">
    <cfRule type="cellIs" dxfId="2" priority="791" operator="lessThanOrEqual">
      <formula>G30</formula>
    </cfRule>
  </conditionalFormatting>
  <conditionalFormatting sqref="AV32">
    <cfRule type="cellIs" dxfId="2" priority="796" operator="lessThanOrEqual">
      <formula>G32</formula>
    </cfRule>
  </conditionalFormatting>
  <conditionalFormatting sqref="AV34">
    <cfRule type="cellIs" dxfId="2" priority="801" operator="lessThanOrEqual">
      <formula>G34</formula>
    </cfRule>
  </conditionalFormatting>
  <conditionalFormatting sqref="AV35">
    <cfRule type="cellIs" dxfId="2" priority="807" operator="lessThanOrEqual">
      <formula>G35</formula>
    </cfRule>
  </conditionalFormatting>
  <conditionalFormatting sqref="AV7">
    <cfRule type="cellIs" dxfId="2" priority="717" operator="lessThanOrEqual">
      <formula>G7</formula>
    </cfRule>
    <cfRule type="expression" dxfId="3" priority="721">
      <formula>AND(E7&lt;3000,AS7&lt;3000)</formula>
    </cfRule>
  </conditionalFormatting>
  <conditionalFormatting sqref="AV8">
    <cfRule type="cellIs" dxfId="2" priority="726" operator="lessThanOrEqual">
      <formula>G8</formula>
    </cfRule>
    <cfRule type="expression" dxfId="3" priority="730">
      <formula>AND(E8&lt;4000,AS8&lt;4000)</formula>
    </cfRule>
  </conditionalFormatting>
  <conditionalFormatting sqref="AX11">
    <cfRule type="cellIs" dxfId="0" priority="815" operator="equal">
      <formula>0</formula>
    </cfRule>
    <cfRule type="cellIs" dxfId="1" priority="816" operator="lessThan">
      <formula>E11</formula>
    </cfRule>
  </conditionalFormatting>
  <conditionalFormatting sqref="AX12">
    <cfRule type="cellIs" dxfId="0" priority="821" operator="equal">
      <formula>0</formula>
    </cfRule>
    <cfRule type="cellIs" dxfId="1" priority="822" operator="lessThan">
      <formula>E12</formula>
    </cfRule>
  </conditionalFormatting>
  <conditionalFormatting sqref="AX20">
    <cfRule type="cellIs" dxfId="0" priority="826" operator="equal">
      <formula>0</formula>
    </cfRule>
    <cfRule type="cellIs" dxfId="1" priority="827" operator="lessThan">
      <formula>E20</formula>
    </cfRule>
  </conditionalFormatting>
  <conditionalFormatting sqref="AX21">
    <cfRule type="cellIs" dxfId="0" priority="832" operator="equal">
      <formula>0</formula>
    </cfRule>
    <cfRule type="cellIs" dxfId="1" priority="833" operator="lessThan">
      <formula>E21</formula>
    </cfRule>
  </conditionalFormatting>
  <conditionalFormatting sqref="AX22">
    <cfRule type="cellIs" dxfId="0" priority="838" operator="equal">
      <formula>0</formula>
    </cfRule>
    <cfRule type="cellIs" dxfId="1" priority="839" operator="lessThan">
      <formula>E22</formula>
    </cfRule>
  </conditionalFormatting>
  <conditionalFormatting sqref="AX25">
    <cfRule type="cellIs" dxfId="0" priority="844" operator="equal">
      <formula>0</formula>
    </cfRule>
    <cfRule type="cellIs" dxfId="1" priority="845" operator="lessThan">
      <formula>E25</formula>
    </cfRule>
  </conditionalFormatting>
  <conditionalFormatting sqref="AX30">
    <cfRule type="cellIs" dxfId="0" priority="850" operator="equal">
      <formula>0</formula>
    </cfRule>
    <cfRule type="cellIs" dxfId="1" priority="851" operator="lessThan">
      <formula>E30</formula>
    </cfRule>
  </conditionalFormatting>
  <conditionalFormatting sqref="AX32">
    <cfRule type="cellIs" dxfId="0" priority="856" operator="equal">
      <formula>0</formula>
    </cfRule>
    <cfRule type="cellIs" dxfId="1" priority="857" operator="lessThan">
      <formula>E32</formula>
    </cfRule>
  </conditionalFormatting>
  <conditionalFormatting sqref="AX8">
    <cfRule type="cellIs" dxfId="0" priority="809" operator="equal">
      <formula>0</formula>
    </cfRule>
    <cfRule type="cellIs" dxfId="1" priority="810" operator="lessThan">
      <formula>E8</formula>
    </cfRule>
  </conditionalFormatting>
  <conditionalFormatting sqref="AY11">
    <cfRule type="expression" dxfId="3" priority="817">
      <formula>AND(AY11&gt;0,MOD(AY11,BA11)&lt;&gt;0)</formula>
    </cfRule>
    <cfRule type="cellIs" dxfId="0" priority="818" operator="greaterThan">
      <formula>AX11</formula>
    </cfRule>
  </conditionalFormatting>
  <conditionalFormatting sqref="AY12">
    <cfRule type="cellIs" dxfId="0" priority="823" operator="greaterThan">
      <formula>AX12</formula>
    </cfRule>
  </conditionalFormatting>
  <conditionalFormatting sqref="AY20">
    <cfRule type="expression" dxfId="3" priority="828">
      <formula>AND(AY20&gt;0,MOD(AY20,BA20)&lt;&gt;0)</formula>
    </cfRule>
    <cfRule type="cellIs" dxfId="0" priority="829" operator="greaterThan">
      <formula>AX20</formula>
    </cfRule>
  </conditionalFormatting>
  <conditionalFormatting sqref="AY21">
    <cfRule type="expression" dxfId="3" priority="834">
      <formula>AND(AY21&gt;0,MOD(AY21,BA21)&lt;&gt;0)</formula>
    </cfRule>
    <cfRule type="cellIs" dxfId="0" priority="835" operator="greaterThan">
      <formula>AX21</formula>
    </cfRule>
  </conditionalFormatting>
  <conditionalFormatting sqref="AY22">
    <cfRule type="expression" dxfId="3" priority="840">
      <formula>AND(AY22&gt;0,MOD(AY22,BA22)&lt;&gt;0)</formula>
    </cfRule>
    <cfRule type="cellIs" dxfId="0" priority="841" operator="greaterThan">
      <formula>AX22</formula>
    </cfRule>
  </conditionalFormatting>
  <conditionalFormatting sqref="AY25">
    <cfRule type="expression" dxfId="3" priority="846">
      <formula>AND(AY25&gt;0,MOD(AY25,BA25)&lt;&gt;0)</formula>
    </cfRule>
    <cfRule type="cellIs" dxfId="0" priority="847" operator="greaterThan">
      <formula>AX25</formula>
    </cfRule>
  </conditionalFormatting>
  <conditionalFormatting sqref="AY30">
    <cfRule type="expression" dxfId="3" priority="852">
      <formula>AND(AY30&gt;0,MOD(AY30,BA30)&lt;&gt;0)</formula>
    </cfRule>
    <cfRule type="cellIs" dxfId="0" priority="853" operator="greaterThan">
      <formula>AX30</formula>
    </cfRule>
  </conditionalFormatting>
  <conditionalFormatting sqref="AY32">
    <cfRule type="cellIs" dxfId="0" priority="858" operator="greaterThan">
      <formula>AX32</formula>
    </cfRule>
  </conditionalFormatting>
  <conditionalFormatting sqref="AY8">
    <cfRule type="expression" dxfId="3" priority="811">
      <formula>AND(AY8&gt;0,MOD(AY8,BA8)&lt;&gt;0)</formula>
    </cfRule>
    <cfRule type="cellIs" dxfId="0" priority="812" operator="greaterThan">
      <formula>AX8</formula>
    </cfRule>
  </conditionalFormatting>
  <conditionalFormatting sqref="AZ11">
    <cfRule type="cellIs" dxfId="2" priority="820" operator="lessThanOrEqual">
      <formula>F11</formula>
    </cfRule>
  </conditionalFormatting>
  <conditionalFormatting sqref="AZ12">
    <cfRule type="cellIs" dxfId="2" priority="825" operator="lessThanOrEqual">
      <formula>F12</formula>
    </cfRule>
  </conditionalFormatting>
  <conditionalFormatting sqref="AZ20">
    <cfRule type="cellIs" dxfId="2" priority="831" operator="lessThanOrEqual">
      <formula>F20</formula>
    </cfRule>
  </conditionalFormatting>
  <conditionalFormatting sqref="AZ21">
    <cfRule type="cellIs" dxfId="2" priority="837" operator="lessThanOrEqual">
      <formula>F21</formula>
    </cfRule>
  </conditionalFormatting>
  <conditionalFormatting sqref="AZ22">
    <cfRule type="cellIs" dxfId="2" priority="843" operator="lessThanOrEqual">
      <formula>F22</formula>
    </cfRule>
  </conditionalFormatting>
  <conditionalFormatting sqref="AZ25">
    <cfRule type="cellIs" dxfId="2" priority="849" operator="lessThanOrEqual">
      <formula>F25</formula>
    </cfRule>
  </conditionalFormatting>
  <conditionalFormatting sqref="AZ30">
    <cfRule type="cellIs" dxfId="2" priority="855" operator="lessThanOrEqual">
      <formula>F30</formula>
    </cfRule>
  </conditionalFormatting>
  <conditionalFormatting sqref="AZ32">
    <cfRule type="cellIs" dxfId="2" priority="860" operator="lessThanOrEqual">
      <formula>F32</formula>
    </cfRule>
  </conditionalFormatting>
  <conditionalFormatting sqref="AZ8">
    <cfRule type="cellIs" dxfId="2" priority="814" operator="lessThanOrEqual">
      <formula>F8</formula>
    </cfRule>
  </conditionalFormatting>
  <conditionalFormatting sqref="BB11">
    <cfRule type="cellIs" dxfId="2" priority="819" operator="lessThanOrEqual">
      <formula>G11</formula>
    </cfRule>
  </conditionalFormatting>
  <conditionalFormatting sqref="BB12">
    <cfRule type="cellIs" dxfId="2" priority="824" operator="lessThanOrEqual">
      <formula>G12</formula>
    </cfRule>
  </conditionalFormatting>
  <conditionalFormatting sqref="BB20">
    <cfRule type="cellIs" dxfId="2" priority="830" operator="lessThanOrEqual">
      <formula>G20</formula>
    </cfRule>
  </conditionalFormatting>
  <conditionalFormatting sqref="BB21">
    <cfRule type="cellIs" dxfId="2" priority="836" operator="lessThanOrEqual">
      <formula>G21</formula>
    </cfRule>
  </conditionalFormatting>
  <conditionalFormatting sqref="BB22">
    <cfRule type="cellIs" dxfId="2" priority="842" operator="lessThanOrEqual">
      <formula>G22</formula>
    </cfRule>
  </conditionalFormatting>
  <conditionalFormatting sqref="BB25">
    <cfRule type="cellIs" dxfId="2" priority="848" operator="lessThanOrEqual">
      <formula>G25</formula>
    </cfRule>
  </conditionalFormatting>
  <conditionalFormatting sqref="BB30">
    <cfRule type="cellIs" dxfId="2" priority="854" operator="lessThanOrEqual">
      <formula>G30</formula>
    </cfRule>
  </conditionalFormatting>
  <conditionalFormatting sqref="BB32">
    <cfRule type="cellIs" dxfId="2" priority="859" operator="lessThanOrEqual">
      <formula>G32</formula>
    </cfRule>
  </conditionalFormatting>
  <conditionalFormatting sqref="BB8">
    <cfRule type="cellIs" dxfId="2" priority="813" operator="lessThanOrEqual">
      <formula>G8</formula>
    </cfRule>
  </conditionalFormatting>
  <conditionalFormatting sqref="E10">
    <cfRule type="expression" dxfId="4" priority="873">
      <formula>AND(ISBLANK(D10),ISBLANK(L10),ISBLANK(R10),ISBLANK(X10),ISBLANK(AD10),ISBLANK(AJ10),ISBLANK(AP10),ISBLANK(AV10),ISBLANK(BB10))</formula>
    </cfRule>
    <cfRule type="expression" dxfId="0" priority="874">
      <formula>IF(SUM(H10,N10,T10,Z10,AF10,AL10,AR10,AX10)=0,1,0)</formula>
    </cfRule>
    <cfRule type="cellIs" dxfId="1" priority="875" operator="greaterThan">
      <formula>SUM(H10,N10,T10,Z10,AF10,AL10,AR10,AX10)</formula>
    </cfRule>
    <cfRule type="cellIs" dxfId="3" priority="876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4" priority="877">
      <formula>AND(ISBLANK(D11),ISBLANK(L11),ISBLANK(R11),ISBLANK(X11),ISBLANK(AD11),ISBLANK(AJ11),ISBLANK(AP11),ISBLANK(AV11),ISBLANK(BB11))</formula>
    </cfRule>
    <cfRule type="expression" dxfId="0" priority="878">
      <formula>IF(SUM(H11,N11,T11,Z11,AF11,AL11,AR11,AX11)=0,1,0)</formula>
    </cfRule>
    <cfRule type="cellIs" dxfId="1" priority="879" operator="greaterThan">
      <formula>SUM(H11,N11,T11,Z11,AF11,AL11,AR11,AX11)</formula>
    </cfRule>
    <cfRule type="cellIs" dxfId="3" priority="880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4" priority="881">
      <formula>AND(ISBLANK(D12),ISBLANK(L12),ISBLANK(R12),ISBLANK(X12),ISBLANK(AD12),ISBLANK(AJ12),ISBLANK(AP12),ISBLANK(AV12),ISBLANK(BB12))</formula>
    </cfRule>
    <cfRule type="expression" dxfId="0" priority="882">
      <formula>IF(SUM(H12,N12,T12,Z12,AF12,AL12,AR12,AX12)=0,1,0)</formula>
    </cfRule>
    <cfRule type="cellIs" dxfId="1" priority="883" operator="greaterThan">
      <formula>SUM(H12,N12,T12,Z12,AF12,AL12,AR12,AX12)</formula>
    </cfRule>
    <cfRule type="cellIs" dxfId="3" priority="884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4" priority="885">
      <formula>AND(ISBLANK(D13),ISBLANK(L13),ISBLANK(R13),ISBLANK(X13),ISBLANK(AD13),ISBLANK(AJ13),ISBLANK(AP13),ISBLANK(AV13),ISBLANK(BB13))</formula>
    </cfRule>
    <cfRule type="expression" dxfId="0" priority="886">
      <formula>IF(SUM(H13,N13,T13,Z13,AF13,AL13,AR13,AX13)=0,1,0)</formula>
    </cfRule>
    <cfRule type="cellIs" dxfId="1" priority="887" operator="greaterThan">
      <formula>SUM(H13,N13,T13,Z13,AF13,AL13,AR13,AX13)</formula>
    </cfRule>
    <cfRule type="cellIs" dxfId="3" priority="888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4" priority="889">
      <formula>AND(ISBLANK(D14),ISBLANK(L14),ISBLANK(R14),ISBLANK(X14),ISBLANK(AD14),ISBLANK(AJ14),ISBLANK(AP14),ISBLANK(AV14),ISBLANK(BB14))</formula>
    </cfRule>
    <cfRule type="expression" dxfId="0" priority="890">
      <formula>IF(SUM(H14,N14,T14,Z14,AF14,AL14,AR14,AX14)=0,1,0)</formula>
    </cfRule>
    <cfRule type="cellIs" dxfId="1" priority="891" operator="greaterThan">
      <formula>SUM(H14,N14,T14,Z14,AF14,AL14,AR14,AX14)</formula>
    </cfRule>
    <cfRule type="cellIs" dxfId="3" priority="892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4" priority="893">
      <formula>AND(ISBLANK(D15),ISBLANK(L15),ISBLANK(R15),ISBLANK(X15),ISBLANK(AD15),ISBLANK(AJ15),ISBLANK(AP15),ISBLANK(AV15),ISBLANK(BB15))</formula>
    </cfRule>
    <cfRule type="expression" dxfId="0" priority="894">
      <formula>IF(SUM(H15,N15,T15,Z15,AF15,AL15,AR15,AX15)=0,1,0)</formula>
    </cfRule>
    <cfRule type="cellIs" dxfId="1" priority="895" operator="greaterThan">
      <formula>SUM(H15,N15,T15,Z15,AF15,AL15,AR15,AX15)</formula>
    </cfRule>
    <cfRule type="cellIs" dxfId="3" priority="896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4" priority="897">
      <formula>AND(ISBLANK(D16),ISBLANK(L16),ISBLANK(R16),ISBLANK(X16),ISBLANK(AD16),ISBLANK(AJ16),ISBLANK(AP16),ISBLANK(AV16),ISBLANK(BB16))</formula>
    </cfRule>
    <cfRule type="expression" dxfId="0" priority="898">
      <formula>IF(SUM(H16,N16,T16,Z16,AF16,AL16,AR16,AX16)=0,1,0)</formula>
    </cfRule>
    <cfRule type="cellIs" dxfId="1" priority="899" operator="greaterThan">
      <formula>SUM(H16,N16,T16,Z16,AF16,AL16,AR16,AX16)</formula>
    </cfRule>
    <cfRule type="cellIs" dxfId="3" priority="900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4" priority="901">
      <formula>AND(ISBLANK(D17),ISBLANK(L17),ISBLANK(R17),ISBLANK(X17),ISBLANK(AD17),ISBLANK(AJ17),ISBLANK(AP17),ISBLANK(AV17),ISBLANK(BB17))</formula>
    </cfRule>
    <cfRule type="expression" dxfId="0" priority="902">
      <formula>IF(SUM(H17,N17,T17,Z17,AF17,AL17,AR17,AX17)=0,1,0)</formula>
    </cfRule>
    <cfRule type="cellIs" dxfId="1" priority="903" operator="greaterThan">
      <formula>SUM(H17,N17,T17,Z17,AF17,AL17,AR17,AX17)</formula>
    </cfRule>
    <cfRule type="cellIs" dxfId="3" priority="904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4" priority="905">
      <formula>AND(ISBLANK(D18),ISBLANK(L18),ISBLANK(R18),ISBLANK(X18),ISBLANK(AD18),ISBLANK(AJ18),ISBLANK(AP18),ISBLANK(AV18),ISBLANK(BB18))</formula>
    </cfRule>
    <cfRule type="expression" dxfId="0" priority="906">
      <formula>IF(SUM(H18,N18,T18,Z18,AF18,AL18,AR18,AX18)=0,1,0)</formula>
    </cfRule>
    <cfRule type="cellIs" dxfId="1" priority="907" operator="greaterThan">
      <formula>SUM(H18,N18,T18,Z18,AF18,AL18,AR18,AX18)</formula>
    </cfRule>
    <cfRule type="cellIs" dxfId="3" priority="908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4" priority="909">
      <formula>AND(ISBLANK(D19),ISBLANK(L19),ISBLANK(R19),ISBLANK(X19),ISBLANK(AD19),ISBLANK(AJ19),ISBLANK(AP19),ISBLANK(AV19),ISBLANK(BB19))</formula>
    </cfRule>
    <cfRule type="expression" dxfId="0" priority="910">
      <formula>IF(SUM(H19,N19,T19,Z19,AF19,AL19,AR19,AX19)=0,1,0)</formula>
    </cfRule>
    <cfRule type="cellIs" dxfId="1" priority="911" operator="greaterThan">
      <formula>SUM(H19,N19,T19,Z19,AF19,AL19,AR19,AX19)</formula>
    </cfRule>
    <cfRule type="cellIs" dxfId="3" priority="912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4" priority="913">
      <formula>AND(ISBLANK(D20),ISBLANK(L20),ISBLANK(R20),ISBLANK(X20),ISBLANK(AD20),ISBLANK(AJ20),ISBLANK(AP20),ISBLANK(AV20),ISBLANK(BB20))</formula>
    </cfRule>
    <cfRule type="expression" dxfId="0" priority="914">
      <formula>IF(SUM(H20,N20,T20,Z20,AF20,AL20,AR20,AX20)=0,1,0)</formula>
    </cfRule>
    <cfRule type="cellIs" dxfId="1" priority="915" operator="greaterThan">
      <formula>SUM(H20,N20,T20,Z20,AF20,AL20,AR20,AX20)</formula>
    </cfRule>
    <cfRule type="cellIs" dxfId="3" priority="916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4" priority="917">
      <formula>AND(ISBLANK(D21),ISBLANK(L21),ISBLANK(R21),ISBLANK(X21),ISBLANK(AD21),ISBLANK(AJ21),ISBLANK(AP21),ISBLANK(AV21),ISBLANK(BB21))</formula>
    </cfRule>
    <cfRule type="expression" dxfId="0" priority="918">
      <formula>IF(SUM(H21,N21,T21,Z21,AF21,AL21,AR21,AX21)=0,1,0)</formula>
    </cfRule>
    <cfRule type="cellIs" dxfId="1" priority="919" operator="greaterThan">
      <formula>SUM(H21,N21,T21,Z21,AF21,AL21,AR21,AX21)</formula>
    </cfRule>
    <cfRule type="cellIs" dxfId="3" priority="920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4" priority="921">
      <formula>AND(ISBLANK(D22),ISBLANK(L22),ISBLANK(R22),ISBLANK(X22),ISBLANK(AD22),ISBLANK(AJ22),ISBLANK(AP22),ISBLANK(AV22),ISBLANK(BB22))</formula>
    </cfRule>
    <cfRule type="expression" dxfId="0" priority="922">
      <formula>IF(SUM(H22,N22,T22,Z22,AF22,AL22,AR22,AX22)=0,1,0)</formula>
    </cfRule>
    <cfRule type="cellIs" dxfId="1" priority="923" operator="greaterThan">
      <formula>SUM(H22,N22,T22,Z22,AF22,AL22,AR22,AX22)</formula>
    </cfRule>
    <cfRule type="cellIs" dxfId="3" priority="924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4" priority="925">
      <formula>AND(ISBLANK(D23),ISBLANK(L23),ISBLANK(R23),ISBLANK(X23),ISBLANK(AD23),ISBLANK(AJ23),ISBLANK(AP23),ISBLANK(AV23),ISBLANK(BB23))</formula>
    </cfRule>
    <cfRule type="expression" dxfId="0" priority="926">
      <formula>IF(SUM(H23,N23,T23,Z23,AF23,AL23,AR23,AX23)=0,1,0)</formula>
    </cfRule>
    <cfRule type="cellIs" dxfId="1" priority="927" operator="greaterThan">
      <formula>SUM(H23,N23,T23,Z23,AF23,AL23,AR23,AX23)</formula>
    </cfRule>
    <cfRule type="cellIs" dxfId="3" priority="928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4" priority="929">
      <formula>AND(ISBLANK(D24),ISBLANK(L24),ISBLANK(R24),ISBLANK(X24),ISBLANK(AD24),ISBLANK(AJ24),ISBLANK(AP24),ISBLANK(AV24),ISBLANK(BB24))</formula>
    </cfRule>
    <cfRule type="expression" dxfId="0" priority="930">
      <formula>IF(SUM(H24,N24,T24,Z24,AF24,AL24,AR24,AX24)=0,1,0)</formula>
    </cfRule>
    <cfRule type="cellIs" dxfId="1" priority="931" operator="greaterThan">
      <formula>SUM(H24,N24,T24,Z24,AF24,AL24,AR24,AX24)</formula>
    </cfRule>
    <cfRule type="cellIs" dxfId="3" priority="932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4" priority="933">
      <formula>AND(ISBLANK(D25),ISBLANK(L25),ISBLANK(R25),ISBLANK(X25),ISBLANK(AD25),ISBLANK(AJ25),ISBLANK(AP25),ISBLANK(AV25),ISBLANK(BB25))</formula>
    </cfRule>
    <cfRule type="expression" dxfId="0" priority="934">
      <formula>IF(SUM(H25,N25,T25,Z25,AF25,AL25,AR25,AX25)=0,1,0)</formula>
    </cfRule>
    <cfRule type="cellIs" dxfId="1" priority="935" operator="greaterThan">
      <formula>SUM(H25,N25,T25,Z25,AF25,AL25,AR25,AX25)</formula>
    </cfRule>
    <cfRule type="cellIs" dxfId="3" priority="936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4" priority="937">
      <formula>AND(ISBLANK(D26),ISBLANK(L26),ISBLANK(R26),ISBLANK(X26),ISBLANK(AD26),ISBLANK(AJ26),ISBLANK(AP26),ISBLANK(AV26),ISBLANK(BB26))</formula>
    </cfRule>
    <cfRule type="expression" dxfId="0" priority="938">
      <formula>IF(SUM(H26,N26,T26,Z26,AF26,AL26,AR26,AX26)=0,1,0)</formula>
    </cfRule>
    <cfRule type="cellIs" dxfId="1" priority="939" operator="greaterThan">
      <formula>SUM(H26,N26,T26,Z26,AF26,AL26,AR26,AX26)</formula>
    </cfRule>
    <cfRule type="cellIs" dxfId="3" priority="940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4" priority="941">
      <formula>AND(ISBLANK(D27),ISBLANK(L27),ISBLANK(R27),ISBLANK(X27),ISBLANK(AD27),ISBLANK(AJ27),ISBLANK(AP27),ISBLANK(AV27),ISBLANK(BB27))</formula>
    </cfRule>
    <cfRule type="expression" dxfId="0" priority="942">
      <formula>IF(SUM(H27,N27,T27,Z27,AF27,AL27,AR27,AX27)=0,1,0)</formula>
    </cfRule>
    <cfRule type="cellIs" dxfId="1" priority="943" operator="greaterThan">
      <formula>SUM(H27,N27,T27,Z27,AF27,AL27,AR27,AX27)</formula>
    </cfRule>
    <cfRule type="cellIs" dxfId="3" priority="944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4" priority="945">
      <formula>AND(ISBLANK(D28),ISBLANK(L28),ISBLANK(R28),ISBLANK(X28),ISBLANK(AD28),ISBLANK(AJ28),ISBLANK(AP28),ISBLANK(AV28),ISBLANK(BB28))</formula>
    </cfRule>
    <cfRule type="expression" dxfId="0" priority="946">
      <formula>IF(SUM(H28,N28,T28,Z28,AF28,AL28,AR28,AX28)=0,1,0)</formula>
    </cfRule>
    <cfRule type="cellIs" dxfId="1" priority="947" operator="greaterThan">
      <formula>SUM(H28,N28,T28,Z28,AF28,AL28,AR28,AX28)</formula>
    </cfRule>
    <cfRule type="cellIs" dxfId="3" priority="948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4" priority="949">
      <formula>AND(ISBLANK(D29),ISBLANK(L29),ISBLANK(R29),ISBLANK(X29),ISBLANK(AD29),ISBLANK(AJ29),ISBLANK(AP29),ISBLANK(AV29),ISBLANK(BB29))</formula>
    </cfRule>
    <cfRule type="expression" dxfId="0" priority="950">
      <formula>IF(SUM(H29,N29,T29,Z29,AF29,AL29,AR29,AX29)=0,1,0)</formula>
    </cfRule>
    <cfRule type="cellIs" dxfId="1" priority="951" operator="greaterThan">
      <formula>SUM(H29,N29,T29,Z29,AF29,AL29,AR29,AX29)</formula>
    </cfRule>
    <cfRule type="cellIs" dxfId="3" priority="952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4" priority="953">
      <formula>AND(ISBLANK(D30),ISBLANK(L30),ISBLANK(R30),ISBLANK(X30),ISBLANK(AD30),ISBLANK(AJ30),ISBLANK(AP30),ISBLANK(AV30),ISBLANK(BB30))</formula>
    </cfRule>
    <cfRule type="expression" dxfId="0" priority="954">
      <formula>IF(SUM(H30,N30,T30,Z30,AF30,AL30,AR30,AX30)=0,1,0)</formula>
    </cfRule>
    <cfRule type="cellIs" dxfId="1" priority="955" operator="greaterThan">
      <formula>SUM(H30,N30,T30,Z30,AF30,AL30,AR30,AX30)</formula>
    </cfRule>
    <cfRule type="cellIs" dxfId="3" priority="956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4" priority="957">
      <formula>AND(ISBLANK(D31),ISBLANK(L31),ISBLANK(R31),ISBLANK(X31),ISBLANK(AD31),ISBLANK(AJ31),ISBLANK(AP31),ISBLANK(AV31),ISBLANK(BB31))</formula>
    </cfRule>
    <cfRule type="expression" dxfId="0" priority="958">
      <formula>IF(SUM(H31,N31,T31,Z31,AF31,AL31,AR31,AX31)=0,1,0)</formula>
    </cfRule>
    <cfRule type="cellIs" dxfId="1" priority="959" operator="greaterThan">
      <formula>SUM(H31,N31,T31,Z31,AF31,AL31,AR31,AX31)</formula>
    </cfRule>
    <cfRule type="cellIs" dxfId="3" priority="960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4" priority="961">
      <formula>AND(ISBLANK(D32),ISBLANK(L32),ISBLANK(R32),ISBLANK(X32),ISBLANK(AD32),ISBLANK(AJ32),ISBLANK(AP32),ISBLANK(AV32),ISBLANK(BB32))</formula>
    </cfRule>
    <cfRule type="expression" dxfId="0" priority="962">
      <formula>IF(SUM(H32,N32,T32,Z32,AF32,AL32,AR32,AX32)=0,1,0)</formula>
    </cfRule>
    <cfRule type="cellIs" dxfId="1" priority="963" operator="greaterThan">
      <formula>SUM(H32,N32,T32,Z32,AF32,AL32,AR32,AX32)</formula>
    </cfRule>
    <cfRule type="cellIs" dxfId="3" priority="964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4" priority="965">
      <formula>AND(ISBLANK(D33),ISBLANK(L33),ISBLANK(R33),ISBLANK(X33),ISBLANK(AD33),ISBLANK(AJ33),ISBLANK(AP33),ISBLANK(AV33),ISBLANK(BB33))</formula>
    </cfRule>
    <cfRule type="expression" dxfId="0" priority="966">
      <formula>IF(SUM(H33,N33,T33,Z33,AF33,AL33,AR33,AX33)=0,1,0)</formula>
    </cfRule>
    <cfRule type="cellIs" dxfId="1" priority="967" operator="greaterThan">
      <formula>SUM(H33,N33,T33,Z33,AF33,AL33,AR33,AX33)</formula>
    </cfRule>
    <cfRule type="cellIs" dxfId="3" priority="968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4" priority="969">
      <formula>AND(ISBLANK(D34),ISBLANK(L34),ISBLANK(R34),ISBLANK(X34),ISBLANK(AD34),ISBLANK(AJ34),ISBLANK(AP34),ISBLANK(AV34),ISBLANK(BB34))</formula>
    </cfRule>
    <cfRule type="expression" dxfId="0" priority="970">
      <formula>IF(SUM(H34,N34,T34,Z34,AF34,AL34,AR34,AX34)=0,1,0)</formula>
    </cfRule>
    <cfRule type="cellIs" dxfId="1" priority="971" operator="greaterThan">
      <formula>SUM(H34,N34,T34,Z34,AF34,AL34,AR34,AX34)</formula>
    </cfRule>
    <cfRule type="cellIs" dxfId="3" priority="972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4" priority="973">
      <formula>AND(ISBLANK(D35),ISBLANK(L35),ISBLANK(R35),ISBLANK(X35),ISBLANK(AD35),ISBLANK(AJ35),ISBLANK(AP35),ISBLANK(AV35),ISBLANK(BB35))</formula>
    </cfRule>
    <cfRule type="expression" dxfId="0" priority="974">
      <formula>IF(SUM(H35,N35,T35,Z35,AF35,AL35,AR35,AX35)=0,1,0)</formula>
    </cfRule>
    <cfRule type="cellIs" dxfId="1" priority="975" operator="greaterThan">
      <formula>SUM(H35,N35,T35,Z35,AF35,AL35,AR35,AX35)</formula>
    </cfRule>
    <cfRule type="cellIs" dxfId="3" priority="976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7">
    <cfRule type="expression" dxfId="4" priority="861">
      <formula>AND(ISBLANK(D7),ISBLANK(L7),ISBLANK(R7),ISBLANK(X7),ISBLANK(AD7),ISBLANK(AJ7),ISBLANK(AP7),ISBLANK(AV7),ISBLANK(BB7))</formula>
    </cfRule>
    <cfRule type="expression" dxfId="0" priority="862">
      <formula>IF(SUM(H7,N7,T7,Z7,AF7,AL7,AR7,AX7)=0,1,0)</formula>
    </cfRule>
    <cfRule type="cellIs" dxfId="1" priority="863" operator="greaterThan">
      <formula>SUM(H7,N7,T7,Z7,AF7,AL7,AR7,AX7)</formula>
    </cfRule>
    <cfRule type="cellIs" dxfId="3" priority="864" operator="greaterThan">
      <formula>SUM(IF(ISNUMBER(J7),I7,0),IF(ISNUMBER(P7),O7,0),IF(ISNUMBER(V7),U7,0),IF(ISNUMBER(AB7),AA7,0),IF(ISNUMBER(AH7),AG7,0),IF(ISNUMBER(AN7),AM7,0),IF(ISNUMBER(AT7),AS7,0),IF(ISNUMBER(AZ7),AY7,0))</formula>
    </cfRule>
  </conditionalFormatting>
  <conditionalFormatting sqref="E8">
    <cfRule type="expression" dxfId="4" priority="865">
      <formula>AND(ISBLANK(D8),ISBLANK(L8),ISBLANK(R8),ISBLANK(X8),ISBLANK(AD8),ISBLANK(AJ8),ISBLANK(AP8),ISBLANK(AV8),ISBLANK(BB8))</formula>
    </cfRule>
    <cfRule type="expression" dxfId="0" priority="866">
      <formula>IF(SUM(H8,N8,T8,Z8,AF8,AL8,AR8,AX8)=0,1,0)</formula>
    </cfRule>
    <cfRule type="cellIs" dxfId="1" priority="867" operator="greaterThan">
      <formula>SUM(H8,N8,T8,Z8,AF8,AL8,AR8,AX8)</formula>
    </cfRule>
    <cfRule type="cellIs" dxfId="3" priority="868" operator="greaterThan">
      <formula>SUM(IF(ISNUMBER(J8),I8,0),IF(ISNUMBER(P8),O8,0),IF(ISNUMBER(V8),U8,0),IF(ISNUMBER(AB8),AA8,0),IF(ISNUMBER(AH8),AG8,0),IF(ISNUMBER(AN8),AM8,0),IF(ISNUMBER(AT8),AS8,0),IF(ISNUMBER(AZ8),AY8,0))</formula>
    </cfRule>
  </conditionalFormatting>
  <conditionalFormatting sqref="E9">
    <cfRule type="expression" dxfId="4" priority="869">
      <formula>AND(ISBLANK(D9),ISBLANK(L9),ISBLANK(R9),ISBLANK(X9),ISBLANK(AD9),ISBLANK(AJ9),ISBLANK(AP9),ISBLANK(AV9),ISBLANK(BB9))</formula>
    </cfRule>
    <cfRule type="expression" dxfId="0" priority="870">
      <formula>IF(SUM(H9,N9,T9,Z9,AF9,AL9,AR9,AX9)=0,1,0)</formula>
    </cfRule>
    <cfRule type="cellIs" dxfId="1" priority="871" operator="greaterThan">
      <formula>SUM(H9,N9,T9,Z9,AF9,AL9,AR9,AX9)</formula>
    </cfRule>
    <cfRule type="cellIs" dxfId="3" priority="872" operator="greaterThan">
      <formula>SUM(IF(ISNUMBER(J9),I9,0),IF(ISNUMBER(P9),O9,0),IF(ISNUMBER(V9),U9,0),IF(ISNUMBER(AB9),AA9,0),IF(ISNUMBER(AH9),AG9,0),IF(ISNUMBER(AN9),AM9,0),IF(ISNUMBER(AT9),AS9,0),IF(ISNUMBER(AZ9),AY9,0))</formula>
    </cfRule>
  </conditionalFormatting>
  <conditionalFormatting sqref="H10">
    <cfRule type="cellIs" dxfId="0" priority="6" operator="equal">
      <formula>0</formula>
    </cfRule>
    <cfRule type="cellIs" dxfId="1" priority="7" operator="lessThan">
      <formula>E10</formula>
    </cfRule>
  </conditionalFormatting>
  <conditionalFormatting sqref="H11">
    <cfRule type="cellIs" dxfId="0" priority="11" operator="equal">
      <formula>0</formula>
    </cfRule>
    <cfRule type="cellIs" dxfId="1" priority="12" operator="lessThan">
      <formula>E11</formula>
    </cfRule>
  </conditionalFormatting>
  <conditionalFormatting sqref="H12">
    <cfRule type="cellIs" dxfId="0" priority="20" operator="equal">
      <formula>0</formula>
    </cfRule>
    <cfRule type="cellIs" dxfId="1" priority="21" operator="lessThan">
      <formula>E12</formula>
    </cfRule>
  </conditionalFormatting>
  <conditionalFormatting sqref="H13">
    <cfRule type="cellIs" dxfId="0" priority="29" operator="equal">
      <formula>0</formula>
    </cfRule>
    <cfRule type="cellIs" dxfId="1" priority="30" operator="lessThan">
      <formula>E13</formula>
    </cfRule>
  </conditionalFormatting>
  <conditionalFormatting sqref="H15">
    <cfRule type="cellIs" dxfId="0" priority="38" operator="equal">
      <formula>0</formula>
    </cfRule>
    <cfRule type="cellIs" dxfId="1" priority="39" operator="lessThan">
      <formula>E15</formula>
    </cfRule>
  </conditionalFormatting>
  <conditionalFormatting sqref="H18">
    <cfRule type="cellIs" dxfId="0" priority="43" operator="equal">
      <formula>0</formula>
    </cfRule>
    <cfRule type="cellIs" dxfId="1" priority="44" operator="lessThan">
      <formula>E18</formula>
    </cfRule>
  </conditionalFormatting>
  <conditionalFormatting sqref="H20">
    <cfRule type="cellIs" dxfId="0" priority="52" operator="equal">
      <formula>0</formula>
    </cfRule>
    <cfRule type="cellIs" dxfId="1" priority="53" operator="lessThan">
      <formula>E20</formula>
    </cfRule>
  </conditionalFormatting>
  <conditionalFormatting sqref="H21">
    <cfRule type="cellIs" dxfId="0" priority="61" operator="equal">
      <formula>0</formula>
    </cfRule>
    <cfRule type="cellIs" dxfId="1" priority="62" operator="lessThan">
      <formula>E21</formula>
    </cfRule>
  </conditionalFormatting>
  <conditionalFormatting sqref="H22">
    <cfRule type="cellIs" dxfId="0" priority="70" operator="equal">
      <formula>0</formula>
    </cfRule>
    <cfRule type="cellIs" dxfId="1" priority="71" operator="lessThan">
      <formula>E22</formula>
    </cfRule>
  </conditionalFormatting>
  <conditionalFormatting sqref="H24">
    <cfRule type="cellIs" dxfId="0" priority="79" operator="equal">
      <formula>0</formula>
    </cfRule>
    <cfRule type="cellIs" dxfId="1" priority="80" operator="lessThan">
      <formula>E24</formula>
    </cfRule>
  </conditionalFormatting>
  <conditionalFormatting sqref="H25">
    <cfRule type="cellIs" dxfId="0" priority="88" operator="equal">
      <formula>0</formula>
    </cfRule>
    <cfRule type="cellIs" dxfId="1" priority="89" operator="lessThan">
      <formula>E25</formula>
    </cfRule>
  </conditionalFormatting>
  <conditionalFormatting sqref="H26">
    <cfRule type="cellIs" dxfId="0" priority="97" operator="equal">
      <formula>0</formula>
    </cfRule>
    <cfRule type="cellIs" dxfId="1" priority="98" operator="lessThan">
      <formula>E26</formula>
    </cfRule>
  </conditionalFormatting>
  <conditionalFormatting sqref="H27">
    <cfRule type="cellIs" dxfId="0" priority="106" operator="equal">
      <formula>0</formula>
    </cfRule>
    <cfRule type="cellIs" dxfId="1" priority="107" operator="lessThan">
      <formula>E27</formula>
    </cfRule>
  </conditionalFormatting>
  <conditionalFormatting sqref="H28">
    <cfRule type="cellIs" dxfId="0" priority="115" operator="equal">
      <formula>0</formula>
    </cfRule>
    <cfRule type="cellIs" dxfId="1" priority="116" operator="lessThan">
      <formula>E28</formula>
    </cfRule>
  </conditionalFormatting>
  <conditionalFormatting sqref="H30">
    <cfRule type="cellIs" dxfId="0" priority="124" operator="equal">
      <formula>0</formula>
    </cfRule>
    <cfRule type="cellIs" dxfId="1" priority="125" operator="lessThan">
      <formula>E30</formula>
    </cfRule>
  </conditionalFormatting>
  <conditionalFormatting sqref="H31">
    <cfRule type="cellIs" dxfId="0" priority="133" operator="equal">
      <formula>0</formula>
    </cfRule>
    <cfRule type="cellIs" dxfId="1" priority="134" operator="lessThan">
      <formula>E31</formula>
    </cfRule>
  </conditionalFormatting>
  <conditionalFormatting sqref="H33">
    <cfRule type="cellIs" dxfId="0" priority="142" operator="equal">
      <formula>0</formula>
    </cfRule>
    <cfRule type="cellIs" dxfId="1" priority="143" operator="lessThan">
      <formula>E33</formula>
    </cfRule>
  </conditionalFormatting>
  <conditionalFormatting sqref="H34">
    <cfRule type="cellIs" dxfId="0" priority="151" operator="equal">
      <formula>0</formula>
    </cfRule>
    <cfRule type="cellIs" dxfId="1" priority="152" operator="lessThan">
      <formula>E34</formula>
    </cfRule>
  </conditionalFormatting>
  <conditionalFormatting sqref="H35">
    <cfRule type="cellIs" dxfId="0" priority="156" operator="equal">
      <formula>0</formula>
    </cfRule>
    <cfRule type="cellIs" dxfId="1" priority="157" operator="lessThan">
      <formula>E35</formula>
    </cfRule>
  </conditionalFormatting>
  <conditionalFormatting sqref="H8">
    <cfRule type="cellIs" dxfId="0" priority="1" operator="equal">
      <formula>0</formula>
    </cfRule>
    <cfRule type="cellIs" dxfId="1" priority="2" operator="lessThan">
      <formula>E8</formula>
    </cfRule>
  </conditionalFormatting>
  <conditionalFormatting sqref="I10">
    <cfRule type="cellIs" dxfId="0" priority="8" operator="greaterThan">
      <formula>H10</formula>
    </cfRule>
  </conditionalFormatting>
  <conditionalFormatting sqref="I11">
    <cfRule type="expression" dxfId="3" priority="13">
      <formula>AND(I11&gt;0,MOD(I11,K11)&lt;&gt;0)</formula>
    </cfRule>
    <cfRule type="cellIs" dxfId="0" priority="14" operator="greaterThan">
      <formula>H11</formula>
    </cfRule>
  </conditionalFormatting>
  <conditionalFormatting sqref="I12">
    <cfRule type="expression" dxfId="3" priority="22">
      <formula>AND(I12&gt;0,MOD(I12,K12)&lt;&gt;0)</formula>
    </cfRule>
    <cfRule type="cellIs" dxfId="0" priority="23" operator="greaterThan">
      <formula>H12</formula>
    </cfRule>
  </conditionalFormatting>
  <conditionalFormatting sqref="I13">
    <cfRule type="expression" dxfId="3" priority="31">
      <formula>AND(I13&gt;0,MOD(I13,K13)&lt;&gt;0)</formula>
    </cfRule>
    <cfRule type="cellIs" dxfId="0" priority="32" operator="greaterThan">
      <formula>H13</formula>
    </cfRule>
  </conditionalFormatting>
  <conditionalFormatting sqref="I15">
    <cfRule type="cellIs" dxfId="0" priority="40" operator="greaterThan">
      <formula>H15</formula>
    </cfRule>
  </conditionalFormatting>
  <conditionalFormatting sqref="I18">
    <cfRule type="expression" dxfId="3" priority="45">
      <formula>AND(I18&gt;0,MOD(I18,K18)&lt;&gt;0)</formula>
    </cfRule>
    <cfRule type="cellIs" dxfId="0" priority="46" operator="greaterThan">
      <formula>H18</formula>
    </cfRule>
  </conditionalFormatting>
  <conditionalFormatting sqref="I20">
    <cfRule type="expression" dxfId="3" priority="54">
      <formula>AND(I20&gt;0,MOD(I20,K20)&lt;&gt;0)</formula>
    </cfRule>
    <cfRule type="cellIs" dxfId="0" priority="55" operator="greaterThan">
      <formula>H20</formula>
    </cfRule>
  </conditionalFormatting>
  <conditionalFormatting sqref="I21">
    <cfRule type="expression" dxfId="3" priority="63">
      <formula>AND(I21&gt;0,MOD(I21,K21)&lt;&gt;0)</formula>
    </cfRule>
    <cfRule type="cellIs" dxfId="0" priority="64" operator="greaterThan">
      <formula>H21</formula>
    </cfRule>
  </conditionalFormatting>
  <conditionalFormatting sqref="I22">
    <cfRule type="expression" dxfId="3" priority="72">
      <formula>AND(I22&gt;0,MOD(I22,K22)&lt;&gt;0)</formula>
    </cfRule>
    <cfRule type="cellIs" dxfId="0" priority="73" operator="greaterThan">
      <formula>H22</formula>
    </cfRule>
  </conditionalFormatting>
  <conditionalFormatting sqref="I24">
    <cfRule type="expression" dxfId="3" priority="81">
      <formula>AND(I24&gt;0,MOD(I24,K24)&lt;&gt;0)</formula>
    </cfRule>
    <cfRule type="cellIs" dxfId="0" priority="82" operator="greaterThan">
      <formula>H24</formula>
    </cfRule>
  </conditionalFormatting>
  <conditionalFormatting sqref="I25">
    <cfRule type="expression" dxfId="3" priority="90">
      <formula>AND(I25&gt;0,MOD(I25,K25)&lt;&gt;0)</formula>
    </cfRule>
    <cfRule type="cellIs" dxfId="0" priority="91" operator="greaterThan">
      <formula>H25</formula>
    </cfRule>
  </conditionalFormatting>
  <conditionalFormatting sqref="I26">
    <cfRule type="expression" dxfId="3" priority="99">
      <formula>AND(I26&gt;0,MOD(I26,K26)&lt;&gt;0)</formula>
    </cfRule>
    <cfRule type="cellIs" dxfId="0" priority="100" operator="greaterThan">
      <formula>H26</formula>
    </cfRule>
  </conditionalFormatting>
  <conditionalFormatting sqref="I27">
    <cfRule type="expression" dxfId="3" priority="108">
      <formula>AND(I27&gt;0,MOD(I27,K27)&lt;&gt;0)</formula>
    </cfRule>
    <cfRule type="cellIs" dxfId="0" priority="109" operator="greaterThan">
      <formula>H27</formula>
    </cfRule>
  </conditionalFormatting>
  <conditionalFormatting sqref="I28">
    <cfRule type="expression" dxfId="3" priority="117">
      <formula>AND(I28&gt;0,MOD(I28,K28)&lt;&gt;0)</formula>
    </cfRule>
    <cfRule type="cellIs" dxfId="0" priority="118" operator="greaterThan">
      <formula>H28</formula>
    </cfRule>
  </conditionalFormatting>
  <conditionalFormatting sqref="I30">
    <cfRule type="expression" dxfId="3" priority="126">
      <formula>AND(I30&gt;0,MOD(I30,K30)&lt;&gt;0)</formula>
    </cfRule>
    <cfRule type="cellIs" dxfId="0" priority="127" operator="greaterThan">
      <formula>H30</formula>
    </cfRule>
  </conditionalFormatting>
  <conditionalFormatting sqref="I31">
    <cfRule type="expression" dxfId="3" priority="135">
      <formula>AND(I31&gt;0,MOD(I31,K31)&lt;&gt;0)</formula>
    </cfRule>
    <cfRule type="cellIs" dxfId="0" priority="136" operator="greaterThan">
      <formula>H31</formula>
    </cfRule>
  </conditionalFormatting>
  <conditionalFormatting sqref="I33">
    <cfRule type="expression" dxfId="3" priority="144">
      <formula>AND(I33&gt;0,MOD(I33,K33)&lt;&gt;0)</formula>
    </cfRule>
    <cfRule type="cellIs" dxfId="0" priority="145" operator="greaterThan">
      <formula>H33</formula>
    </cfRule>
  </conditionalFormatting>
  <conditionalFormatting sqref="I34">
    <cfRule type="cellIs" dxfId="0" priority="153" operator="greaterThan">
      <formula>H34</formula>
    </cfRule>
  </conditionalFormatting>
  <conditionalFormatting sqref="I35">
    <cfRule type="expression" dxfId="3" priority="158">
      <formula>AND(I35&gt;0,MOD(I35,K35)&lt;&gt;0)</formula>
    </cfRule>
    <cfRule type="cellIs" dxfId="0" priority="159" operator="greaterThan">
      <formula>H35</formula>
    </cfRule>
  </conditionalFormatting>
  <conditionalFormatting sqref="I8">
    <cfRule type="cellIs" dxfId="0" priority="3" operator="greaterThan">
      <formula>H8</formula>
    </cfRule>
  </conditionalFormatting>
  <conditionalFormatting sqref="J10">
    <cfRule type="cellIs" dxfId="2" priority="10" operator="lessThanOrEqual">
      <formula>F10</formula>
    </cfRule>
  </conditionalFormatting>
  <conditionalFormatting sqref="J11">
    <cfRule type="cellIs" dxfId="2" priority="16" operator="lessThanOrEqual">
      <formula>F11</formula>
    </cfRule>
    <cfRule type="expression" dxfId="3" priority="17">
      <formula>AND(E11&lt;9000,I11&lt;9000)</formula>
    </cfRule>
  </conditionalFormatting>
  <conditionalFormatting sqref="J12">
    <cfRule type="cellIs" dxfId="2" priority="25" operator="lessThanOrEqual">
      <formula>F12</formula>
    </cfRule>
    <cfRule type="expression" dxfId="3" priority="26">
      <formula>AND(E12&lt;3000,I12&lt;3000)</formula>
    </cfRule>
  </conditionalFormatting>
  <conditionalFormatting sqref="J13">
    <cfRule type="cellIs" dxfId="2" priority="34" operator="lessThanOrEqual">
      <formula>F13</formula>
    </cfRule>
    <cfRule type="expression" dxfId="3" priority="35">
      <formula>AND(E13&lt;1500,I13&lt;1500)</formula>
    </cfRule>
  </conditionalFormatting>
  <conditionalFormatting sqref="J15">
    <cfRule type="cellIs" dxfId="2" priority="42" operator="lessThanOrEqual">
      <formula>F15</formula>
    </cfRule>
  </conditionalFormatting>
  <conditionalFormatting sqref="J18">
    <cfRule type="cellIs" dxfId="2" priority="48" operator="lessThanOrEqual">
      <formula>F18</formula>
    </cfRule>
    <cfRule type="expression" dxfId="3" priority="49">
      <formula>AND(E18&lt;2500,I18&lt;2500)</formula>
    </cfRule>
  </conditionalFormatting>
  <conditionalFormatting sqref="J20">
    <cfRule type="cellIs" dxfId="2" priority="57" operator="lessThanOrEqual">
      <formula>F20</formula>
    </cfRule>
    <cfRule type="expression" dxfId="3" priority="58">
      <formula>AND(E20&lt;5000,I20&lt;5000)</formula>
    </cfRule>
  </conditionalFormatting>
  <conditionalFormatting sqref="J21">
    <cfRule type="cellIs" dxfId="2" priority="66" operator="lessThanOrEqual">
      <formula>F21</formula>
    </cfRule>
    <cfRule type="expression" dxfId="3" priority="67">
      <formula>AND(E21&lt;5000,I21&lt;5000)</formula>
    </cfRule>
  </conditionalFormatting>
  <conditionalFormatting sqref="J22">
    <cfRule type="cellIs" dxfId="2" priority="75" operator="lessThanOrEqual">
      <formula>F22</formula>
    </cfRule>
    <cfRule type="expression" dxfId="3" priority="76">
      <formula>AND(E22&lt;5000,I22&lt;5000)</formula>
    </cfRule>
  </conditionalFormatting>
  <conditionalFormatting sqref="J24">
    <cfRule type="cellIs" dxfId="2" priority="84" operator="lessThanOrEqual">
      <formula>F24</formula>
    </cfRule>
    <cfRule type="expression" dxfId="3" priority="85">
      <formula>AND(E24&lt;25000,I24&lt;25000)</formula>
    </cfRule>
  </conditionalFormatting>
  <conditionalFormatting sqref="J25">
    <cfRule type="cellIs" dxfId="2" priority="93" operator="lessThanOrEqual">
      <formula>F25</formula>
    </cfRule>
    <cfRule type="expression" dxfId="3" priority="94">
      <formula>AND(E25&lt;5000,I25&lt;5000)</formula>
    </cfRule>
  </conditionalFormatting>
  <conditionalFormatting sqref="J26">
    <cfRule type="cellIs" dxfId="2" priority="102" operator="lessThanOrEqual">
      <formula>F26</formula>
    </cfRule>
    <cfRule type="expression" dxfId="3" priority="103">
      <formula>AND(E26&lt;5000,I26&lt;5000)</formula>
    </cfRule>
  </conditionalFormatting>
  <conditionalFormatting sqref="J27">
    <cfRule type="cellIs" dxfId="2" priority="111" operator="lessThanOrEqual">
      <formula>F27</formula>
    </cfRule>
    <cfRule type="expression" dxfId="3" priority="112">
      <formula>AND(E27&lt;5000,I27&lt;5000)</formula>
    </cfRule>
  </conditionalFormatting>
  <conditionalFormatting sqref="J28">
    <cfRule type="cellIs" dxfId="2" priority="120" operator="lessThanOrEqual">
      <formula>F28</formula>
    </cfRule>
    <cfRule type="expression" dxfId="3" priority="121">
      <formula>AND(E28&lt;5000,I28&lt;5000)</formula>
    </cfRule>
  </conditionalFormatting>
  <conditionalFormatting sqref="J30">
    <cfRule type="cellIs" dxfId="2" priority="129" operator="lessThanOrEqual">
      <formula>F30</formula>
    </cfRule>
    <cfRule type="expression" dxfId="3" priority="130">
      <formula>AND(E30&lt;5000,I30&lt;5000)</formula>
    </cfRule>
  </conditionalFormatting>
  <conditionalFormatting sqref="J31">
    <cfRule type="cellIs" dxfId="2" priority="138" operator="lessThanOrEqual">
      <formula>F31</formula>
    </cfRule>
    <cfRule type="expression" dxfId="3" priority="139">
      <formula>AND(E31&lt;3000,I31&lt;3000)</formula>
    </cfRule>
  </conditionalFormatting>
  <conditionalFormatting sqref="J33">
    <cfRule type="cellIs" dxfId="2" priority="147" operator="lessThanOrEqual">
      <formula>F33</formula>
    </cfRule>
    <cfRule type="expression" dxfId="3" priority="148">
      <formula>AND(E33&lt;1000,I33&lt;1000)</formula>
    </cfRule>
  </conditionalFormatting>
  <conditionalFormatting sqref="J34">
    <cfRule type="cellIs" dxfId="2" priority="155" operator="lessThanOrEqual">
      <formula>F34</formula>
    </cfRule>
  </conditionalFormatting>
  <conditionalFormatting sqref="J35">
    <cfRule type="cellIs" dxfId="2" priority="161" operator="lessThanOrEqual">
      <formula>F35</formula>
    </cfRule>
  </conditionalFormatting>
  <conditionalFormatting sqref="J8">
    <cfRule type="cellIs" dxfId="2" priority="5" operator="lessThanOrEqual">
      <formula>F8</formula>
    </cfRule>
  </conditionalFormatting>
  <conditionalFormatting sqref="K11">
    <cfRule type="expression" dxfId="3" priority="18">
      <formula>AND(E11&lt;9000,I11&lt;9000)</formula>
    </cfRule>
  </conditionalFormatting>
  <conditionalFormatting sqref="K12">
    <cfRule type="expression" dxfId="3" priority="27">
      <formula>AND(E12&lt;3000,I12&lt;3000)</formula>
    </cfRule>
  </conditionalFormatting>
  <conditionalFormatting sqref="K13">
    <cfRule type="expression" dxfId="3" priority="36">
      <formula>AND(E13&lt;1500,I13&lt;1500)</formula>
    </cfRule>
  </conditionalFormatting>
  <conditionalFormatting sqref="K18">
    <cfRule type="expression" dxfId="3" priority="50">
      <formula>AND(E18&lt;2500,I18&lt;2500)</formula>
    </cfRule>
  </conditionalFormatting>
  <conditionalFormatting sqref="K20">
    <cfRule type="expression" dxfId="3" priority="59">
      <formula>AND(E20&lt;5000,I20&lt;5000)</formula>
    </cfRule>
  </conditionalFormatting>
  <conditionalFormatting sqref="K21">
    <cfRule type="expression" dxfId="3" priority="68">
      <formula>AND(E21&lt;5000,I21&lt;5000)</formula>
    </cfRule>
  </conditionalFormatting>
  <conditionalFormatting sqref="K22">
    <cfRule type="expression" dxfId="3" priority="77">
      <formula>AND(E22&lt;5000,I22&lt;5000)</formula>
    </cfRule>
  </conditionalFormatting>
  <conditionalFormatting sqref="K24">
    <cfRule type="expression" dxfId="3" priority="86">
      <formula>AND(E24&lt;25000,I24&lt;25000)</formula>
    </cfRule>
  </conditionalFormatting>
  <conditionalFormatting sqref="K25">
    <cfRule type="expression" dxfId="3" priority="95">
      <formula>AND(E25&lt;5000,I25&lt;5000)</formula>
    </cfRule>
  </conditionalFormatting>
  <conditionalFormatting sqref="K26">
    <cfRule type="expression" dxfId="3" priority="104">
      <formula>AND(E26&lt;5000,I26&lt;5000)</formula>
    </cfRule>
  </conditionalFormatting>
  <conditionalFormatting sqref="K27">
    <cfRule type="expression" dxfId="3" priority="113">
      <formula>AND(E27&lt;5000,I27&lt;5000)</formula>
    </cfRule>
  </conditionalFormatting>
  <conditionalFormatting sqref="K28">
    <cfRule type="expression" dxfId="3" priority="122">
      <formula>AND(E28&lt;5000,I28&lt;5000)</formula>
    </cfRule>
  </conditionalFormatting>
  <conditionalFormatting sqref="K30">
    <cfRule type="expression" dxfId="3" priority="131">
      <formula>AND(E30&lt;5000,I30&lt;5000)</formula>
    </cfRule>
  </conditionalFormatting>
  <conditionalFormatting sqref="K31">
    <cfRule type="expression" dxfId="3" priority="140">
      <formula>AND(E31&lt;3000,I31&lt;3000)</formula>
    </cfRule>
  </conditionalFormatting>
  <conditionalFormatting sqref="K33">
    <cfRule type="expression" dxfId="3" priority="149">
      <formula>AND(E33&lt;1000,I33&lt;1000)</formula>
    </cfRule>
  </conditionalFormatting>
  <conditionalFormatting sqref="L10">
    <cfRule type="cellIs" dxfId="2" priority="9" operator="lessThanOrEqual">
      <formula>G10</formula>
    </cfRule>
  </conditionalFormatting>
  <conditionalFormatting sqref="L11">
    <cfRule type="cellIs" dxfId="2" priority="15" operator="lessThanOrEqual">
      <formula>G11</formula>
    </cfRule>
    <cfRule type="expression" dxfId="3" priority="19">
      <formula>AND(E11&lt;9000,I11&lt;9000)</formula>
    </cfRule>
  </conditionalFormatting>
  <conditionalFormatting sqref="L12">
    <cfRule type="cellIs" dxfId="2" priority="24" operator="lessThanOrEqual">
      <formula>G12</formula>
    </cfRule>
    <cfRule type="expression" dxfId="3" priority="28">
      <formula>AND(E12&lt;3000,I12&lt;3000)</formula>
    </cfRule>
  </conditionalFormatting>
  <conditionalFormatting sqref="L13">
    <cfRule type="cellIs" dxfId="2" priority="33" operator="lessThanOrEqual">
      <formula>G13</formula>
    </cfRule>
    <cfRule type="expression" dxfId="3" priority="37">
      <formula>AND(E13&lt;1500,I13&lt;1500)</formula>
    </cfRule>
  </conditionalFormatting>
  <conditionalFormatting sqref="L15">
    <cfRule type="cellIs" dxfId="2" priority="41" operator="lessThanOrEqual">
      <formula>G15</formula>
    </cfRule>
  </conditionalFormatting>
  <conditionalFormatting sqref="L18">
    <cfRule type="cellIs" dxfId="2" priority="47" operator="lessThanOrEqual">
      <formula>G18</formula>
    </cfRule>
    <cfRule type="expression" dxfId="3" priority="51">
      <formula>AND(E18&lt;2500,I18&lt;2500)</formula>
    </cfRule>
  </conditionalFormatting>
  <conditionalFormatting sqref="L20">
    <cfRule type="cellIs" dxfId="2" priority="56" operator="lessThanOrEqual">
      <formula>G20</formula>
    </cfRule>
    <cfRule type="expression" dxfId="3" priority="60">
      <formula>AND(E20&lt;5000,I20&lt;5000)</formula>
    </cfRule>
  </conditionalFormatting>
  <conditionalFormatting sqref="L21">
    <cfRule type="cellIs" dxfId="2" priority="65" operator="lessThanOrEqual">
      <formula>G21</formula>
    </cfRule>
    <cfRule type="expression" dxfId="3" priority="69">
      <formula>AND(E21&lt;5000,I21&lt;5000)</formula>
    </cfRule>
  </conditionalFormatting>
  <conditionalFormatting sqref="L22">
    <cfRule type="cellIs" dxfId="2" priority="74" operator="lessThanOrEqual">
      <formula>G22</formula>
    </cfRule>
    <cfRule type="expression" dxfId="3" priority="78">
      <formula>AND(E22&lt;5000,I22&lt;5000)</formula>
    </cfRule>
  </conditionalFormatting>
  <conditionalFormatting sqref="L24">
    <cfRule type="cellIs" dxfId="2" priority="83" operator="lessThanOrEqual">
      <formula>G24</formula>
    </cfRule>
    <cfRule type="expression" dxfId="3" priority="87">
      <formula>AND(E24&lt;25000,I24&lt;25000)</formula>
    </cfRule>
  </conditionalFormatting>
  <conditionalFormatting sqref="L25">
    <cfRule type="cellIs" dxfId="2" priority="92" operator="lessThanOrEqual">
      <formula>G25</formula>
    </cfRule>
    <cfRule type="expression" dxfId="3" priority="96">
      <formula>AND(E25&lt;5000,I25&lt;5000)</formula>
    </cfRule>
  </conditionalFormatting>
  <conditionalFormatting sqref="L26">
    <cfRule type="cellIs" dxfId="2" priority="101" operator="lessThanOrEqual">
      <formula>G26</formula>
    </cfRule>
    <cfRule type="expression" dxfId="3" priority="105">
      <formula>AND(E26&lt;5000,I26&lt;5000)</formula>
    </cfRule>
  </conditionalFormatting>
  <conditionalFormatting sqref="L27">
    <cfRule type="cellIs" dxfId="2" priority="110" operator="lessThanOrEqual">
      <formula>G27</formula>
    </cfRule>
    <cfRule type="expression" dxfId="3" priority="114">
      <formula>AND(E27&lt;5000,I27&lt;5000)</formula>
    </cfRule>
  </conditionalFormatting>
  <conditionalFormatting sqref="L28">
    <cfRule type="cellIs" dxfId="2" priority="119" operator="lessThanOrEqual">
      <formula>G28</formula>
    </cfRule>
    <cfRule type="expression" dxfId="3" priority="123">
      <formula>AND(E28&lt;5000,I28&lt;5000)</formula>
    </cfRule>
  </conditionalFormatting>
  <conditionalFormatting sqref="L30">
    <cfRule type="cellIs" dxfId="2" priority="128" operator="lessThanOrEqual">
      <formula>G30</formula>
    </cfRule>
    <cfRule type="expression" dxfId="3" priority="132">
      <formula>AND(E30&lt;5000,I30&lt;5000)</formula>
    </cfRule>
  </conditionalFormatting>
  <conditionalFormatting sqref="L31">
    <cfRule type="cellIs" dxfId="2" priority="137" operator="lessThanOrEqual">
      <formula>G31</formula>
    </cfRule>
    <cfRule type="expression" dxfId="3" priority="141">
      <formula>AND(E31&lt;3000,I31&lt;3000)</formula>
    </cfRule>
  </conditionalFormatting>
  <conditionalFormatting sqref="L33">
    <cfRule type="cellIs" dxfId="2" priority="146" operator="lessThanOrEqual">
      <formula>G33</formula>
    </cfRule>
    <cfRule type="expression" dxfId="3" priority="150">
      <formula>AND(E33&lt;1000,I33&lt;1000)</formula>
    </cfRule>
  </conditionalFormatting>
  <conditionalFormatting sqref="L34">
    <cfRule type="cellIs" dxfId="2" priority="154" operator="lessThanOrEqual">
      <formula>G34</formula>
    </cfRule>
  </conditionalFormatting>
  <conditionalFormatting sqref="L35">
    <cfRule type="cellIs" dxfId="2" priority="160" operator="lessThanOrEqual">
      <formula>G35</formula>
    </cfRule>
  </conditionalFormatting>
  <conditionalFormatting sqref="L8">
    <cfRule type="cellIs" dxfId="2" priority="4" operator="lessThanOrEqual">
      <formula>G8</formula>
    </cfRule>
  </conditionalFormatting>
  <conditionalFormatting sqref="N10">
    <cfRule type="cellIs" dxfId="0" priority="177" operator="equal">
      <formula>0</formula>
    </cfRule>
    <cfRule type="cellIs" dxfId="1" priority="178" operator="lessThan">
      <formula>E10</formula>
    </cfRule>
  </conditionalFormatting>
  <conditionalFormatting sqref="N11">
    <cfRule type="cellIs" dxfId="0" priority="182" operator="equal">
      <formula>0</formula>
    </cfRule>
    <cfRule type="cellIs" dxfId="1" priority="183" operator="lessThan">
      <formula>E11</formula>
    </cfRule>
  </conditionalFormatting>
  <conditionalFormatting sqref="N12">
    <cfRule type="cellIs" dxfId="0" priority="187" operator="equal">
      <formula>0</formula>
    </cfRule>
    <cfRule type="cellIs" dxfId="1" priority="188" operator="lessThan">
      <formula>E12</formula>
    </cfRule>
  </conditionalFormatting>
  <conditionalFormatting sqref="N13">
    <cfRule type="cellIs" dxfId="0" priority="192" operator="equal">
      <formula>0</formula>
    </cfRule>
    <cfRule type="cellIs" dxfId="1" priority="193" operator="lessThan">
      <formula>E13</formula>
    </cfRule>
  </conditionalFormatting>
  <conditionalFormatting sqref="N15">
    <cfRule type="cellIs" dxfId="0" priority="201" operator="equal">
      <formula>0</formula>
    </cfRule>
    <cfRule type="cellIs" dxfId="1" priority="202" operator="lessThan">
      <formula>E15</formula>
    </cfRule>
  </conditionalFormatting>
  <conditionalFormatting sqref="N16">
    <cfRule type="cellIs" dxfId="0" priority="206" operator="equal">
      <formula>0</formula>
    </cfRule>
    <cfRule type="cellIs" dxfId="1" priority="207" operator="lessThan">
      <formula>E16</formula>
    </cfRule>
  </conditionalFormatting>
  <conditionalFormatting sqref="N17">
    <cfRule type="cellIs" dxfId="0" priority="211" operator="equal">
      <formula>0</formula>
    </cfRule>
    <cfRule type="cellIs" dxfId="1" priority="212" operator="lessThan">
      <formula>E17</formula>
    </cfRule>
  </conditionalFormatting>
  <conditionalFormatting sqref="N18">
    <cfRule type="cellIs" dxfId="0" priority="216" operator="equal">
      <formula>0</formula>
    </cfRule>
    <cfRule type="cellIs" dxfId="1" priority="217" operator="lessThan">
      <formula>E18</formula>
    </cfRule>
  </conditionalFormatting>
  <conditionalFormatting sqref="N19">
    <cfRule type="cellIs" dxfId="0" priority="221" operator="equal">
      <formula>0</formula>
    </cfRule>
    <cfRule type="cellIs" dxfId="1" priority="222" operator="lessThan">
      <formula>E19</formula>
    </cfRule>
  </conditionalFormatting>
  <conditionalFormatting sqref="N20">
    <cfRule type="cellIs" dxfId="0" priority="226" operator="equal">
      <formula>0</formula>
    </cfRule>
    <cfRule type="cellIs" dxfId="1" priority="227" operator="lessThan">
      <formula>E20</formula>
    </cfRule>
  </conditionalFormatting>
  <conditionalFormatting sqref="N21">
    <cfRule type="cellIs" dxfId="0" priority="231" operator="equal">
      <formula>0</formula>
    </cfRule>
    <cfRule type="cellIs" dxfId="1" priority="232" operator="lessThan">
      <formula>E21</formula>
    </cfRule>
  </conditionalFormatting>
  <conditionalFormatting sqref="N22">
    <cfRule type="cellIs" dxfId="0" priority="236" operator="equal">
      <formula>0</formula>
    </cfRule>
    <cfRule type="cellIs" dxfId="1" priority="237" operator="lessThan">
      <formula>E22</formula>
    </cfRule>
  </conditionalFormatting>
  <conditionalFormatting sqref="N23">
    <cfRule type="cellIs" dxfId="0" priority="241" operator="equal">
      <formula>0</formula>
    </cfRule>
    <cfRule type="cellIs" dxfId="1" priority="242" operator="lessThan">
      <formula>E23</formula>
    </cfRule>
  </conditionalFormatting>
  <conditionalFormatting sqref="N24">
    <cfRule type="cellIs" dxfId="0" priority="250" operator="equal">
      <formula>0</formula>
    </cfRule>
    <cfRule type="cellIs" dxfId="1" priority="251" operator="lessThan">
      <formula>E24</formula>
    </cfRule>
  </conditionalFormatting>
  <conditionalFormatting sqref="N25">
    <cfRule type="cellIs" dxfId="0" priority="259" operator="equal">
      <formula>0</formula>
    </cfRule>
    <cfRule type="cellIs" dxfId="1" priority="260" operator="lessThan">
      <formula>E25</formula>
    </cfRule>
  </conditionalFormatting>
  <conditionalFormatting sqref="N26">
    <cfRule type="cellIs" dxfId="0" priority="264" operator="equal">
      <formula>0</formula>
    </cfRule>
    <cfRule type="cellIs" dxfId="1" priority="265" operator="lessThan">
      <formula>E26</formula>
    </cfRule>
  </conditionalFormatting>
  <conditionalFormatting sqref="N28">
    <cfRule type="cellIs" dxfId="0" priority="269" operator="equal">
      <formula>0</formula>
    </cfRule>
    <cfRule type="cellIs" dxfId="1" priority="270" operator="lessThan">
      <formula>E28</formula>
    </cfRule>
  </conditionalFormatting>
  <conditionalFormatting sqref="N29">
    <cfRule type="cellIs" dxfId="0" priority="278" operator="equal">
      <formula>0</formula>
    </cfRule>
    <cfRule type="cellIs" dxfId="1" priority="279" operator="lessThan">
      <formula>E29</formula>
    </cfRule>
  </conditionalFormatting>
  <conditionalFormatting sqref="N30">
    <cfRule type="cellIs" dxfId="0" priority="283" operator="equal">
      <formula>0</formula>
    </cfRule>
    <cfRule type="cellIs" dxfId="1" priority="284" operator="lessThan">
      <formula>E30</formula>
    </cfRule>
  </conditionalFormatting>
  <conditionalFormatting sqref="N31">
    <cfRule type="cellIs" dxfId="0" priority="288" operator="equal">
      <formula>0</formula>
    </cfRule>
    <cfRule type="cellIs" dxfId="1" priority="289" operator="lessThan">
      <formula>E31</formula>
    </cfRule>
  </conditionalFormatting>
  <conditionalFormatting sqref="N32">
    <cfRule type="cellIs" dxfId="0" priority="293" operator="equal">
      <formula>0</formula>
    </cfRule>
    <cfRule type="cellIs" dxfId="1" priority="294" operator="lessThan">
      <formula>E32</formula>
    </cfRule>
  </conditionalFormatting>
  <conditionalFormatting sqref="N33">
    <cfRule type="cellIs" dxfId="0" priority="298" operator="equal">
      <formula>0</formula>
    </cfRule>
    <cfRule type="cellIs" dxfId="1" priority="299" operator="lessThan">
      <formula>E33</formula>
    </cfRule>
  </conditionalFormatting>
  <conditionalFormatting sqref="N34">
    <cfRule type="cellIs" dxfId="0" priority="303" operator="equal">
      <formula>0</formula>
    </cfRule>
    <cfRule type="cellIs" dxfId="1" priority="304" operator="lessThan">
      <formula>E34</formula>
    </cfRule>
  </conditionalFormatting>
  <conditionalFormatting sqref="N35">
    <cfRule type="cellIs" dxfId="0" priority="308" operator="equal">
      <formula>0</formula>
    </cfRule>
    <cfRule type="cellIs" dxfId="1" priority="309" operator="lessThan">
      <formula>E35</formula>
    </cfRule>
  </conditionalFormatting>
  <conditionalFormatting sqref="N7">
    <cfRule type="cellIs" dxfId="0" priority="162" operator="equal">
      <formula>0</formula>
    </cfRule>
    <cfRule type="cellIs" dxfId="1" priority="163" operator="lessThan">
      <formula>E7</formula>
    </cfRule>
  </conditionalFormatting>
  <conditionalFormatting sqref="N8">
    <cfRule type="cellIs" dxfId="0" priority="167" operator="equal">
      <formula>0</formula>
    </cfRule>
    <cfRule type="cellIs" dxfId="1" priority="168" operator="lessThan">
      <formula>E8</formula>
    </cfRule>
  </conditionalFormatting>
  <conditionalFormatting sqref="N9">
    <cfRule type="cellIs" dxfId="0" priority="172" operator="equal">
      <formula>0</formula>
    </cfRule>
    <cfRule type="cellIs" dxfId="1" priority="173" operator="lessThan">
      <formula>E9</formula>
    </cfRule>
  </conditionalFormatting>
  <conditionalFormatting sqref="O10">
    <cfRule type="cellIs" dxfId="0" priority="179" operator="greaterThan">
      <formula>N10</formula>
    </cfRule>
  </conditionalFormatting>
  <conditionalFormatting sqref="O11">
    <cfRule type="cellIs" dxfId="0" priority="184" operator="greaterThan">
      <formula>N11</formula>
    </cfRule>
  </conditionalFormatting>
  <conditionalFormatting sqref="O12">
    <cfRule type="cellIs" dxfId="0" priority="189" operator="greaterThan">
      <formula>N12</formula>
    </cfRule>
  </conditionalFormatting>
  <conditionalFormatting sqref="O13">
    <cfRule type="expression" dxfId="3" priority="194">
      <formula>AND(O13&gt;0,MOD(O13,Q13)&lt;&gt;0)</formula>
    </cfRule>
    <cfRule type="cellIs" dxfId="0" priority="195" operator="greaterThan">
      <formula>N13</formula>
    </cfRule>
  </conditionalFormatting>
  <conditionalFormatting sqref="O15">
    <cfRule type="cellIs" dxfId="0" priority="203" operator="greaterThan">
      <formula>N15</formula>
    </cfRule>
  </conditionalFormatting>
  <conditionalFormatting sqref="O16">
    <cfRule type="cellIs" dxfId="0" priority="208" operator="greaterThan">
      <formula>N16</formula>
    </cfRule>
  </conditionalFormatting>
  <conditionalFormatting sqref="O17">
    <cfRule type="cellIs" dxfId="0" priority="213" operator="greaterThan">
      <formula>N17</formula>
    </cfRule>
  </conditionalFormatting>
  <conditionalFormatting sqref="O18">
    <cfRule type="cellIs" dxfId="0" priority="218" operator="greaterThan">
      <formula>N18</formula>
    </cfRule>
  </conditionalFormatting>
  <conditionalFormatting sqref="O19">
    <cfRule type="cellIs" dxfId="0" priority="223" operator="greaterThan">
      <formula>N19</formula>
    </cfRule>
  </conditionalFormatting>
  <conditionalFormatting sqref="O20">
    <cfRule type="cellIs" dxfId="0" priority="228" operator="greaterThan">
      <formula>N20</formula>
    </cfRule>
  </conditionalFormatting>
  <conditionalFormatting sqref="O21">
    <cfRule type="cellIs" dxfId="0" priority="233" operator="greaterThan">
      <formula>N21</formula>
    </cfRule>
  </conditionalFormatting>
  <conditionalFormatting sqref="O22">
    <cfRule type="cellIs" dxfId="0" priority="238" operator="greaterThan">
      <formula>N22</formula>
    </cfRule>
  </conditionalFormatting>
  <conditionalFormatting sqref="O23">
    <cfRule type="expression" dxfId="3" priority="243">
      <formula>AND(O23&gt;0,MOD(O23,Q23)&lt;&gt;0)</formula>
    </cfRule>
    <cfRule type="cellIs" dxfId="0" priority="244" operator="greaterThan">
      <formula>N23</formula>
    </cfRule>
  </conditionalFormatting>
  <conditionalFormatting sqref="O24">
    <cfRule type="expression" dxfId="3" priority="252">
      <formula>AND(O24&gt;0,MOD(O24,Q24)&lt;&gt;0)</formula>
    </cfRule>
    <cfRule type="cellIs" dxfId="0" priority="253" operator="greaterThan">
      <formula>N24</formula>
    </cfRule>
  </conditionalFormatting>
  <conditionalFormatting sqref="O25">
    <cfRule type="cellIs" dxfId="0" priority="261" operator="greaterThan">
      <formula>N25</formula>
    </cfRule>
  </conditionalFormatting>
  <conditionalFormatting sqref="O26">
    <cfRule type="cellIs" dxfId="0" priority="266" operator="greaterThan">
      <formula>N26</formula>
    </cfRule>
  </conditionalFormatting>
  <conditionalFormatting sqref="O28">
    <cfRule type="expression" dxfId="3" priority="271">
      <formula>AND(O28&gt;0,MOD(O28,Q28)&lt;&gt;0)</formula>
    </cfRule>
    <cfRule type="cellIs" dxfId="0" priority="272" operator="greaterThan">
      <formula>N28</formula>
    </cfRule>
  </conditionalFormatting>
  <conditionalFormatting sqref="O29">
    <cfRule type="cellIs" dxfId="0" priority="280" operator="greaterThan">
      <formula>N29</formula>
    </cfRule>
  </conditionalFormatting>
  <conditionalFormatting sqref="O30">
    <cfRule type="cellIs" dxfId="0" priority="285" operator="greaterThan">
      <formula>N30</formula>
    </cfRule>
  </conditionalFormatting>
  <conditionalFormatting sqref="O31">
    <cfRule type="cellIs" dxfId="0" priority="290" operator="greaterThan">
      <formula>N31</formula>
    </cfRule>
  </conditionalFormatting>
  <conditionalFormatting sqref="O32">
    <cfRule type="cellIs" dxfId="0" priority="295" operator="greaterThan">
      <formula>N32</formula>
    </cfRule>
  </conditionalFormatting>
  <conditionalFormatting sqref="O33">
    <cfRule type="cellIs" dxfId="0" priority="300" operator="greaterThan">
      <formula>N33</formula>
    </cfRule>
  </conditionalFormatting>
  <conditionalFormatting sqref="O34">
    <cfRule type="cellIs" dxfId="0" priority="305" operator="greaterThan">
      <formula>N34</formula>
    </cfRule>
  </conditionalFormatting>
  <conditionalFormatting sqref="O35">
    <cfRule type="cellIs" dxfId="0" priority="310" operator="greaterThan">
      <formula>N35</formula>
    </cfRule>
  </conditionalFormatting>
  <conditionalFormatting sqref="O7">
    <cfRule type="cellIs" dxfId="0" priority="164" operator="greaterThan">
      <formula>N7</formula>
    </cfRule>
  </conditionalFormatting>
  <conditionalFormatting sqref="O8">
    <cfRule type="cellIs" dxfId="0" priority="169" operator="greaterThan">
      <formula>N8</formula>
    </cfRule>
  </conditionalFormatting>
  <conditionalFormatting sqref="O9">
    <cfRule type="cellIs" dxfId="0" priority="174" operator="greaterThan">
      <formula>N9</formula>
    </cfRule>
  </conditionalFormatting>
  <conditionalFormatting sqref="P10">
    <cfRule type="cellIs" dxfId="2" priority="181" operator="lessThanOrEqual">
      <formula>F10</formula>
    </cfRule>
  </conditionalFormatting>
  <conditionalFormatting sqref="P11">
    <cfRule type="cellIs" dxfId="2" priority="186" operator="lessThanOrEqual">
      <formula>F11</formula>
    </cfRule>
  </conditionalFormatting>
  <conditionalFormatting sqref="P12">
    <cfRule type="cellIs" dxfId="2" priority="191" operator="lessThanOrEqual">
      <formula>F12</formula>
    </cfRule>
  </conditionalFormatting>
  <conditionalFormatting sqref="P13">
    <cfRule type="cellIs" dxfId="2" priority="197" operator="lessThanOrEqual">
      <formula>F13</formula>
    </cfRule>
    <cfRule type="expression" dxfId="3" priority="198">
      <formula>AND(E13&lt;1500,O13&lt;1500)</formula>
    </cfRule>
  </conditionalFormatting>
  <conditionalFormatting sqref="P15">
    <cfRule type="cellIs" dxfId="2" priority="205" operator="lessThanOrEqual">
      <formula>F15</formula>
    </cfRule>
  </conditionalFormatting>
  <conditionalFormatting sqref="P16">
    <cfRule type="cellIs" dxfId="2" priority="210" operator="lessThanOrEqual">
      <formula>F16</formula>
    </cfRule>
  </conditionalFormatting>
  <conditionalFormatting sqref="P17">
    <cfRule type="cellIs" dxfId="2" priority="215" operator="lessThanOrEqual">
      <formula>F17</formula>
    </cfRule>
  </conditionalFormatting>
  <conditionalFormatting sqref="P18">
    <cfRule type="cellIs" dxfId="2" priority="220" operator="lessThanOrEqual">
      <formula>F18</formula>
    </cfRule>
  </conditionalFormatting>
  <conditionalFormatting sqref="P19">
    <cfRule type="cellIs" dxfId="2" priority="225" operator="lessThanOrEqual">
      <formula>F19</formula>
    </cfRule>
  </conditionalFormatting>
  <conditionalFormatting sqref="P20">
    <cfRule type="cellIs" dxfId="2" priority="230" operator="lessThanOrEqual">
      <formula>F20</formula>
    </cfRule>
  </conditionalFormatting>
  <conditionalFormatting sqref="P21">
    <cfRule type="cellIs" dxfId="2" priority="235" operator="lessThanOrEqual">
      <formula>F21</formula>
    </cfRule>
  </conditionalFormatting>
  <conditionalFormatting sqref="P22">
    <cfRule type="cellIs" dxfId="2" priority="240" operator="lessThanOrEqual">
      <formula>F22</formula>
    </cfRule>
  </conditionalFormatting>
  <conditionalFormatting sqref="P23">
    <cfRule type="cellIs" dxfId="2" priority="246" operator="lessThanOrEqual">
      <formula>F23</formula>
    </cfRule>
    <cfRule type="expression" dxfId="3" priority="247">
      <formula>AND(E23&lt;5000,O23&lt;5000)</formula>
    </cfRule>
  </conditionalFormatting>
  <conditionalFormatting sqref="P24">
    <cfRule type="cellIs" dxfId="2" priority="255" operator="lessThanOrEqual">
      <formula>F24</formula>
    </cfRule>
    <cfRule type="expression" dxfId="3" priority="256">
      <formula>AND(E24&lt;25000,O24&lt;25000)</formula>
    </cfRule>
  </conditionalFormatting>
  <conditionalFormatting sqref="P25">
    <cfRule type="cellIs" dxfId="2" priority="263" operator="lessThanOrEqual">
      <formula>F25</formula>
    </cfRule>
  </conditionalFormatting>
  <conditionalFormatting sqref="P26">
    <cfRule type="cellIs" dxfId="2" priority="268" operator="lessThanOrEqual">
      <formula>F26</formula>
    </cfRule>
  </conditionalFormatting>
  <conditionalFormatting sqref="P28">
    <cfRule type="cellIs" dxfId="2" priority="274" operator="lessThanOrEqual">
      <formula>F28</formula>
    </cfRule>
    <cfRule type="expression" dxfId="3" priority="275">
      <formula>AND(E28&lt;5000,O28&lt;5000)</formula>
    </cfRule>
  </conditionalFormatting>
  <conditionalFormatting sqref="P29">
    <cfRule type="cellIs" dxfId="2" priority="282" operator="lessThanOrEqual">
      <formula>F29</formula>
    </cfRule>
  </conditionalFormatting>
  <conditionalFormatting sqref="P30">
    <cfRule type="cellIs" dxfId="2" priority="287" operator="lessThanOrEqual">
      <formula>F30</formula>
    </cfRule>
  </conditionalFormatting>
  <conditionalFormatting sqref="P31">
    <cfRule type="cellIs" dxfId="2" priority="292" operator="lessThanOrEqual">
      <formula>F31</formula>
    </cfRule>
  </conditionalFormatting>
  <conditionalFormatting sqref="P32">
    <cfRule type="cellIs" dxfId="2" priority="297" operator="lessThanOrEqual">
      <formula>F32</formula>
    </cfRule>
  </conditionalFormatting>
  <conditionalFormatting sqref="P33">
    <cfRule type="cellIs" dxfId="2" priority="302" operator="lessThanOrEqual">
      <formula>F33</formula>
    </cfRule>
  </conditionalFormatting>
  <conditionalFormatting sqref="P34">
    <cfRule type="cellIs" dxfId="2" priority="307" operator="lessThanOrEqual">
      <formula>F34</formula>
    </cfRule>
  </conditionalFormatting>
  <conditionalFormatting sqref="P35">
    <cfRule type="cellIs" dxfId="2" priority="312" operator="lessThanOrEqual">
      <formula>F35</formula>
    </cfRule>
  </conditionalFormatting>
  <conditionalFormatting sqref="P7">
    <cfRule type="cellIs" dxfId="2" priority="166" operator="lessThanOrEqual">
      <formula>F7</formula>
    </cfRule>
  </conditionalFormatting>
  <conditionalFormatting sqref="P8">
    <cfRule type="cellIs" dxfId="2" priority="171" operator="lessThanOrEqual">
      <formula>F8</formula>
    </cfRule>
  </conditionalFormatting>
  <conditionalFormatting sqref="P9">
    <cfRule type="cellIs" dxfId="2" priority="176" operator="lessThanOrEqual">
      <formula>F9</formula>
    </cfRule>
  </conditionalFormatting>
  <conditionalFormatting sqref="Q13">
    <cfRule type="expression" dxfId="3" priority="199">
      <formula>AND(E13&lt;1500,O13&lt;1500)</formula>
    </cfRule>
  </conditionalFormatting>
  <conditionalFormatting sqref="Q23">
    <cfRule type="expression" dxfId="3" priority="248">
      <formula>AND(E23&lt;5000,O23&lt;5000)</formula>
    </cfRule>
  </conditionalFormatting>
  <conditionalFormatting sqref="Q24">
    <cfRule type="expression" dxfId="3" priority="257">
      <formula>AND(E24&lt;25000,O24&lt;25000)</formula>
    </cfRule>
  </conditionalFormatting>
  <conditionalFormatting sqref="Q28">
    <cfRule type="expression" dxfId="3" priority="276">
      <formula>AND(E28&lt;5000,O28&lt;5000)</formula>
    </cfRule>
  </conditionalFormatting>
  <conditionalFormatting sqref="R10">
    <cfRule type="cellIs" dxfId="2" priority="180" operator="lessThanOrEqual">
      <formula>G10</formula>
    </cfRule>
  </conditionalFormatting>
  <conditionalFormatting sqref="R11">
    <cfRule type="cellIs" dxfId="2" priority="185" operator="lessThanOrEqual">
      <formula>G11</formula>
    </cfRule>
  </conditionalFormatting>
  <conditionalFormatting sqref="R12">
    <cfRule type="cellIs" dxfId="2" priority="190" operator="lessThanOrEqual">
      <formula>G12</formula>
    </cfRule>
  </conditionalFormatting>
  <conditionalFormatting sqref="R13">
    <cfRule type="cellIs" dxfId="2" priority="196" operator="lessThanOrEqual">
      <formula>G13</formula>
    </cfRule>
    <cfRule type="expression" dxfId="3" priority="200">
      <formula>AND(E13&lt;1500,O13&lt;1500)</formula>
    </cfRule>
  </conditionalFormatting>
  <conditionalFormatting sqref="R15">
    <cfRule type="cellIs" dxfId="2" priority="204" operator="lessThanOrEqual">
      <formula>G15</formula>
    </cfRule>
  </conditionalFormatting>
  <conditionalFormatting sqref="R16">
    <cfRule type="cellIs" dxfId="2" priority="209" operator="lessThanOrEqual">
      <formula>G16</formula>
    </cfRule>
  </conditionalFormatting>
  <conditionalFormatting sqref="R17">
    <cfRule type="cellIs" dxfId="2" priority="214" operator="lessThanOrEqual">
      <formula>G17</formula>
    </cfRule>
  </conditionalFormatting>
  <conditionalFormatting sqref="R18">
    <cfRule type="cellIs" dxfId="2" priority="219" operator="lessThanOrEqual">
      <formula>G18</formula>
    </cfRule>
  </conditionalFormatting>
  <conditionalFormatting sqref="R19">
    <cfRule type="cellIs" dxfId="2" priority="224" operator="lessThanOrEqual">
      <formula>G19</formula>
    </cfRule>
  </conditionalFormatting>
  <conditionalFormatting sqref="R20">
    <cfRule type="cellIs" dxfId="2" priority="229" operator="lessThanOrEqual">
      <formula>G20</formula>
    </cfRule>
  </conditionalFormatting>
  <conditionalFormatting sqref="R21">
    <cfRule type="cellIs" dxfId="2" priority="234" operator="lessThanOrEqual">
      <formula>G21</formula>
    </cfRule>
  </conditionalFormatting>
  <conditionalFormatting sqref="R22">
    <cfRule type="cellIs" dxfId="2" priority="239" operator="lessThanOrEqual">
      <formula>G22</formula>
    </cfRule>
  </conditionalFormatting>
  <conditionalFormatting sqref="R23">
    <cfRule type="cellIs" dxfId="2" priority="245" operator="lessThanOrEqual">
      <formula>G23</formula>
    </cfRule>
    <cfRule type="expression" dxfId="3" priority="249">
      <formula>AND(E23&lt;5000,O23&lt;5000)</formula>
    </cfRule>
  </conditionalFormatting>
  <conditionalFormatting sqref="R24">
    <cfRule type="cellIs" dxfId="2" priority="254" operator="lessThanOrEqual">
      <formula>G24</formula>
    </cfRule>
    <cfRule type="expression" dxfId="3" priority="258">
      <formula>AND(E24&lt;25000,O24&lt;25000)</formula>
    </cfRule>
  </conditionalFormatting>
  <conditionalFormatting sqref="R25">
    <cfRule type="cellIs" dxfId="2" priority="262" operator="lessThanOrEqual">
      <formula>G25</formula>
    </cfRule>
  </conditionalFormatting>
  <conditionalFormatting sqref="R26">
    <cfRule type="cellIs" dxfId="2" priority="267" operator="lessThanOrEqual">
      <formula>G26</formula>
    </cfRule>
  </conditionalFormatting>
  <conditionalFormatting sqref="R28">
    <cfRule type="cellIs" dxfId="2" priority="273" operator="lessThanOrEqual">
      <formula>G28</formula>
    </cfRule>
    <cfRule type="expression" dxfId="3" priority="277">
      <formula>AND(E28&lt;5000,O28&lt;5000)</formula>
    </cfRule>
  </conditionalFormatting>
  <conditionalFormatting sqref="R29">
    <cfRule type="cellIs" dxfId="2" priority="281" operator="lessThanOrEqual">
      <formula>G29</formula>
    </cfRule>
  </conditionalFormatting>
  <conditionalFormatting sqref="R30">
    <cfRule type="cellIs" dxfId="2" priority="286" operator="lessThanOrEqual">
      <formula>G30</formula>
    </cfRule>
  </conditionalFormatting>
  <conditionalFormatting sqref="R31">
    <cfRule type="cellIs" dxfId="2" priority="291" operator="lessThanOrEqual">
      <formula>G31</formula>
    </cfRule>
  </conditionalFormatting>
  <conditionalFormatting sqref="R32">
    <cfRule type="cellIs" dxfId="2" priority="296" operator="lessThanOrEqual">
      <formula>G32</formula>
    </cfRule>
  </conditionalFormatting>
  <conditionalFormatting sqref="R33">
    <cfRule type="cellIs" dxfId="2" priority="301" operator="lessThanOrEqual">
      <formula>G33</formula>
    </cfRule>
  </conditionalFormatting>
  <conditionalFormatting sqref="R34">
    <cfRule type="cellIs" dxfId="2" priority="306" operator="lessThanOrEqual">
      <formula>G34</formula>
    </cfRule>
  </conditionalFormatting>
  <conditionalFormatting sqref="R35">
    <cfRule type="cellIs" dxfId="2" priority="311" operator="lessThanOrEqual">
      <formula>G35</formula>
    </cfRule>
  </conditionalFormatting>
  <conditionalFormatting sqref="R7">
    <cfRule type="cellIs" dxfId="2" priority="165" operator="lessThanOrEqual">
      <formula>G7</formula>
    </cfRule>
  </conditionalFormatting>
  <conditionalFormatting sqref="R8">
    <cfRule type="cellIs" dxfId="2" priority="170" operator="lessThanOrEqual">
      <formula>G8</formula>
    </cfRule>
  </conditionalFormatting>
  <conditionalFormatting sqref="R9">
    <cfRule type="cellIs" dxfId="2" priority="175" operator="lessThanOrEqual">
      <formula>G9</formula>
    </cfRule>
  </conditionalFormatting>
  <conditionalFormatting sqref="T11">
    <cfRule type="cellIs" dxfId="0" priority="329" operator="equal">
      <formula>0</formula>
    </cfRule>
    <cfRule type="cellIs" dxfId="1" priority="330" operator="lessThan">
      <formula>E11</formula>
    </cfRule>
  </conditionalFormatting>
  <conditionalFormatting sqref="T12">
    <cfRule type="cellIs" dxfId="0" priority="335" operator="equal">
      <formula>0</formula>
    </cfRule>
    <cfRule type="cellIs" dxfId="1" priority="336" operator="lessThan">
      <formula>E12</formula>
    </cfRule>
  </conditionalFormatting>
  <conditionalFormatting sqref="T14">
    <cfRule type="cellIs" dxfId="0" priority="340" operator="equal">
      <formula>0</formula>
    </cfRule>
    <cfRule type="cellIs" dxfId="1" priority="341" operator="lessThan">
      <formula>E14</formula>
    </cfRule>
  </conditionalFormatting>
  <conditionalFormatting sqref="T15">
    <cfRule type="cellIs" dxfId="0" priority="345" operator="equal">
      <formula>0</formula>
    </cfRule>
    <cfRule type="cellIs" dxfId="1" priority="346" operator="lessThan">
      <formula>E15</formula>
    </cfRule>
  </conditionalFormatting>
  <conditionalFormatting sqref="T16">
    <cfRule type="cellIs" dxfId="0" priority="351" operator="equal">
      <formula>0</formula>
    </cfRule>
    <cfRule type="cellIs" dxfId="1" priority="352" operator="lessThan">
      <formula>E16</formula>
    </cfRule>
  </conditionalFormatting>
  <conditionalFormatting sqref="T17">
    <cfRule type="cellIs" dxfId="0" priority="356" operator="equal">
      <formula>0</formula>
    </cfRule>
    <cfRule type="cellIs" dxfId="1" priority="357" operator="lessThan">
      <formula>E17</formula>
    </cfRule>
  </conditionalFormatting>
  <conditionalFormatting sqref="T18">
    <cfRule type="cellIs" dxfId="0" priority="361" operator="equal">
      <formula>0</formula>
    </cfRule>
    <cfRule type="cellIs" dxfId="1" priority="362" operator="lessThan">
      <formula>E18</formula>
    </cfRule>
  </conditionalFormatting>
  <conditionalFormatting sqref="T19">
    <cfRule type="cellIs" dxfId="0" priority="366" operator="equal">
      <formula>0</formula>
    </cfRule>
    <cfRule type="cellIs" dxfId="1" priority="367" operator="lessThan">
      <formula>E19</formula>
    </cfRule>
  </conditionalFormatting>
  <conditionalFormatting sqref="T21">
    <cfRule type="cellIs" dxfId="0" priority="371" operator="equal">
      <formula>0</formula>
    </cfRule>
    <cfRule type="cellIs" dxfId="1" priority="372" operator="lessThan">
      <formula>E21</formula>
    </cfRule>
  </conditionalFormatting>
  <conditionalFormatting sqref="T22">
    <cfRule type="cellIs" dxfId="0" priority="377" operator="equal">
      <formula>0</formula>
    </cfRule>
    <cfRule type="cellIs" dxfId="1" priority="378" operator="lessThan">
      <formula>E22</formula>
    </cfRule>
  </conditionalFormatting>
  <conditionalFormatting sqref="T23">
    <cfRule type="cellIs" dxfId="0" priority="383" operator="equal">
      <formula>0</formula>
    </cfRule>
    <cfRule type="cellIs" dxfId="1" priority="384" operator="lessThan">
      <formula>E23</formula>
    </cfRule>
  </conditionalFormatting>
  <conditionalFormatting sqref="T25">
    <cfRule type="cellIs" dxfId="0" priority="389" operator="equal">
      <formula>0</formula>
    </cfRule>
    <cfRule type="cellIs" dxfId="1" priority="390" operator="lessThan">
      <formula>E25</formula>
    </cfRule>
  </conditionalFormatting>
  <conditionalFormatting sqref="T26">
    <cfRule type="cellIs" dxfId="0" priority="395" operator="equal">
      <formula>0</formula>
    </cfRule>
    <cfRule type="cellIs" dxfId="1" priority="396" operator="lessThan">
      <formula>E26</formula>
    </cfRule>
  </conditionalFormatting>
  <conditionalFormatting sqref="T30">
    <cfRule type="cellIs" dxfId="0" priority="400" operator="equal">
      <formula>0</formula>
    </cfRule>
    <cfRule type="cellIs" dxfId="1" priority="401" operator="lessThan">
      <formula>E30</formula>
    </cfRule>
  </conditionalFormatting>
  <conditionalFormatting sqref="T32">
    <cfRule type="cellIs" dxfId="0" priority="406" operator="equal">
      <formula>0</formula>
    </cfRule>
    <cfRule type="cellIs" dxfId="1" priority="407" operator="lessThan">
      <formula>E32</formula>
    </cfRule>
  </conditionalFormatting>
  <conditionalFormatting sqref="T34">
    <cfRule type="cellIs" dxfId="0" priority="411" operator="equal">
      <formula>0</formula>
    </cfRule>
    <cfRule type="cellIs" dxfId="1" priority="412" operator="lessThan">
      <formula>E34</formula>
    </cfRule>
  </conditionalFormatting>
  <conditionalFormatting sqref="T35">
    <cfRule type="cellIs" dxfId="0" priority="416" operator="equal">
      <formula>0</formula>
    </cfRule>
    <cfRule type="cellIs" dxfId="1" priority="417" operator="lessThan">
      <formula>E35</formula>
    </cfRule>
  </conditionalFormatting>
  <conditionalFormatting sqref="T7">
    <cfRule type="cellIs" dxfId="0" priority="313" operator="equal">
      <formula>0</formula>
    </cfRule>
    <cfRule type="cellIs" dxfId="1" priority="314" operator="lessThan">
      <formula>E7</formula>
    </cfRule>
  </conditionalFormatting>
  <conditionalFormatting sqref="T8">
    <cfRule type="cellIs" dxfId="0" priority="319" operator="equal">
      <formula>0</formula>
    </cfRule>
    <cfRule type="cellIs" dxfId="1" priority="320" operator="lessThan">
      <formula>E8</formula>
    </cfRule>
  </conditionalFormatting>
  <conditionalFormatting sqref="T9">
    <cfRule type="cellIs" dxfId="0" priority="324" operator="equal">
      <formula>0</formula>
    </cfRule>
    <cfRule type="cellIs" dxfId="1" priority="325" operator="lessThan">
      <formula>E9</formula>
    </cfRule>
  </conditionalFormatting>
  <conditionalFormatting sqref="U11">
    <cfRule type="expression" dxfId="3" priority="331">
      <formula>AND(U11&gt;0,MOD(U11,W11)&lt;&gt;0)</formula>
    </cfRule>
    <cfRule type="cellIs" dxfId="0" priority="332" operator="greaterThan">
      <formula>T11</formula>
    </cfRule>
  </conditionalFormatting>
  <conditionalFormatting sqref="U12">
    <cfRule type="cellIs" dxfId="0" priority="337" operator="greaterThan">
      <formula>T12</formula>
    </cfRule>
  </conditionalFormatting>
  <conditionalFormatting sqref="U14">
    <cfRule type="cellIs" dxfId="0" priority="342" operator="greaterThan">
      <formula>T14</formula>
    </cfRule>
  </conditionalFormatting>
  <conditionalFormatting sqref="U15">
    <cfRule type="expression" dxfId="3" priority="347">
      <formula>AND(U15&gt;0,MOD(U15,W15)&lt;&gt;0)</formula>
    </cfRule>
    <cfRule type="cellIs" dxfId="0" priority="348" operator="greaterThan">
      <formula>T15</formula>
    </cfRule>
  </conditionalFormatting>
  <conditionalFormatting sqref="U16">
    <cfRule type="cellIs" dxfId="0" priority="353" operator="greaterThan">
      <formula>T16</formula>
    </cfRule>
  </conditionalFormatting>
  <conditionalFormatting sqref="U17">
    <cfRule type="cellIs" dxfId="0" priority="358" operator="greaterThan">
      <formula>T17</formula>
    </cfRule>
  </conditionalFormatting>
  <conditionalFormatting sqref="U18">
    <cfRule type="cellIs" dxfId="0" priority="363" operator="greaterThan">
      <formula>T18</formula>
    </cfRule>
  </conditionalFormatting>
  <conditionalFormatting sqref="U19">
    <cfRule type="cellIs" dxfId="0" priority="368" operator="greaterThan">
      <formula>T19</formula>
    </cfRule>
  </conditionalFormatting>
  <conditionalFormatting sqref="U21">
    <cfRule type="expression" dxfId="3" priority="373">
      <formula>AND(U21&gt;0,MOD(U21,W21)&lt;&gt;0)</formula>
    </cfRule>
    <cfRule type="cellIs" dxfId="0" priority="374" operator="greaterThan">
      <formula>T21</formula>
    </cfRule>
  </conditionalFormatting>
  <conditionalFormatting sqref="U22">
    <cfRule type="expression" dxfId="3" priority="379">
      <formula>AND(U22&gt;0,MOD(U22,W22)&lt;&gt;0)</formula>
    </cfRule>
    <cfRule type="cellIs" dxfId="0" priority="380" operator="greaterThan">
      <formula>T22</formula>
    </cfRule>
  </conditionalFormatting>
  <conditionalFormatting sqref="U23">
    <cfRule type="expression" dxfId="3" priority="385">
      <formula>AND(U23&gt;0,MOD(U23,W23)&lt;&gt;0)</formula>
    </cfRule>
    <cfRule type="cellIs" dxfId="0" priority="386" operator="greaterThan">
      <formula>T23</formula>
    </cfRule>
  </conditionalFormatting>
  <conditionalFormatting sqref="U25">
    <cfRule type="expression" dxfId="3" priority="391">
      <formula>AND(U25&gt;0,MOD(U25,W25)&lt;&gt;0)</formula>
    </cfRule>
    <cfRule type="cellIs" dxfId="0" priority="392" operator="greaterThan">
      <formula>T25</formula>
    </cfRule>
  </conditionalFormatting>
  <conditionalFormatting sqref="U26">
    <cfRule type="cellIs" dxfId="0" priority="397" operator="greaterThan">
      <formula>T26</formula>
    </cfRule>
  </conditionalFormatting>
  <conditionalFormatting sqref="U30">
    <cfRule type="expression" dxfId="3" priority="402">
      <formula>AND(U30&gt;0,MOD(U30,W30)&lt;&gt;0)</formula>
    </cfRule>
    <cfRule type="cellIs" dxfId="0" priority="403" operator="greaterThan">
      <formula>T30</formula>
    </cfRule>
  </conditionalFormatting>
  <conditionalFormatting sqref="U32">
    <cfRule type="cellIs" dxfId="0" priority="408" operator="greaterThan">
      <formula>T32</formula>
    </cfRule>
  </conditionalFormatting>
  <conditionalFormatting sqref="U34">
    <cfRule type="cellIs" dxfId="0" priority="413" operator="greaterThan">
      <formula>T34</formula>
    </cfRule>
  </conditionalFormatting>
  <conditionalFormatting sqref="U35">
    <cfRule type="cellIs" dxfId="0" priority="418" operator="greaterThan">
      <formula>T35</formula>
    </cfRule>
  </conditionalFormatting>
  <conditionalFormatting sqref="U7">
    <cfRule type="expression" dxfId="3" priority="315">
      <formula>AND(U7&gt;0,MOD(U7,W7)&lt;&gt;0)</formula>
    </cfRule>
    <cfRule type="cellIs" dxfId="0" priority="316" operator="greaterThan">
      <formula>T7</formula>
    </cfRule>
  </conditionalFormatting>
  <conditionalFormatting sqref="U8">
    <cfRule type="cellIs" dxfId="0" priority="321" operator="greaterThan">
      <formula>T8</formula>
    </cfRule>
  </conditionalFormatting>
  <conditionalFormatting sqref="U9">
    <cfRule type="cellIs" dxfId="0" priority="326" operator="greaterThan">
      <formula>T9</formula>
    </cfRule>
  </conditionalFormatting>
  <conditionalFormatting sqref="V11">
    <cfRule type="cellIs" dxfId="2" priority="334" operator="lessThanOrEqual">
      <formula>F11</formula>
    </cfRule>
  </conditionalFormatting>
  <conditionalFormatting sqref="V12">
    <cfRule type="cellIs" dxfId="2" priority="339" operator="lessThanOrEqual">
      <formula>F12</formula>
    </cfRule>
  </conditionalFormatting>
  <conditionalFormatting sqref="V14">
    <cfRule type="cellIs" dxfId="2" priority="344" operator="lessThanOrEqual">
      <formula>F14</formula>
    </cfRule>
  </conditionalFormatting>
  <conditionalFormatting sqref="V15">
    <cfRule type="cellIs" dxfId="2" priority="350" operator="lessThanOrEqual">
      <formula>F15</formula>
    </cfRule>
  </conditionalFormatting>
  <conditionalFormatting sqref="V16">
    <cfRule type="cellIs" dxfId="2" priority="355" operator="lessThanOrEqual">
      <formula>F16</formula>
    </cfRule>
  </conditionalFormatting>
  <conditionalFormatting sqref="V17">
    <cfRule type="cellIs" dxfId="2" priority="360" operator="lessThanOrEqual">
      <formula>F17</formula>
    </cfRule>
  </conditionalFormatting>
  <conditionalFormatting sqref="V18">
    <cfRule type="cellIs" dxfId="2" priority="365" operator="lessThanOrEqual">
      <formula>F18</formula>
    </cfRule>
  </conditionalFormatting>
  <conditionalFormatting sqref="V19">
    <cfRule type="cellIs" dxfId="2" priority="370" operator="lessThanOrEqual">
      <formula>F19</formula>
    </cfRule>
  </conditionalFormatting>
  <conditionalFormatting sqref="V21">
    <cfRule type="cellIs" dxfId="2" priority="376" operator="lessThanOrEqual">
      <formula>F21</formula>
    </cfRule>
  </conditionalFormatting>
  <conditionalFormatting sqref="V22">
    <cfRule type="cellIs" dxfId="2" priority="382" operator="lessThanOrEqual">
      <formula>F22</formula>
    </cfRule>
  </conditionalFormatting>
  <conditionalFormatting sqref="V23">
    <cfRule type="cellIs" dxfId="2" priority="388" operator="lessThanOrEqual">
      <formula>F23</formula>
    </cfRule>
  </conditionalFormatting>
  <conditionalFormatting sqref="V25">
    <cfRule type="cellIs" dxfId="2" priority="394" operator="lessThanOrEqual">
      <formula>F25</formula>
    </cfRule>
  </conditionalFormatting>
  <conditionalFormatting sqref="V26">
    <cfRule type="cellIs" dxfId="2" priority="399" operator="lessThanOrEqual">
      <formula>F26</formula>
    </cfRule>
  </conditionalFormatting>
  <conditionalFormatting sqref="V30">
    <cfRule type="cellIs" dxfId="2" priority="405" operator="lessThanOrEqual">
      <formula>F30</formula>
    </cfRule>
  </conditionalFormatting>
  <conditionalFormatting sqref="V32">
    <cfRule type="cellIs" dxfId="2" priority="410" operator="lessThanOrEqual">
      <formula>F32</formula>
    </cfRule>
  </conditionalFormatting>
  <conditionalFormatting sqref="V34">
    <cfRule type="cellIs" dxfId="2" priority="415" operator="lessThanOrEqual">
      <formula>F34</formula>
    </cfRule>
  </conditionalFormatting>
  <conditionalFormatting sqref="V35">
    <cfRule type="cellIs" dxfId="2" priority="420" operator="lessThanOrEqual">
      <formula>F35</formula>
    </cfRule>
  </conditionalFormatting>
  <conditionalFormatting sqref="V7">
    <cfRule type="cellIs" dxfId="2" priority="318" operator="lessThanOrEqual">
      <formula>F7</formula>
    </cfRule>
  </conditionalFormatting>
  <conditionalFormatting sqref="V8">
    <cfRule type="cellIs" dxfId="2" priority="323" operator="lessThanOrEqual">
      <formula>F8</formula>
    </cfRule>
  </conditionalFormatting>
  <conditionalFormatting sqref="V9">
    <cfRule type="cellIs" dxfId="2" priority="328" operator="lessThanOrEqual">
      <formula>F9</formula>
    </cfRule>
  </conditionalFormatting>
  <conditionalFormatting sqref="X11">
    <cfRule type="cellIs" dxfId="2" priority="333" operator="lessThanOrEqual">
      <formula>G11</formula>
    </cfRule>
  </conditionalFormatting>
  <conditionalFormatting sqref="X12">
    <cfRule type="cellIs" dxfId="2" priority="338" operator="lessThanOrEqual">
      <formula>G12</formula>
    </cfRule>
  </conditionalFormatting>
  <conditionalFormatting sqref="X14">
    <cfRule type="cellIs" dxfId="2" priority="343" operator="lessThanOrEqual">
      <formula>G14</formula>
    </cfRule>
  </conditionalFormatting>
  <conditionalFormatting sqref="X15">
    <cfRule type="cellIs" dxfId="2" priority="349" operator="lessThanOrEqual">
      <formula>G15</formula>
    </cfRule>
  </conditionalFormatting>
  <conditionalFormatting sqref="X16">
    <cfRule type="cellIs" dxfId="2" priority="354" operator="lessThanOrEqual">
      <formula>G16</formula>
    </cfRule>
  </conditionalFormatting>
  <conditionalFormatting sqref="X17">
    <cfRule type="cellIs" dxfId="2" priority="359" operator="lessThanOrEqual">
      <formula>G17</formula>
    </cfRule>
  </conditionalFormatting>
  <conditionalFormatting sqref="X18">
    <cfRule type="cellIs" dxfId="2" priority="364" operator="lessThanOrEqual">
      <formula>G18</formula>
    </cfRule>
  </conditionalFormatting>
  <conditionalFormatting sqref="X19">
    <cfRule type="cellIs" dxfId="2" priority="369" operator="lessThanOrEqual">
      <formula>G19</formula>
    </cfRule>
  </conditionalFormatting>
  <conditionalFormatting sqref="X21">
    <cfRule type="cellIs" dxfId="2" priority="375" operator="lessThanOrEqual">
      <formula>G21</formula>
    </cfRule>
  </conditionalFormatting>
  <conditionalFormatting sqref="X22">
    <cfRule type="cellIs" dxfId="2" priority="381" operator="lessThanOrEqual">
      <formula>G22</formula>
    </cfRule>
  </conditionalFormatting>
  <conditionalFormatting sqref="X23">
    <cfRule type="cellIs" dxfId="2" priority="387" operator="lessThanOrEqual">
      <formula>G23</formula>
    </cfRule>
  </conditionalFormatting>
  <conditionalFormatting sqref="X25">
    <cfRule type="cellIs" dxfId="2" priority="393" operator="lessThanOrEqual">
      <formula>G25</formula>
    </cfRule>
  </conditionalFormatting>
  <conditionalFormatting sqref="X26">
    <cfRule type="cellIs" dxfId="2" priority="398" operator="lessThanOrEqual">
      <formula>G26</formula>
    </cfRule>
  </conditionalFormatting>
  <conditionalFormatting sqref="X30">
    <cfRule type="cellIs" dxfId="2" priority="404" operator="lessThanOrEqual">
      <formula>G30</formula>
    </cfRule>
  </conditionalFormatting>
  <conditionalFormatting sqref="X32">
    <cfRule type="cellIs" dxfId="2" priority="409" operator="lessThanOrEqual">
      <formula>G32</formula>
    </cfRule>
  </conditionalFormatting>
  <conditionalFormatting sqref="X34">
    <cfRule type="cellIs" dxfId="2" priority="414" operator="lessThanOrEqual">
      <formula>G34</formula>
    </cfRule>
  </conditionalFormatting>
  <conditionalFormatting sqref="X35">
    <cfRule type="cellIs" dxfId="2" priority="419" operator="lessThanOrEqual">
      <formula>G35</formula>
    </cfRule>
  </conditionalFormatting>
  <conditionalFormatting sqref="X7">
    <cfRule type="cellIs" dxfId="2" priority="317" operator="lessThanOrEqual">
      <formula>G7</formula>
    </cfRule>
  </conditionalFormatting>
  <conditionalFormatting sqref="X8">
    <cfRule type="cellIs" dxfId="2" priority="322" operator="lessThanOrEqual">
      <formula>G8</formula>
    </cfRule>
  </conditionalFormatting>
  <conditionalFormatting sqref="X9">
    <cfRule type="cellIs" dxfId="2" priority="327" operator="lessThanOrEqual">
      <formula>G9</formula>
    </cfRule>
  </conditionalFormatting>
  <conditionalFormatting sqref="Z30">
    <cfRule type="cellIs" dxfId="0" priority="421" operator="equal">
      <formula>0</formula>
    </cfRule>
    <cfRule type="cellIs" dxfId="1" priority="422" operator="lessThan">
      <formula>E30</formula>
    </cfRule>
  </conditionalFormatting>
  <hyperlinks>
    <hyperlink ref="S7" r:id="rId1"/>
    <hyperlink ref="Y7" r:id="rId2"/>
    <hyperlink ref="AK7" r:id="rId3"/>
    <hyperlink ref="AQ7" r:id="rId4"/>
    <hyperlink ref="AW7" r:id="rId5"/>
    <hyperlink ref="M8" r:id="rId6"/>
    <hyperlink ref="S8" r:id="rId7"/>
    <hyperlink ref="Y8" r:id="rId8"/>
    <hyperlink ref="AK8" r:id="rId9"/>
    <hyperlink ref="AQ8" r:id="rId10"/>
    <hyperlink ref="AW8" r:id="rId11"/>
    <hyperlink ref="BC8" r:id="rId12"/>
    <hyperlink ref="D9" r:id="rId13"/>
    <hyperlink ref="M9" r:id="rId14"/>
    <hyperlink ref="S9" r:id="rId15"/>
    <hyperlink ref="Y9" r:id="rId16"/>
    <hyperlink ref="AK9" r:id="rId17"/>
    <hyperlink ref="AQ9" r:id="rId18"/>
    <hyperlink ref="M10" r:id="rId19"/>
    <hyperlink ref="S10" r:id="rId20"/>
    <hyperlink ref="AK10" r:id="rId21"/>
    <hyperlink ref="AQ10" r:id="rId22"/>
    <hyperlink ref="D11" r:id="rId23"/>
    <hyperlink ref="M11" r:id="rId24"/>
    <hyperlink ref="S11" r:id="rId25"/>
    <hyperlink ref="Y11" r:id="rId26"/>
    <hyperlink ref="AK11" r:id="rId27"/>
    <hyperlink ref="AQ11" r:id="rId28"/>
    <hyperlink ref="AW11" r:id="rId29"/>
    <hyperlink ref="BC11" r:id="rId30"/>
    <hyperlink ref="D12" r:id="rId31"/>
    <hyperlink ref="M12" r:id="rId32"/>
    <hyperlink ref="S12" r:id="rId33"/>
    <hyperlink ref="Y12" r:id="rId34"/>
    <hyperlink ref="AK12" r:id="rId35"/>
    <hyperlink ref="AQ12" r:id="rId36"/>
    <hyperlink ref="AW12" r:id="rId37"/>
    <hyperlink ref="BC12" r:id="rId38"/>
    <hyperlink ref="D13" r:id="rId39"/>
    <hyperlink ref="M13" r:id="rId40"/>
    <hyperlink ref="S13" r:id="rId41"/>
    <hyperlink ref="AK13" r:id="rId42"/>
    <hyperlink ref="AQ13" r:id="rId43"/>
    <hyperlink ref="D14" r:id="rId44"/>
    <hyperlink ref="M14" r:id="rId45"/>
    <hyperlink ref="Y14" r:id="rId46"/>
    <hyperlink ref="AQ14" r:id="rId47"/>
    <hyperlink ref="D15" r:id="rId48"/>
    <hyperlink ref="M15" r:id="rId49"/>
    <hyperlink ref="S15" r:id="rId50"/>
    <hyperlink ref="Y15" r:id="rId51"/>
    <hyperlink ref="AK15" r:id="rId52"/>
    <hyperlink ref="AQ15" r:id="rId53"/>
    <hyperlink ref="D16" r:id="rId54"/>
    <hyperlink ref="M16" r:id="rId55"/>
    <hyperlink ref="S16" r:id="rId56"/>
    <hyperlink ref="Y16" r:id="rId57"/>
    <hyperlink ref="AK16" r:id="rId58"/>
    <hyperlink ref="AQ16" r:id="rId59"/>
    <hyperlink ref="D17" r:id="rId60"/>
    <hyperlink ref="S17" r:id="rId61"/>
    <hyperlink ref="Y17" r:id="rId62"/>
    <hyperlink ref="AK17" r:id="rId63"/>
    <hyperlink ref="AQ17" r:id="rId64"/>
    <hyperlink ref="AW17" r:id="rId65"/>
    <hyperlink ref="D18" r:id="rId66"/>
    <hyperlink ref="M18" r:id="rId67"/>
    <hyperlink ref="S18" r:id="rId68"/>
    <hyperlink ref="Y18" r:id="rId69"/>
    <hyperlink ref="AK18" r:id="rId70"/>
    <hyperlink ref="AQ18" r:id="rId71"/>
    <hyperlink ref="M19" r:id="rId72"/>
    <hyperlink ref="S19" r:id="rId73"/>
    <hyperlink ref="Y19" r:id="rId74"/>
    <hyperlink ref="AK19" r:id="rId75"/>
    <hyperlink ref="AQ19" r:id="rId76"/>
    <hyperlink ref="M20" r:id="rId77"/>
    <hyperlink ref="S20" r:id="rId78"/>
    <hyperlink ref="AK20" r:id="rId79"/>
    <hyperlink ref="BC20" r:id="rId80"/>
    <hyperlink ref="M21" r:id="rId81"/>
    <hyperlink ref="S21" r:id="rId82"/>
    <hyperlink ref="Y21" r:id="rId83"/>
    <hyperlink ref="AK21" r:id="rId84"/>
    <hyperlink ref="AQ21" r:id="rId85"/>
    <hyperlink ref="AW21" r:id="rId86"/>
    <hyperlink ref="BC21" r:id="rId87"/>
    <hyperlink ref="M22" r:id="rId88"/>
    <hyperlink ref="S22" r:id="rId89"/>
    <hyperlink ref="Y22" r:id="rId90"/>
    <hyperlink ref="AK22" r:id="rId91"/>
    <hyperlink ref="AQ22" r:id="rId92"/>
    <hyperlink ref="AW22" r:id="rId93"/>
    <hyperlink ref="BC22" r:id="rId94"/>
    <hyperlink ref="S23" r:id="rId95"/>
    <hyperlink ref="Y23" r:id="rId96"/>
    <hyperlink ref="AK23" r:id="rId97"/>
    <hyperlink ref="AQ23" r:id="rId98"/>
    <hyperlink ref="AW23" r:id="rId99"/>
    <hyperlink ref="M24" r:id="rId100"/>
    <hyperlink ref="S24" r:id="rId101"/>
    <hyperlink ref="AK24" r:id="rId102"/>
    <hyperlink ref="AQ24" r:id="rId103"/>
    <hyperlink ref="AW24" r:id="rId104"/>
    <hyperlink ref="M25" r:id="rId105"/>
    <hyperlink ref="S25" r:id="rId106"/>
    <hyperlink ref="Y25" r:id="rId107"/>
    <hyperlink ref="AK25" r:id="rId108"/>
    <hyperlink ref="AQ25" r:id="rId109"/>
    <hyperlink ref="AW25" r:id="rId110"/>
    <hyperlink ref="BC25" r:id="rId111"/>
    <hyperlink ref="M26" r:id="rId112"/>
    <hyperlink ref="S26" r:id="rId113"/>
    <hyperlink ref="Y26" r:id="rId114"/>
    <hyperlink ref="AK26" r:id="rId115"/>
    <hyperlink ref="AQ26" r:id="rId116"/>
    <hyperlink ref="M27" r:id="rId117"/>
    <hyperlink ref="AK27" r:id="rId118"/>
    <hyperlink ref="M28" r:id="rId119"/>
    <hyperlink ref="S28" r:id="rId120"/>
    <hyperlink ref="AK28" r:id="rId121"/>
    <hyperlink ref="AQ28" r:id="rId122"/>
    <hyperlink ref="S29" r:id="rId123"/>
    <hyperlink ref="AK29" r:id="rId124"/>
    <hyperlink ref="D30" r:id="rId125"/>
    <hyperlink ref="M30" r:id="rId126"/>
    <hyperlink ref="S30" r:id="rId127"/>
    <hyperlink ref="Y30" r:id="rId128"/>
    <hyperlink ref="AE30" r:id="rId129"/>
    <hyperlink ref="AK30" r:id="rId130"/>
    <hyperlink ref="AQ30" r:id="rId131"/>
    <hyperlink ref="AW30" r:id="rId132"/>
    <hyperlink ref="BC30" r:id="rId133"/>
    <hyperlink ref="D31" r:id="rId134"/>
    <hyperlink ref="M31" r:id="rId135"/>
    <hyperlink ref="S31" r:id="rId136"/>
    <hyperlink ref="AQ31" r:id="rId137"/>
    <hyperlink ref="D32" r:id="rId138"/>
    <hyperlink ref="M32" r:id="rId139"/>
    <hyperlink ref="S32" r:id="rId140"/>
    <hyperlink ref="Y32" r:id="rId141"/>
    <hyperlink ref="AQ32" r:id="rId142"/>
    <hyperlink ref="AW32" r:id="rId143"/>
    <hyperlink ref="BC32" r:id="rId144"/>
    <hyperlink ref="M33" r:id="rId145"/>
    <hyperlink ref="S33" r:id="rId146"/>
    <hyperlink ref="AK33" r:id="rId147"/>
    <hyperlink ref="D34" r:id="rId148"/>
    <hyperlink ref="M34" r:id="rId149"/>
    <hyperlink ref="S34" r:id="rId150"/>
    <hyperlink ref="Y34" r:id="rId151"/>
    <hyperlink ref="AK34" r:id="rId152"/>
    <hyperlink ref="AQ34" r:id="rId153"/>
    <hyperlink ref="AW34" r:id="rId154"/>
    <hyperlink ref="D35" r:id="rId155"/>
    <hyperlink ref="M35" r:id="rId156"/>
    <hyperlink ref="S35" r:id="rId157"/>
    <hyperlink ref="Y35" r:id="rId158"/>
    <hyperlink ref="AK35" r:id="rId159"/>
    <hyperlink ref="AQ35" r:id="rId160"/>
    <hyperlink ref="AW35" r:id="rId161"/>
    <hyperlink ref="H37" r:id="rId162"/>
    <hyperlink ref="N37" r:id="rId163"/>
    <hyperlink ref="T37" r:id="rId164"/>
    <hyperlink ref="Z37" r:id="rId165"/>
    <hyperlink ref="AF37" r:id="rId166"/>
    <hyperlink ref="AL37" r:id="rId167"/>
    <hyperlink ref="AR37" r:id="rId168"/>
    <hyperlink ref="AX37" r:id="rId169"/>
  </hyperlinks>
  <pageMargins left="0.7" right="0.7" top="0.75" bottom="0.75" header="0.3" footer="0.3"/>
  <legacyDrawing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Power</vt:lpstr>
      <vt:lpstr>'Power'!BoardQty</vt:lpstr>
      <vt:lpstr>'Power'!PURCHASE_DESCRIPTION</vt:lpstr>
      <vt:lpstr>'Power'!TotalCost</vt:lpstr>
      <vt:lpstr>'Power'!USD_GBP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2021-06-02T09:32:46Z</dcterms:created>
  <dcterms:modified xsi:type="dcterms:W3CDTF">2021-06-02T09:32:46Z</dcterms:modified>
</cp:coreProperties>
</file>