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ield_Nucleo" sheetId="1" r:id="rId1"/>
  </sheets>
  <definedNames>
    <definedName name="BoardQty" localSheetId="0">'Shield_Nucleo'!$G$1</definedName>
    <definedName name="PURCHASE_DESCRIPTION" localSheetId="0">'Shield_Nucleo'!$G$57</definedName>
    <definedName name="TotalCost" localSheetId="0">'Shield_Nucleo'!$G$3</definedName>
    <definedName name="USD_GBP" localSheetId="0">'Shield_Nucleo'!$C$57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M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S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Y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E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K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Q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W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BC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I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J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K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L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M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N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O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P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Q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R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S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T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U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V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W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X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Y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Z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B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C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D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E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G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H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I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J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K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L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M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N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O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P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Q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R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S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T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U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V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W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X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Y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Z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BA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BB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BC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P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$1.09      $1.09
    10   $0.91      $9.05
    50   $0.80     $39.79
   100   $0.75     $75.14
   250   $0.70    $174.73
   500   $0.66    $331.28
  1000   $0.63    $626.20
  2500   $0.58  $1,454.40</t>
        </r>
      </text>
    </comment>
    <comment ref="AT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£0.90      £0.90</t>
        </r>
      </text>
    </comment>
    <comment ref="J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$0.03      $0.03
    10   $0.03      $0.26
    25   $0.02      $0.58
   100   $0.02      $2.31</t>
        </r>
      </text>
    </comment>
    <comment ref="P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$0.08      $0.84
    50   $0.05      $2.37
   100   $0.04      $3.93
   500   $0.03     $13.77
  1000   $0.02     $22.79
  4000   $0.02     $77.64</t>
        </r>
      </text>
    </comment>
    <comment ref="V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£49.22     £49.22
     3  £46.09    £138.27
    10   £0.06      £0.59
   100   £0.03      £3.35
   150   £0.03      £5.03
   500   £0.03     £13.05
  1000   £0.02     £23.50
  2000   £0.02     £42.60
  4000   £0.01     £50.40
 20000   £0.01    £232.00</t>
        </r>
      </text>
    </comment>
    <comment ref="AH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$0.05      $0.48
    50   $0.05      $2.40
   100   $0.03      $2.80
  1000   $0.02     $23.00
 10000   $0.01    $150.00</t>
        </r>
      </text>
    </comment>
    <comment ref="AN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$0.12      $1.20
    25   $0.05      $1.25
    50   $0.04      $1.95
   100   $0.03      $2.80
  4000   $0.02     $68.00
  8000   $0.02    $128.00</t>
        </r>
      </text>
    </comment>
    <comment ref="AT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4000   £0.01     £56.00
 16000   £0.01    £224.00
 40000   £0.01    £520.00
100000   £0.01  £1,300.00
200000   £0.01  £2,400.00</t>
        </r>
      </text>
    </comment>
    <comment ref="AZ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£0.02      £1.73
  1000   £0.01      £9.10
  4000   £0.01     £20.28
 12000   £0.00     £57.60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$0.04      $0.38
    50   $0.04      $1.90
   100   $0.03      $2.60
  1000   $0.02     $17.00
 10000   $0.01    $120.00</t>
        </r>
      </text>
    </comment>
    <comment ref="H10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2000   $0.70  $1,400.00
 20000   $0.64 $12,778.00
200000   $0.30 $60,500.00
1000000   $0.16 $156,200.00
2000000   $0.16 $310,800.00</t>
        </r>
      </text>
    </comment>
    <comment ref="N10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$0.73      $0.73
    10   $0.51      $5.14
    50   $0.39     $19.44
   100   $0.34     $33.86
   500   $0.25    $125.40
  1000   $0.21    $213.18
  2000   $0.20    $401.28</t>
        </r>
      </text>
    </comment>
    <comment ref="V1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£0.38      £1.92
    50   £0.25     £12.30
   150   £0.25     £36.90
   250   £0.22     £54.25
   500   £0.19     £94.00
  1000   £0.16    £161.00
  2000   £0.15    £296.00
 10000   £0.13  £1,330.00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$0.69      $0.69
    10   $0.37      $3.71
    50   $0.37     $18.55
   100   $0.31     $31.30
  1000   $0.20    $204.00
 10000   $0.16  $1,600.00</t>
        </r>
      </text>
    </comment>
    <comment ref="AN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$0.69      $3.44
    10   $0.38      $3.84
    25   $0.37      $9.15
    50   $0.35     $17.35
   100   $0.33     $32.80
  2000   $0.17    $330.00
  4000   $0.16    $656.00
  8000   $0.16  $1,296.00
 12000   $0.16  $1,920.00</t>
        </r>
      </text>
    </comment>
    <comment ref="J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$0.74
    25   $0.07      $1.82
   100   $0.04      $4.03
   250   $0.04      $9.97
   500   $0.03     $14.10
  1000   $0.02     $24.80
  3000   $0.02     $62.10
  6000   $0.02    $123.00
 15000   $0.02    $303.00</t>
        </r>
      </text>
    </comment>
    <comment ref="P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$0.13      $0.13
    10   $0.10      $0.95
    50   $0.05      $2.70
   100   $0.04      $4.47
   500   $0.03     $15.68
  1000   $0.03     $25.96
  2000   $0.02     $48.32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$0.05      $0.52
    50   $0.05      $2.60
   100   $0.04      $4.20
  1000   $0.03     $25.00
 10000   $0.02    $170.00</t>
        </r>
      </text>
    </comment>
    <comment ref="P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$0.35      $0.35
    10   $0.24      $2.41
    50   $0.17      $8.43
   100   $0.14     $14.45
   500   $0.11     $54.20
  1000   $0.09     $91.54
  4000   $0.08    $327.64</t>
        </r>
      </text>
    </comment>
    <comment ref="V1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£0.12      £1.23
   100   £0.07      £7.02
   150   £0.07     £10.53
   500   £0.05     £26.70
  1000   £0.05     £46.30
  2000   £0.04     £79.20
  4000   £0.04    £155.20
 20000   £0.03    £534.00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$0.35      $0.35
    10   $0.20      $2.03
    50   $0.20     $10.15
   100   $0.12     $12.20
  1000   $0.10    $100.00
 10000   $0.07    $670.00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$0.16      $1.61
    25   $0.15      $3.77
    50   $0.14      $7.05
   100   $0.13     $13.10
  4000   $0.07    $284.00
  8000   $0.07    $560.00
 16000   $0.06  $1,008.00
 24000   $0.06  $1,320.00</t>
        </r>
      </text>
    </comment>
    <comment ref="N13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$0.31      $0.31
    50   $0.27     $13.35
   100   $0.23     $23.30
   250   $0.21     $51.75
   900   $0.18    $162.90</t>
        </r>
      </text>
    </comment>
    <comment ref="V1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£0.39      £0.39
    50   £0.26     £12.90
   100   £0.21     £21.40
   150   £0.21     £32.10
   250   £0.20     £48.75
   500   £0.17     £86.50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$0.32      $0.32
    10   $0.32      $3.20
    50   $0.28     $13.80
   100   $0.24     $24.10
  1000   $0.18    $178.00
 10000   $0.18  $1,780.00</t>
        </r>
      </text>
    </comment>
    <comment ref="AN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$0.41      $0.41
    10   $0.39      $3.94
    25   $0.37      $9.32
    50   $0.35     $17.65
   100   $0.31     $31.00
   250   $0.28     $69.50
   500   $0.25    $123.50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£0.25      £2.49
    50   £0.21     £10.30
   100   £0.18     £18.10
   200   £0.17     £34.20
  1000   £0.14    £138.00</t>
        </r>
      </text>
    </comment>
    <comment ref="J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4000   $0.03    $110.40
 40000   $0.03  $1,028.00
400000   $0.01  $5,720.00
2000000   $0.01 $17,200.00</t>
        </r>
      </text>
    </comment>
    <comment ref="P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$0.70
    50   $0.04      $1.90
   100   $0.03      $3.10
   500   $0.02     $11.07
  1000   $0.02     $17.39
  4000   $0.01     $58.20</t>
        </r>
      </text>
    </comment>
    <comment ref="V1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£0.04      £0.43
   100   £0.03      £3.45
   150   £0.03      £5.18
   500   £0.02     £11.65
  1000   £0.02     £17.50
  2000   £0.02     £34.40
  4000   £0.01     £35.20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$0.05      $0.46
    50   $0.05      $2.30
   100   $0.03      $3.20
  1000   $0.02     $18.00
 10000   $0.01    $100.00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$0.13      $0.13
    10   $0.10      $1.04
    25   $0.05      $1.32
    50   $0.04      $2.25
   100   $0.04      $3.80
   250   $0.04      $8.75
   500   $0.03     $16.50
  1000   $0.03     $25.00
  4000   $0.02     $76.00
  8000   $0.02    $144.00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25   £0.04      £0.90
   125   £0.02      £2.00
   625   £0.01      £6.25
  1250   £0.01     £12.50
  2500   £0.01     £25.00</t>
        </r>
      </text>
    </comment>
    <comment ref="H15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N15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$0.88      $0.88
    10   $0.65      $6.45
    50   $0.52     $25.81
   100   $0.44     $44.25
   500   $0.35    $175.17
  1000   $0.30    $295.03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$0.83      $0.83
    10   $0.65      $6.47
    50   $0.63     $31.35
   100   $0.46     $46.20
  1000   $0.33    $327.00
 10000   $0.33  $3,270.00</t>
        </r>
      </text>
    </comment>
    <comment ref="J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$0.74
    25   $0.07      $1.82
   100   $0.04      $4.03
   250   $0.04      $9.97
   500   $0.03     $14.10
  1000   $0.02     $24.80
  3000   $0.02     $62.10
  6000   $0.02    $123.00
 15000   $0.02    $303.00</t>
        </r>
      </text>
    </comment>
    <comment ref="P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$0.13      $0.13
    10   $0.10      $0.95
    50   $0.05      $2.70
   100   $0.04      $4.47
   500   $0.03     $15.68
  1000   $0.03     $25.96
  2000   $0.02     $48.32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$0.05      $0.52
    50   $0.05      $2.60
   100   $0.04      $4.20
  1000   $0.03     $25.00
 10000   $0.02    $170.00</t>
        </r>
      </text>
    </comment>
    <comment ref="H17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$0.80      $0.80
    10   $0.59      $5.92
    50   $0.47     $23.70
   100   $0.41     $40.63
   500   $0.32    $160.82</t>
        </r>
      </text>
    </comment>
    <comment ref="T17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V1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£0.85      £0.85
    10   £0.41      £4.15
    50   £0.30     £15.20
   100   £0.27     £27.40
   200   £0.25     £50.20
   500   £0.24    £118.00
  2500   £0.22    £557.50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$0.43      $0.43
    10   $0.32      $3.25
    30   $0.30      $9.14
   100   $0.28     $28.50
   500   $0.28    $137.95
  1000   $0.27    $272.30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$0.70      $0.70
    10   $0.52      $5.15
    50   $0.52     $25.75
   100   $0.35     $35.40
  1000   $0.28    $279.00
 10000   $0.28  $2,790.00</t>
        </r>
      </text>
    </comment>
    <comment ref="AL17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3000   $0.37  $1,110.00</t>
        </r>
      </text>
    </comment>
    <comment ref="AT1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500   £0.21    £105.00</t>
        </r>
      </text>
    </comment>
    <comment ref="P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$0.49      $0.49
    10   $0.37      $3.72
   100   $0.23     $23.16
   500   $0.16     $79.22
  1000   $0.12    $121.88
  3000   $0.11    $329.07
  6000   $0.10    $621.60
 15000   $0.09  $1,416.90
 30000   $0.09  $2,650.80
 75000   $0.08  $6,232.50</t>
        </r>
      </text>
    </comment>
    <comment ref="T18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V1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£0.33      £1.67
    10   £0.22      £2.22
   100   £0.10      £9.61
   150   £0.10     £14.42
   500   £0.08     £39.55
  1000   £0.06     £62.10
  5000   £0.06    £304.50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$0.30      $3.05
    50   $0.30     $15.25
   100   $0.14     $14.30
  1000   $0.11    $111.00
 10000   $0.10    $960.00</t>
        </r>
      </text>
    </comment>
    <comment ref="AL18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$0.45      $2.25
    10   $0.30      $3.05
    25   $0.26      $6.58
    50   $0.22     $11.10
   100   $0.18     $18.00</t>
        </r>
      </text>
    </comment>
    <comment ref="H19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$0.11  $1,659.00
150000   $0.10 $15,480.00
1500000   $0.06 $89,100.00
7500000   $0.03 $259,500.00</t>
        </r>
      </text>
    </comment>
    <comment ref="P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$0.36      $0.36
    10   $0.30      $2.98
   100   $0.16     $15.80
   500   $0.10     $51.98
  1000   $0.07     $70.69
  3000   $0.06    $191.28
  6000   $0.06    $332.64
 15000   $0.05    $706.80
 30000   $0.04  $1,330.50
 75000   $0.04  $3,156.00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$0.36      $0.36
    10   $0.30      $2.98
    50   $0.30     $14.90
   100   $0.16     $15.80
  1000   $0.07     $71.00
 10000   $0.05    $470.00</t>
        </r>
      </text>
    </comment>
    <comment ref="H20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$0.84      $0.84
    10   $0.72      $7.21
    25   $0.68     $16.95
   100   $0.49     $48.64
   250   $0.43    $106.45
   500   $0.42    $210.75
  1000   $0.30    $302.60</t>
        </r>
      </text>
    </comment>
    <comment ref="P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$0.97      $0.97
    10   $0.86      $8.57
   100   $0.66     $65.68
   500   $0.52    $259.59
  1000   $0.43    $428.58
  2500   $0.43  $1,071.45</t>
        </r>
      </text>
    </comment>
    <comment ref="V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£0.98      £4.92
    10   £0.80      £7.96
   100   £0.57     £56.80
   500   £0.46    £231.50
  1000   £0.37    £366.00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$0.91      $0.91
    10   $0.82      $8.18
    50   $0.82     $40.90
   100   $0.64     $63.80
  1000   $0.42    $416.00
 10000   $0.39  $3,880.00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$0.11      $1.08
    25   $0.11      $2.70
    50   $0.11      $5.40
   100   $0.11     $10.80
  2500   $0.49  $1,235.00
  5000   $0.46  $2,275.00
  6000   $0.42  $2,502.00
 12000   $0.38  $4,560.00
 18000   $0.37  $6,606.00
 30000   $0.36 $10,770.00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20   £0.54     £10.78
   100   £0.37     £37.30
   500   £0.31    £155.50
  1000   £0.27    £274.00</t>
        </r>
      </text>
    </comment>
    <comment ref="AZ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3   £0.21      £0.62
    25   £0.11      £2.64
   100   £0.09      £8.92
   500   £0.08     £38.55
  2500   £0.07    £175.50</t>
        </r>
      </text>
    </comment>
    <comment ref="H2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3000   $0.08    $229.80
  6000   $0.07    $428.40
  9000   $0.07    $637.20</t>
        </r>
      </text>
    </comment>
    <comment ref="N2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$0.17      $0.17
     5   $0.17      $0.83
    10   $0.16      $1.59
    50   $0.14      $7.10
   100   $0.13     $13.23
   250   $0.12     $29.40
   500   $0.10     $49.00
  1000   $0.09     $93.10
  3000   $0.08    $235.20
  6000   $0.07    $441.00
 15000   $0.07  $1,029.00</t>
        </r>
      </text>
    </comment>
    <comment ref="V2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£0.14      £0.14
     2   £0.14      £0.28
     3   £0.14      £0.41
     5   £0.13      £0.67
    10   £0.13      £1.32
    20   £0.13      £2.58
    25   £0.12      £3.12
    50   £0.11      £5.40
   100   £0.09      £8.92
   150   £0.13     £19.05
   250   £0.09     £21.77
   500   £0.07     £36.70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$0.17      $0.17
    10   $0.15      $1.51
    50   $0.15      $7.55
   100   $0.11     $10.80
  1000   $0.08     $78.00
 10000   $0.06    $640.00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$0.17      $0.17
    25   $0.15      $3.77
    50   $0.13      $6.50
   100   $0.11     $10.80
   250   $0.10     $26.25
   500   $0.09     $44.50
  3000   $0.09    $255.00
  6000   $0.08    $492.00
 12000   $0.08    $924.00
 18000   $0.07  $1,350.00
 24000   $0.07  $1,728.00
 30000   $0.07  $2,010.00</t>
        </r>
      </text>
    </comment>
    <comment ref="AX2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£0.13      £0.64
    10   £0.12      £1.19
    20   £0.10      £1.94
   100   £0.08      £7.94
   500   £0.06     £32.00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8000   $0.07    $526.40
 80000   $0.06  $4,864.00
800000   $0.03 $26,320.00
4000000   $0.02 $82,000.00</t>
        </r>
      </text>
    </comment>
    <comment ref="N22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8000   $0.02    $168.00
 12000   $0.02    $239.40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$0.05      $0.54
    50   $0.05      $2.70
   100   $0.04      $3.50
  1000   $0.03     $29.00
 10000   $0.02    $210.00</t>
        </r>
      </text>
    </comment>
    <comment ref="AL22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8000   $0.02    $176.00</t>
        </r>
      </text>
    </comment>
    <comment ref="H23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2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600   $0.61    $366.00
  6000   $0.60  $3,582.00
 60000   $0.52 $31,278.00
300000   $0.48 $144,480.00
600000   $0.48 $288,720.00</t>
        </r>
      </text>
    </comment>
    <comment ref="P2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$0.77      $0.77
    10   $0.71      $7.08
    50   $0.68     $33.93
   100   $0.65     $64.90
   250   $0.63    $157.83
   600   $0.59    $354.00
  1200   $0.54    $651.36
  1800   $0.50    $902.70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$0.76      $0.76
    10   $0.71      $7.06
    50   $0.66     $33.20
   100   $0.64     $64.40
  1000   $0.59    $588.00
 10000   $0.49  $4,950.00</t>
        </r>
      </text>
    </comment>
    <comment ref="H24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2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550   $4.16  $2,288.00
  5500   $3.98 $21,868.00
 55000   $2.92 $160,325.00
275000   $2.38 $655,050.00
550000   $2.38 $1,307,900.00</t>
        </r>
      </text>
    </comment>
    <comment ref="P2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$4.59      $4.59
    10   $4.41     $44.06
    25   $4.04    $100.97
    50   $3.85    $192.75
   100   $3.67    $367.15
   250   $3.21    $803.13
   450   $3.12  $1,404.33
   950   $2.66  $2,528.72
  2400   $2.48  $5,947.78</t>
        </r>
      </text>
    </comment>
    <comment ref="V2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£4.29      £4.29
    10   £4.14     £41.40
    25   £3.82     £95.50
    50   £3.68    £184.00
   100   £3.52    £352.00
   250   £3.13    £782.50
   500   £3.06  £1,530.00
  1000   £2.88  £2,880.00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$5.10      $5.10
    10   $4.29     $42.90
    50   $4.29    $214.50
   100   $4.08    $408.00
  1000   $2.95  $2,950.00
 10000   $2.75 $27,500.00</t>
        </r>
      </text>
    </comment>
    <comment ref="AN2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$5.18      $5.18
    10   $5.00     $50.00
    25   $4.62    $115.50
    50   $4.44    $222.00
   100   $4.25    $425.00
   250   $3.78    $945.00
   500   $3.70  $1,850.00
  1000   $3.48  $3,480.00</t>
        </r>
      </text>
    </comment>
    <comment ref="H25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2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$0.21      $0.21
    50   $0.17      $8.50
   100   $0.13     $13.00</t>
        </r>
      </text>
    </comment>
    <comment ref="P2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$0.24      $0.24
    10   $0.23      $2.27
    25   $0.19      $4.84
    50   $0.17      $8.47
   100   $0.16     $15.72
   250   $0.14     $34.78
   500   $0.13     $66.53</t>
        </r>
      </text>
    </comment>
    <comment ref="T25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V2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£0.10     £10.10
   500   £0.10     £48.00
  1000   £0.08     £78.00
  2500   £0.07    £175.00
  5000   £0.07    £330.00
 10000   £0.06    £620.00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$0.24      $0.24
    10   $0.17      $1.69
    50   $0.17      $8.45
   100   $0.14     $13.90
  1000   $0.13    $129.00
 10000   $0.11  $1,120.00</t>
        </r>
      </text>
    </comment>
    <comment ref="AN2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$0.20      $0.20
    10   $0.18      $1.83
    25   $0.15      $3.88
    50   $0.14      $6.75
   100   $0.12     $12.50
   250   $0.11     $27.50</t>
        </r>
      </text>
    </comment>
    <comment ref="AT2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3580   £0.07    £247.02</t>
        </r>
      </text>
    </comment>
    <comment ref="J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$0.35      $0.35
    50   $0.28     $14.00
   100   $0.22     $22.00</t>
        </r>
      </text>
    </comment>
    <comment ref="P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$0.35      $3.53
    25   $0.30      $7.56
    50   $0.26     $12.85
   100   $0.25     $24.70
   250   $0.22     $55.44
   500   $0.21    $105.84</t>
        </r>
      </text>
    </comment>
    <comment ref="V2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£0.24      £2.39
   100   £0.19     £18.80
   500   £0.16     £79.50
  1000   £0.14    £140.00
  2500   £0.13    £330.00
  5000   £0.13    £645.00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$0.41      $0.41
    10   $0.38      $3.84
    50   $0.38     $19.20
   100   $0.27     $26.90
  1000   $0.19    $192.00
 10000   $0.15  $1,540.00</t>
        </r>
      </text>
    </comment>
    <comment ref="AN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$0.50      $0.50
    10   $0.46      $4.61
    25   $0.38      $9.60
    50   $0.33     $16.35
   100   $0.31     $31.30
   250   $0.28     $70.25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2630   £0.12    £312.97
 26300   £0.11  £2,945.60
131500   £0.11 £14,070.50
263000   £0.10 £27,352.00
1315000   £0.10 £134,130.00</t>
        </r>
      </text>
    </comment>
    <comment ref="H27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$3.64      $3.64
    50   $2.97    $148.50
   100   $2.52    $252.00</t>
        </r>
      </text>
    </comment>
    <comment ref="P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$4.39      $4.39
    10   $4.22     $42.18
   100   $3.51    $351.48
   500   $2.99  $1,493.79
  1000   $2.55  $2,548.23</t>
        </r>
      </text>
    </comment>
    <comment ref="V2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£2.51      £2.51
    10   £2.10     £21.00
   100   £1.89    £189.00
   250   £1.72    £430.00
   500   £1.58    £790.00
  1000   £1.45  £1,450.00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$4.35      $4.35
    10   $4.17     $41.70
    50   $4.17    $208.50
   100   $3.48    $348.00
  1000   $2.52  $2,520.00
 10000   $2.31 $23,100.00</t>
        </r>
      </text>
    </comment>
    <comment ref="AL27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$3.45      $3.45
    10   $3.10     $31.00
    25   $2.90     $72.50
   100   $2.74    $274.00
   250   $2.31    $577.50
   500   $2.10  $1,050.00
  1000   $1.91  $1,910.00
  2500   $1.82  $4,550.00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65   £1.85    £120.44
   325   £1.72    £559.98
   650   £1.64  £1,064.05</t>
        </r>
      </text>
    </comment>
    <comment ref="J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$0.14      $0.14
    50   $0.11      $5.50
   100   $0.09      $9.00</t>
        </r>
      </text>
    </comment>
    <comment ref="P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$0.16      $0.16
    10   $0.15      $1.51
    25   $0.13      $3.23
    50   $0.11      $5.64
   100   $0.10     $10.48
   250   $0.09     $23.18
   500   $0.09     $44.35</t>
        </r>
      </text>
    </comment>
    <comment ref="V2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£0.07      £7.20
   500   £0.07     £35.00
  1000   £0.06     £58.00
  2500   £0.05    £127.50
  5000   £0.05    £235.00
 10000   £0.04    £430.00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$0.15      $0.15
    10   $0.14      $1.40
    50   $0.14      $7.00
   100   $0.09      $8.60
  1000   $0.06     $63.00
 10000   $0.05    $520.00</t>
        </r>
      </text>
    </comment>
    <comment ref="AN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$0.17      $0.17
    10   $0.16      $1.63
    25   $0.12      $3.02
    50   $0.10      $5.20
   100   $0.10     $10.00
   250   $0.09     $21.75</t>
        </r>
      </text>
    </comment>
    <comment ref="AT2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6370   £0.05    £337.61
 63700   £0.05  £3,248.70
318500   £0.05 £15,288.00
637000   £0.05 £29,302.00
3185000   £0.04 £143,325.00</t>
        </r>
      </text>
    </comment>
    <comment ref="P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50   $0.17      $8.25
   100   $0.14     $14.20
   500   $0.12     $61.50
  4000   $0.14    $546.00</t>
        </r>
      </text>
    </comment>
    <comment ref="V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£0.17      £0.87
    10   £0.15      £1.52
   100   £0.12     £12.50
   150   £0.12     £18.75
   500   £0.11     £53.50
  1000   £0.10    £105.00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$0.18      $1.80
    50   $0.17      $8.55
   100   $0.15     $14.70
  1000   $0.13    $130.00
 10000   $0.13  $1,300.00</t>
        </r>
      </text>
    </comment>
    <comment ref="AN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$0.22      $1.12
    10   $0.21      $2.14
    25   $0.21      $5.20
    50   $0.20     $10.10
   100   $0.17     $17.50
   500   $0.15     $77.00</t>
        </r>
      </text>
    </comment>
    <comment ref="AT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£0.14      £7.25
   500   £0.10     £48.00
  1000   £0.09     £92.00
  2000   £0.09    £174.00
  4000   £0.08    £336.00</t>
        </r>
      </text>
    </comment>
    <comment ref="J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$13.08     $13.08
     5  $13.01     $65.05
    10  $12.88    $128.80
    25  $12.85    $321.25
    50  $12.55    $627.50
   100  $12.29  $1,229.00</t>
        </r>
      </text>
    </comment>
    <comment ref="N30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$15.25     $15.25
     5  $15.13     $75.65
    10  $15.02    $150.15
    25  $14.78    $369.60
    50  $14.32    $716.10
   100  $12.94  $1,293.60
   250  $12.71  $3,176.25
   500  $12.47  $6,237.00</t>
        </r>
      </text>
    </comment>
    <comment ref="V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£18.23     £18.23
     5  £15.68     £78.40
    10  £14.99    £149.90
    20  £13.49    £269.80
    50  £13.22    £661.00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$15.14     $15.14
    10  $15.03    $150.30
    50  $14.33    $716.50
   100  $12.95  $1,295.00
  1000  $12.49 $12,490.00
 10000  $12.49 $124,900.00</t>
        </r>
      </text>
    </comment>
    <comment ref="AN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$17.25     $17.25
     5  $17.20     $86.00
    10  $17.14    $171.40
    25  $16.92    $423.00
    50  $16.45    $822.50
   100  $15.09  $1,509.00</t>
        </r>
      </text>
    </comment>
    <comment ref="H3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$2.57      $2.57
     5   $2.54     $12.68
    10   $2.50     $24.99
    25   $2.43     $60.64
    50   $2.35    $117.60
   100   $2.28    $227.85
   250   $2.21    $551.25
   750   $2.06  $1,543.50</t>
        </r>
      </text>
    </comment>
    <comment ref="V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£3.46      £3.46
     5   £2.90     £14.50
    10   £2.68     £26.80
    20   £2.50     £50.00
    50   £2.38    £119.00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$2.54      $2.54
    10   $2.50     $25.00
    50   $2.36    $118.00
   100   $2.28    $228.00
  1000   $1.98  $1,980.00
 10000   $1.95 $19,500.00</t>
        </r>
      </text>
    </comment>
    <comment ref="AN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$2.87      $2.87
    10   $2.84     $28.40
    25   $2.70     $67.50
    50   $2.66    $133.00
   100   $2.62    $262.00
   250   $2.55    $637.50</t>
        </r>
      </text>
    </comment>
    <comment ref="H32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$0.06      $0.06
    10   $0.01      $0.11
    25   $0.01      $0.26
   100   $0.01      $0.63
   250   $0.01      $1.55
   500   $0.00      $2.35
  1000   $0.00      $4.60
  3000   $0.00     $12.90
  6000   $0.00     $24.00
 15000   $0.00     $57.00</t>
        </r>
      </text>
    </comment>
    <comment ref="P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$0.05      $0.50
   100   $0.02      $2.04
  1000   $0.01      $9.14
  2500   $0.01     $19.85
  5000   $0.01     $32.80</t>
        </r>
      </text>
    </comment>
    <comment ref="V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£0.02      £0.17
   100   £0.01      £1.12
   500   £0.01      £4.65
  1000   £0.01      £9.10
  2500   £0.01     £22.25
  5000   £0.01     £43.00
 25000   £0.01    £182.50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$0.02      $0.17
    50   $0.02      $0.85
   100   $0.01      $1.00
  1000   $0.01      $5.00
 10000   $0.00     $30.00</t>
        </r>
      </text>
    </comment>
    <comment ref="AN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$0.02      $0.17
    25   $0.01      $0.38
    50   $0.01      $0.60
   100   $0.01      $1.00
   500   $0.01      $4.00</t>
        </r>
      </text>
    </comment>
    <comment ref="H33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5000   $0.17    $835.50
 50000   $0.10  $4,765.00
500000   $0.06 $28,500.00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$0.16      $0.16
    10   $0.15      $1.55
    50   $0.14      $7.00
   100   $0.13     $13.00
  1000   $0.09     $90.00
 10000   $0.09    $850.00</t>
        </r>
      </text>
    </comment>
    <comment ref="P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$0.08      $0.80
   100   $0.03      $3.10
  1000   $0.01     $13.62
  2500   $0.01     $29.40
  5000   $0.01     $52.60
 10000   $0.01     $94.40
 25000   $0.01    $216.75
 50000   $0.01    $421.00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$0.06      $0.64
    50   $0.06      $3.20
   100   $0.02      $2.30
  1000   $0.02     $16.00
 10000   $0.01    $100.00</t>
        </r>
      </text>
    </comment>
    <comment ref="H35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5000   $0.09    $461.00
 25000   $0.09  $2,187.50
 50000   $0.08  $4,160.00
100000   $0.08  $7,900.00</t>
        </r>
      </text>
    </comment>
    <comment ref="N35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$0.63
   100   $0.03      $2.54
  1000   $0.01     $11.43
  2500   $0.01     $24.80
  5000   $0.01     $40.95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$0.59
    50   $0.06      $2.95
   100   $0.02      $2.40
  1000   $0.01     $10.00
 10000   $0.01     $60.00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5000   $0.01     $50.00</t>
        </r>
      </text>
    </comment>
    <comment ref="J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5000   $0.01     $28.00</t>
        </r>
      </text>
    </comment>
    <comment ref="P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$0.05      $0.50
   100   $0.02      $2.04
  1000   $0.01      $9.14
  2500   $0.01     $19.85
  5000   $0.01     $32.80</t>
        </r>
      </text>
    </comment>
    <comment ref="AB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$0.69
   500   $0.01      $5.45
  1500   $0.01     $15.45
  5000   $0.01     $48.50
 25000   $0.01    $237.50
 50000   $0.01    $470.00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$0.04      $0.43
    50   $0.04      $2.15
   100   $0.02      $1.80
  1000   $0.01      $7.00
 10000   $0.01     $50.00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25000   $0.01    $125.00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£0.06      £2.95
   500   £0.02     £10.50
  2500   £0.01     £27.50
  5000   £0.01     £50.00
 12500   £0.01    £112.50</t>
        </r>
      </text>
    </comment>
    <comment ref="H37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$0.73
   100   $0.03      $2.99
  1000   $0.01     $13.41
  2500   $0.01     $29.10
  5000   $0.01     $48.05</t>
        </r>
      </text>
    </comment>
    <comment ref="V3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£0.08      £0.08
    10   £0.05      £0.48
    25   £0.06      £1.38
    50   £0.04      £1.91
   100   £0.03      £2.93
   150   £0.03      £4.62
   250   £0.02      £5.70
   500   £0.02     £10.85
  1000   £0.01     £12.50
  2500   £0.01     £23.25
  5000   £0.01     £45.50
 25000   £0.01    £222.50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$0.05      $0.51
    50   $0.05      $2.55
   100   $0.03      $2.60
  1000   $0.01     $11.00
 10000   $0.01     $90.00</t>
        </r>
      </text>
    </comment>
    <comment ref="AN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  25   $0.01      $0.20
    50   $0.01      $0.40
   100   $0.01      $0.80
   250   $0.01      $2.00
   500   $0.01      $4.00
  5000   $0.01     $50.00
 10000   $0.01     $90.00</t>
        </r>
      </text>
    </comment>
    <comment ref="J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5000   $0.00     $24.00</t>
        </r>
      </text>
    </comment>
    <comment ref="P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$0.04      $0.42
   100   $0.02      $1.69
  1000   $0.01      $7.59
  2500   $0.01     $16.48
  5000   $0.01     $27.20</t>
        </r>
      </text>
    </comment>
    <comment ref="V3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£0.04      £0.36
   100   £0.01      £1.30
   150   £0.01      £1.95
   500   £0.01      £6.15
  1000   £0.01      £8.00
  2500   £0.01     £18.25
  5000   £0.01     £36.00
 25000   £0.01    £132.50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$0.04      $0.36
    50   $0.04      $1.80
   100   $0.01      $1.20
  1000   $0.01      $7.00
 10000   $0.00     $40.00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$0.03      $0.31
    25   $0.02      $0.60
    50   $0.02      $0.90
   100   $0.01      $1.10
  5000   $0.01     $50.00
 10000   $0.01     $70.00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5000   £0.01     £50.00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£0.01      £1.17
  1000   £0.00      £2.75
  5000   £0.00      £9.65
 15000   £0.00     £27.45
 50000   £0.00     £88.50</t>
        </r>
      </text>
    </comment>
    <comment ref="H39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5000   $0.09    $461.00
 25000   $0.09  $2,187.50
 50000   $0.08  $4,160.00
100000   $0.08  $7,900.00</t>
        </r>
      </text>
    </comment>
    <comment ref="P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$0.63
   100   $0.03      $2.54
  1000   $0.01     $11.43
  2500   $0.01     $24.80
  5000   $0.01     $40.95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$0.59
    50   $0.06      $2.95
   100   $0.02      $2.40
  1000   $0.01     $10.00
 10000   $0.01     $70.00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40000   $0.01    $200.00</t>
        </r>
      </text>
    </comment>
    <comment ref="J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25000   $0.01    $355.00
250000   $0.01  $3,275.00
2500000   $0.01 $18,000.00</t>
        </r>
      </text>
    </comment>
    <comment ref="P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$0.27
   100   $0.01      $1.09
  1000   $0.00      $4.88
  2500   $0.00     $10.58
  5000   $0.00     $17.50</t>
        </r>
      </text>
    </comment>
    <comment ref="V4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£0.02      £0.02
    10   £0.01      £0.15
    25   £0.01      £0.29
    50   £0.01      £0.46
   100   £0.01      £1.08
   150   £0.01      £1.62
   250   £0.01      £1.45
   500   £0.01      £4.50
  1000   £0.01      £8.90
  2500   £0.01     £21.75
  5000   £0.01     £41.50
 10000   £0.00     £24.00
 25000   £0.01    £177.50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$0.02      $0.17
    50   $0.02      $0.85
   100   $0.01      $1.00
  1000   $0.00      $4.00
 10000   $0.00     $20.00</t>
        </r>
      </text>
    </comment>
    <comment ref="AN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$0.10      $1.00
    25   $0.01      $0.35
    50   $0.01      $0.55
   100   $0.01      $0.80
   250   $0.01      $1.75
   500   $0.01      $3.00
  5000   $0.00     $15.00
 10000   $0.00     $20.00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£0.01      £0.55
   500   £0.01      £4.00
  2500   £0.01     £12.50
  5000   £0.01     £25.00
 12500   £0.00     £50.00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$0.13      $0.13
    10   $0.13      $1.26
    50   $0.10      $5.05
   100   $0.09      $8.80
  1000   $0.05     $52.00
 10000   $0.05    $480.00</t>
        </r>
      </text>
    </comment>
    <comment ref="AL4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5000   $0.10    $505.00</t>
        </r>
      </text>
    </comment>
    <comment ref="J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7000   $0.36  $2,492.00
 14000   $0.35  $4,933.60
 21000   $0.35  $7,326.90
 28000   $0.35  $9,668.40</t>
        </r>
      </text>
    </comment>
    <comment ref="P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$0.56      $0.56
    10   $0.54      $5.37
    25   $0.52     $12.94
   100   $0.45     $44.78
   250   $0.41    $102.00
   500   $0.38    $189.07
  1000   $0.34    $338.33
  2500   $0.32    $801.05
  7000   $0.30  $2,075.78
 14000   $0.28  $3,872.96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$0.56      $0.56
    10   $0.54      $5.38
    50   $0.50     $25.10
   100   $0.45     $44.90
  1000   $0.40    $402.00
 10000   $0.40  $4,020.00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7000   $0.54  $3,780.00
 42000   $0.36 $15,120.00
100000   $0.32 $32,400.00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$0.43      $0.43
    50   $0.33     $16.50
   100   $0.27     $27.00</t>
        </r>
      </text>
    </comment>
    <comment ref="P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$0.42      $4.23
    25   $0.36      $9.07
    50   $0.31     $15.42
   100   $0.30     $29.64
   250   $0.27     $66.53
   500   $0.25    $127.01</t>
        </r>
      </text>
    </comment>
    <comment ref="V4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£0.24      £2.42
   100   £0.19     £19.30
   500   £0.18     £92.50
  1000   £0.15    £154.00
  2500   £0.13    £330.00
  5000   £0.13    £650.00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$0.44      $0.44
    10   $0.31      $3.08
    50   $0.31     $15.40
   100   $0.27     $26.60
  1000   $0.21    $214.00
 10000   $0.17  $1,750.00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$0.44      $0.44
    10   $0.41      $4.14
    25   $0.46     $11.55
    30   $0.35     $10.65
    50   $0.30     $15.05
   100   $0.29     $28.90
   250   $0.26     $64.75
   500   $0.25    $123.50</t>
        </r>
      </text>
    </comment>
    <comment ref="AT4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2550   £0.14    £359.55</t>
        </r>
      </text>
    </comment>
    <comment ref="H44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1000   $0.34    $340.70
 10000   $0.34  $3,389.00
100000   $0.33 $32,750.00
500000   $0.32 $159,900.00
1000000   $0.32 $319,600.00</t>
        </r>
      </text>
    </comment>
    <comment ref="N44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$1.05      $1.05
     5   $1.00      $4.98
    10   $0.87      $8.67
    25   $0.76     $19.04
    50   $0.63     $31.64
   100   $0.54     $53.91
   500   $0.47    $234.40
  1000   $0.41    $410.20
  5000   $0.36  $1,816.60</t>
        </r>
      </text>
    </comment>
    <comment ref="T44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V4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£0.33      £0.33
    50   £0.31     £15.70
   100   £0.30     £29.90
   250   £0.28     £71.00
   500   £0.25    £126.00
  1000   £0.20    £203.00
  5000   £0.20    £995.00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$0.99      $0.99
    10   $0.84      $8.40
    50   $0.56     $28.05
   100   $0.48     $48.50
  1000   $0.38    $382.00
 10000   $0.34  $3,360.00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$0.91      $0.91
    10   $0.75      $7.52
    25   $0.66     $16.53
    50   $0.55     $27.45
   100   $0.47     $46.80
   500   $0.41    $203.50</t>
        </r>
      </text>
    </comment>
    <comment ref="J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$0.22      $0.22
     5   $0.21      $1.07
    10   $0.21      $2.12
    25   $0.21      $5.24
    50   $0.20      $9.98
   100   $0.17     $17.29
   500   $0.16     $78.45
  1000   $0.15    $145.70
  2500   $0.13    $322.75</t>
        </r>
      </text>
    </comment>
    <comment ref="P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$0.42      $0.42
    25   $0.34      $8.52
   100   $0.30     $30.15
   250   $0.28     $70.76
   500   $0.25    $126.15
  1000   $0.20    $198.84
  2500   $0.18    $454.50
  5000   $0.17    $852.20</t>
        </r>
      </text>
    </comment>
    <comment ref="V4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£0.19      £0.19
     5  £15.06     £75.30
    10   £0.18      £1.79
    20  £13.72    £274.40
   100   £0.16     £15.80
   500   £0.12     £62.50
  1000   £0.11    £106.00
  2500   £0.09    £219.50
 10000   £0.08    £784.00</t>
        </r>
      </text>
    </comment>
    <comment ref="AB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$0.24      $0.24
    10   $0.19      $1.89
    30   $0.18      $5.37
   100   $0.17     $16.87
   500   $0.16     $82.10
  1000   $0.16    $161.90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$0.35      $0.35
    10   $0.34      $3.35
    50   $0.24     $12.15
   100   $0.23     $22.60
  1000   $0.17    $171.00
 10000   $0.14  $1,430.00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$2.37
   100   $0.21     $20.90
   500   $0.17     $83.00
  1000   $0.14    $141.00
  2500   $0.12    $290.00
 10000   $0.10  $1,040.00</t>
        </r>
      </text>
    </comment>
    <comment ref="H46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960   $4.77  $4,579.20
  9600   $4.69 $45,014.40
 96000   $4.21 $403,872.00
480000   $3.94 $1,890,240.00
960000   $3.94 $3,777,600.00</t>
        </r>
      </text>
    </comment>
    <comment ref="N46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$9.64      $9.64
    10   $8.71     $87.10
    25   $8.30    $207.62
    80   $7.21    $576.87
   230   $6.89  $1,583.97
   440   $6.28  $2,762.84
   960   $5.91  $5,671.51</t>
        </r>
      </text>
    </comment>
    <comment ref="T46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V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£8.43      £8.43
    10   £7.01     £70.10
    25   £6.68    £167.00
    50   £6.24    £312.00
   100   £5.80    £580.00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$9.63      $9.63
    10   $8.72     $87.20
    50   $8.31    $415.50
   100   $7.22    $722.00
  1000   $5.40  $5,400.00
 10000   $5.40 $54,000.00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$9.81      $9.81
    10   $8.94     $89.40
    25   $8.56    $214.00
    50   $8.06    $403.00
   100   $7.55    $755.00
   250   $7.24  $1,810.00</t>
        </r>
      </text>
    </comment>
    <comment ref="N47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$1.24      $1.24
    10   $1.24     $12.40
    50   $1.19     $59.50
   100   $1.15    $115.00
  1000   $1.15  $1,150.00
 10000   $1.14 $11,400.00</t>
        </r>
      </text>
    </comment>
    <comment ref="H48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2500   $2.76  $6,900.00
 25000   $2.60 $65,000.00
250000   $1.68 $419,000.00
1250000   $1.20 $1,502,500.00
2500000   $1.20 $2,995,000.00</t>
        </r>
      </text>
    </comment>
    <comment ref="P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$2.89      $2.89
    10   $2.59     $25.93
    25   $2.45     $61.29
   100   $2.12    $212.49
   250   $2.02    $503.98
   500   $1.81    $904.43
  1000   $1.72  $1,716.76
  2500   $1.72  $4,291.90</t>
        </r>
      </text>
    </comment>
    <comment ref="AB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$3.21      $3.21
    10   $2.72     $27.25
    30   $2.64     $79.09
   100   $2.55    $254.81
   500   $2.51  $1,254.20
  1000   $2.46  $2,459.70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$2.89      $2.89
    10   $2.60     $26.00
    50   $2.46    $123.00
   100   $2.13    $213.00
  1000   $1.55  $1,550.00
 10000   $1.43 $14,300.00</t>
        </r>
      </text>
    </comment>
    <comment ref="H49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V4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£0.55      £2.77
    10   £0.40      £3.96
   100   £0.18     £18.30
   150   £0.18     £27.45
   500   £0.16     £78.50
  1000   £0.13    £131.00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$0.48      $0.48
    10   $0.39      $3.89
    50   $0.39     $19.45
   100   $0.24     $24.00
  1000   $0.15    $149.00
 10000   $0.12  $1,190.00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$0.47      $2.36
    10   $0.36      $3.57
    25   $0.30      $7.60
    50   $0.25     $12.60
   100   $0.20     $19.90
   250   $0.18     $46.00
   500   $0.17     $84.00
  1000   $0.15    $153.00
  2500   $0.07    $170.00
  5000   $0.07    $325.00
 10000   $0.06    $630.00
 15000   $0.06    $900.00
 25000   $0.06  $1,475.00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£0.26     £12.80
   500   £0.14     £69.00
  1250   £0.12    £146.25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£0.12      £0.61
    25   £0.07      £1.68
   100   £0.06      £5.93
   500   £0.05     £26.64
  2500   £0.05    £124.33</t>
        </r>
      </text>
    </comment>
    <comment ref="H50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2500   $2.95  $7,375.00
 25000   $2.77 $69,300.00
250000   $1.75 $436,500.00
1250000   $1.23 $1,535,000.00
2500000   $1.22 $3,060,000.00</t>
        </r>
      </text>
    </comment>
    <comment ref="N50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P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$2.95      $2.95
    10   $2.65     $26.49
    25   $2.50     $62.61
   100   $2.17    $217.04
   250   $2.06    $514.76
   500   $1.85    $923.79
  1000   $1.75  $1,753.50
  2500   $1.75  $4,383.75</t>
        </r>
      </text>
    </comment>
    <comment ref="AF50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$2.95      $2.95
    10   $2.65     $26.50
    50   $2.51    $125.50
   100   $2.18    $218.00
  1000   $1.58  $1,580.00
 10000   $1.52 $15,200.00</t>
        </r>
      </text>
    </comment>
    <comment ref="J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1000   $0.36    $356.60
 10000   $0.35  $3,547.00
100000   $0.34 $34,240.00
500000   $0.33 $167,100.00
1000000   $0.33 $334,100.00</t>
        </r>
      </text>
    </comment>
    <comment ref="P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$0.97      $0.97
    10   $0.86      $8.57
   100   $0.66     $65.70
   500   $0.52    $259.70
  1000   $0.42    $415.52
  2000   $0.38    $753.14
  5000   $0.37  $1,837.50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$0.97      $0.97
    10   $0.86      $8.57
    50   $0.86     $42.85
   100   $0.64     $63.50
  1000   $0.41    $415.00
 10000   $0.37  $3,710.00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2   £0.30      £0.61
    10   £0.16      £1.63
    50   £0.13      £6.71
   250   £0.12     £29.45
  1000   £0.11    £110.00</t>
        </r>
      </text>
    </comment>
    <comment ref="J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42   $2.63    $110.42
    50   $2.54    $126.75
   100   $2.39    $239.20
   250   $2.28    $570.25
   500   $2.11  $1,055.00
  1000   $2.03  $2,034.00</t>
        </r>
      </text>
    </comment>
    <comment ref="P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$2.86      $2.86
     5   $2.82     $14.11
    10   $2.78     $27.82
    25   $2.70     $67.49
    50   $2.62    $130.90
   100   $2.54    $253.61
   250   $2.45    $613.58
   500   $2.29  $1,145.34</t>
        </r>
      </text>
    </comment>
    <comment ref="V5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£2.29      £2.29
     5   £2.20     £11.00
    10   £2.15     £21.50
    20   £2.09     £41.80
    50   £2.06    £103.00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$2.79      $2.79
    10   $2.76     $27.60
    50   $2.59    $129.50
   100   $2.51    $251.00
  1000   $2.18  $2,180.00
 10000   $2.02 $20,200.00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$2.60      $2.60
    10   $2.57     $25.70
    25   $2.50     $62.50
    50   $2.41    $120.50
   100   $2.34    $234.00
   250   $2.26    $565.00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£2.16      £2.16
     5   £2.08     £10.40
    10   £2.03     £20.30
    25   £1.98     £49.50
    50   £1.94     £97.00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£1.98      £1.98
    42   £1.78     £74.76
   126   £1.70    £214.20</t>
        </r>
      </text>
    </comment>
    <comment ref="H53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40   $3.57    $142.80
   400   $3.44  $1,376.80
  4000   $2.69 $10,764.00
 20000   $2.30 $45,940.00
 40000   $2.29 $91,720.00</t>
        </r>
      </text>
    </comment>
    <comment ref="P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$3.81      $3.81
     5   $3.79     $18.95
    10   $3.76     $37.60
    25   $3.72     $93.00
    50   $3.63    $181.50
   100   $3.45    $345.00
   250   $3.23    $807.50
   500   $3.01  $1,505.00
  1000   $2.82  $2,820.01</t>
        </r>
      </text>
    </comment>
    <comment ref="V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£2.82      £2.82
     5   £2.81     £14.05
    10   £2.79     £27.90
    20   £2.74     £54.80
    50   £2.69    £134.50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$3.49      $3.49
    10   $3.29     $32.90
    50   $3.08    $154.00
   100   $2.92    $292.00
  1000   $2.52  $2,520.00
 10000   $2.52 $25,200.00</t>
        </r>
      </text>
    </comment>
    <comment ref="AN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$4.23      $4.23
    10   $4.18     $41.80
    25   $4.14    $103.50
    50   $4.05    $202.50
   100   $3.87    $387.00
   250   $3.65    $912.50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£3.12      £3.12
     5   £3.00     £15.00
    10   £2.94     £29.40
    25   £2.87     £71.75
    50   £2.81    £140.50</t>
        </r>
      </text>
    </comment>
    <comment ref="P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$0.51      $0.51
    10   $0.42      $4.22
    50   $0.38     $19.01
   100   $0.34     $33.80
   500   $0.32    $160.55
  1000   $0.27    $270.40</t>
        </r>
      </text>
    </comment>
    <comment ref="AH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$0.51      $0.51
    10   $0.42      $4.22
    50   $0.38     $19.05
   100   $0.34     $33.80
  1000   $0.28    $283.00
 10000   $0.17  $1,690.00</t>
        </r>
      </text>
    </comment>
    <comment ref="F56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I5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O5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U5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A5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G5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S5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F57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Copy this header and order to a CSV
file and use it for JLCPCB 
manufacturer PCB house.
The multipart components that use
"#" symbol are not allowed by JLCPCB.</t>
        </r>
      </text>
    </comment>
  </commentList>
</comments>
</file>

<file path=xl/sharedStrings.xml><?xml version="1.0" encoding="utf-8"?>
<sst xmlns="http://schemas.openxmlformats.org/spreadsheetml/2006/main" count="773" uniqueCount="391">
  <si>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</si>
  <si>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</si>
  <si>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</si>
  <si>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</si>
  <si>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</si>
  <si>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</si>
  <si>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</si>
  <si>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</si>
  <si>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BT1</t>
  </si>
  <si>
    <t>Battery_Cell</t>
  </si>
  <si>
    <t>CR2032</t>
  </si>
  <si>
    <t>97384199</t>
  </si>
  <si>
    <t>C1,C2,C5,C7-C11,C13,C20-C22,C25,C26,C30-C32</t>
  </si>
  <si>
    <t>100nF</t>
  </si>
  <si>
    <t>C_0805_2012Metric</t>
  </si>
  <si>
    <t>CC0805KRX7R9BB104</t>
  </si>
  <si>
    <t>C3,C4</t>
  </si>
  <si>
    <t>12pF</t>
  </si>
  <si>
    <t>C0805C120K5HACTU</t>
  </si>
  <si>
    <t>C6</t>
  </si>
  <si>
    <t>4,7uF</t>
  </si>
  <si>
    <t>CGA4J1X7R1H475K125AE</t>
  </si>
  <si>
    <t>C12</t>
  </si>
  <si>
    <t>1ÂµF</t>
  </si>
  <si>
    <t>CL21B105KBFNFNE</t>
  </si>
  <si>
    <t>C14</t>
  </si>
  <si>
    <t>10nF</t>
  </si>
  <si>
    <t>C0805X103K5RAC3316</t>
  </si>
  <si>
    <t>C15,C16</t>
  </si>
  <si>
    <t>47uF</t>
  </si>
  <si>
    <t>CP_Elec_6.3x7.7</t>
  </si>
  <si>
    <t>865080645012</t>
  </si>
  <si>
    <t>C17,C18,C27,C28</t>
  </si>
  <si>
    <t>33pF</t>
  </si>
  <si>
    <t>C0805C330J5GACTU</t>
  </si>
  <si>
    <t>C19,C24,C34-C40</t>
  </si>
  <si>
    <t>10uF</t>
  </si>
  <si>
    <t>C_1210_3225Metric</t>
  </si>
  <si>
    <t>CL32B106KBJZW6E</t>
  </si>
  <si>
    <t>C23,C33</t>
  </si>
  <si>
    <t>1uF</t>
  </si>
  <si>
    <t>C29</t>
  </si>
  <si>
    <t>CP_Elec_8x11.9</t>
  </si>
  <si>
    <t>EEE-FN2A100P</t>
  </si>
  <si>
    <t>D1,D2</t>
  </si>
  <si>
    <t>RBR2MM60ATFTR</t>
  </si>
  <si>
    <t>D_SOD-123</t>
  </si>
  <si>
    <t>D3-D9</t>
  </si>
  <si>
    <t>3.3V</t>
  </si>
  <si>
    <t>MMSZ5226C-HE3-08</t>
  </si>
  <si>
    <t>D10,D11</t>
  </si>
  <si>
    <t>STTH4R02U</t>
  </si>
  <si>
    <t>D_SMB</t>
  </si>
  <si>
    <t>F1,F2</t>
  </si>
  <si>
    <t>0ZCJ0050AF2E</t>
  </si>
  <si>
    <t>Fuse_1812_4532Metric</t>
  </si>
  <si>
    <t>FB1</t>
  </si>
  <si>
    <t>100Ohm @Â 100MHz</t>
  </si>
  <si>
    <t>R_0805_2012Metric</t>
  </si>
  <si>
    <t>ILBB0805ER101V</t>
  </si>
  <si>
    <t>J1,J6</t>
  </si>
  <si>
    <t>Conn_01x02</t>
  </si>
  <si>
    <t>PTSM-0,5-2-HH0-SMD</t>
  </si>
  <si>
    <t>1814919</t>
  </si>
  <si>
    <t>J2,J3</t>
  </si>
  <si>
    <t>RJ45_LED_Shielded</t>
  </si>
  <si>
    <t>ethernet_RJE721881411</t>
  </si>
  <si>
    <t>RJE721881411</t>
  </si>
  <si>
    <t>J4</t>
  </si>
  <si>
    <t>Conn_01x03_Male</t>
  </si>
  <si>
    <t>PinHeader_1x03_P2.54mm_Vertical</t>
  </si>
  <si>
    <t>TSW-103-07-T-S</t>
  </si>
  <si>
    <t>J5</t>
  </si>
  <si>
    <t>Conn_01x05_Male</t>
  </si>
  <si>
    <t>PinHeader_1x05_P2.54mm_Vertical</t>
  </si>
  <si>
    <t>TSW-105-07-T-S</t>
  </si>
  <si>
    <t>J8</t>
  </si>
  <si>
    <t>Conn_02x07_Odd_Even</t>
  </si>
  <si>
    <t>PinHeader_2x07_P1.27mm_Vertical_SMD</t>
  </si>
  <si>
    <t>FTSH-107-01-F-DV-K</t>
  </si>
  <si>
    <t>JP2</t>
  </si>
  <si>
    <t>Jumper</t>
  </si>
  <si>
    <t>PinHeader_1x02_P2.54mm_Vertical</t>
  </si>
  <si>
    <t>TSW-102-07-T-S</t>
  </si>
  <si>
    <t>LED1</t>
  </si>
  <si>
    <t>LED</t>
  </si>
  <si>
    <t>LED_0805_2012Metric</t>
  </si>
  <si>
    <t>150080RS75000</t>
  </si>
  <si>
    <t>PS4</t>
  </si>
  <si>
    <t>PQDE6W-Q110-S5-D</t>
  </si>
  <si>
    <t>PS5</t>
  </si>
  <si>
    <t>VXO78xxx</t>
  </si>
  <si>
    <t>CONV_VXO78012-500-M</t>
  </si>
  <si>
    <t>VXO78012-500-M-TR</t>
  </si>
  <si>
    <t>R1</t>
  </si>
  <si>
    <t>120</t>
  </si>
  <si>
    <t>CR0805-FX-1200ELF</t>
  </si>
  <si>
    <t>R2-R8,R15,R19,R25</t>
  </si>
  <si>
    <t>20k</t>
  </si>
  <si>
    <t>PCF-W0805LF-03-2002-B-P-LT</t>
  </si>
  <si>
    <t>R9,R14,R17,R18,R21</t>
  </si>
  <si>
    <t>51</t>
  </si>
  <si>
    <t>RT0805FRE0751RL</t>
  </si>
  <si>
    <t>R10,R12,R28</t>
  </si>
  <si>
    <t>330</t>
  </si>
  <si>
    <t>CRCW0805330RFKEAC</t>
  </si>
  <si>
    <t>R11,R13</t>
  </si>
  <si>
    <t>3000</t>
  </si>
  <si>
    <t>CR0805-FX-3001ELF</t>
  </si>
  <si>
    <t>R16,R20</t>
  </si>
  <si>
    <t>2.2</t>
  </si>
  <si>
    <t>CR0805AF/-2R20EAS</t>
  </si>
  <si>
    <t>R22</t>
  </si>
  <si>
    <t>1k</t>
  </si>
  <si>
    <t>RC0805FR-071KL</t>
  </si>
  <si>
    <t>R23</t>
  </si>
  <si>
    <t>220</t>
  </si>
  <si>
    <t>CRCW0805220RFKEAC</t>
  </si>
  <si>
    <t>R24</t>
  </si>
  <si>
    <t>100</t>
  </si>
  <si>
    <t>CR0805-FX-1000ELF</t>
  </si>
  <si>
    <t>R26,R27</t>
  </si>
  <si>
    <t>100K</t>
  </si>
  <si>
    <t>APC0805B100KN</t>
  </si>
  <si>
    <t>SW1</t>
  </si>
  <si>
    <t>SW_Push</t>
  </si>
  <si>
    <t>SW_Push_1P1T_NO_CK_KMR2</t>
  </si>
  <si>
    <t>KMR241NGLFS</t>
  </si>
  <si>
    <t>SWD1</t>
  </si>
  <si>
    <t>Conn_01x06_Female</t>
  </si>
  <si>
    <t>PinHeader_1x06_P2.54mm_Vertical</t>
  </si>
  <si>
    <t>TSW-106-07-T-S</t>
  </si>
  <si>
    <t>TH1</t>
  </si>
  <si>
    <t>NXFT15XH103FA2B100</t>
  </si>
  <si>
    <t>PinHeader_1x02_P1.27mm_Horizontal</t>
  </si>
  <si>
    <t>TP1-TP8,TP12-TP15,TP32,TP33</t>
  </si>
  <si>
    <t>TestPoint</t>
  </si>
  <si>
    <t>TestPoint_THTPad_D2.0mm_Drill1.0mm</t>
  </si>
  <si>
    <t>5001</t>
  </si>
  <si>
    <t>U1</t>
  </si>
  <si>
    <t>STM32G474RE</t>
  </si>
  <si>
    <t>LQFP-64_10x10mm_P0.5mm</t>
  </si>
  <si>
    <t>STM32G474RET6</t>
  </si>
  <si>
    <t>U2</t>
  </si>
  <si>
    <t>AT25xxx</t>
  </si>
  <si>
    <t>SOIC-8_3.9x4.9mm_P1.27mm</t>
  </si>
  <si>
    <t>AT25256B-SSPDGV-T</t>
  </si>
  <si>
    <t>U3</t>
  </si>
  <si>
    <t>TCAN334GDR</t>
  </si>
  <si>
    <t>U4</t>
  </si>
  <si>
    <t>AP1117-33</t>
  </si>
  <si>
    <t>SOT-223-3_TabPin2</t>
  </si>
  <si>
    <t>AP1117E33G-13</t>
  </si>
  <si>
    <t>U5,U6</t>
  </si>
  <si>
    <t>UCC21222DR</t>
  </si>
  <si>
    <t>SOIC-16_3.9x9.9mm_P1.27mm</t>
  </si>
  <si>
    <t>U7</t>
  </si>
  <si>
    <t>SFH617A-2X009T</t>
  </si>
  <si>
    <t>SMDIP-4_W7.62mm</t>
  </si>
  <si>
    <t>U8</t>
  </si>
  <si>
    <t>RFM-0505s</t>
  </si>
  <si>
    <t>Converter_DCDC_muRata_CRE1xxxxxx3C_THT</t>
  </si>
  <si>
    <t>ROE0505S</t>
  </si>
  <si>
    <t>U9</t>
  </si>
  <si>
    <t>CME0512S3C</t>
  </si>
  <si>
    <t>Y1</t>
  </si>
  <si>
    <t>ECS-240-10-33-AGM-TR   - 24MHz</t>
  </si>
  <si>
    <t>Crystal_SMD_3225-4Pin_3.2x2.5mm</t>
  </si>
  <si>
    <t>ECS-240-10-33-AGM-TR</t>
  </si>
  <si>
    <t>Arrow</t>
  </si>
  <si>
    <t>Avail</t>
  </si>
  <si>
    <t>Purch</t>
  </si>
  <si>
    <t>MOQ</t>
  </si>
  <si>
    <t>Cat#</t>
  </si>
  <si>
    <t>NonStk</t>
  </si>
  <si>
    <t>EEEFN2A100P</t>
  </si>
  <si>
    <t>MMSZ5226CHE308</t>
  </si>
  <si>
    <t>TSW10307TS</t>
  </si>
  <si>
    <t>TSW10507TS</t>
  </si>
  <si>
    <t>FTSH10701FDVK</t>
  </si>
  <si>
    <t>TSW10207TS</t>
  </si>
  <si>
    <t>PQDE6WQ110S5D</t>
  </si>
  <si>
    <t>VXO78012500MTR</t>
  </si>
  <si>
    <t>CR0805FX1200ELF</t>
  </si>
  <si>
    <t>PCFW0805LF032002BPLT</t>
  </si>
  <si>
    <t>CR0805FX3001ELF</t>
  </si>
  <si>
    <t>CR0805AF/2R20EAS</t>
  </si>
  <si>
    <t>RC0805FR071KL</t>
  </si>
  <si>
    <t>CR0805FX1000ELF</t>
  </si>
  <si>
    <t>KMR241NG LFS</t>
  </si>
  <si>
    <t>TSW10607TS</t>
  </si>
  <si>
    <t>AP1117E33G13</t>
  </si>
  <si>
    <t>SFH617A2X009T</t>
  </si>
  <si>
    <t>Buy here</t>
  </si>
  <si>
    <t>Digi-Key</t>
  </si>
  <si>
    <t>490-CR2032R-HO6-ND</t>
  </si>
  <si>
    <t>311-1140-1-ND</t>
  </si>
  <si>
    <t>445-181410-1-ND</t>
  </si>
  <si>
    <t>1276-2928-1-ND</t>
  </si>
  <si>
    <t>399-C0805X103K5RAC3316CT-ND</t>
  </si>
  <si>
    <t>732-8457-1-ND</t>
  </si>
  <si>
    <t>399-1115-1-ND</t>
  </si>
  <si>
    <t>1276-7052-1-ND</t>
  </si>
  <si>
    <t>10-EEE-FN2A100PCT-ND</t>
  </si>
  <si>
    <t>RBR2MM60ATFCT-ND</t>
  </si>
  <si>
    <t>MMSZ5226C-HE3-08GICT-ND</t>
  </si>
  <si>
    <t>497-5260-1-ND</t>
  </si>
  <si>
    <t>507-1803-1-ND</t>
  </si>
  <si>
    <t>ILBB0805ER101V-ND</t>
  </si>
  <si>
    <t>277-9963-1-ND</t>
  </si>
  <si>
    <t>RJE72-188-1411-ND</t>
  </si>
  <si>
    <t>SAM1035-03-ND</t>
  </si>
  <si>
    <t>SAM1035-05-ND</t>
  </si>
  <si>
    <t>612-FTSH-107-01-F-DV-K-ND</t>
  </si>
  <si>
    <t>SAM1035-02-ND</t>
  </si>
  <si>
    <t>732-4984-1-ND</t>
  </si>
  <si>
    <t>102-PQDE6W-Q110-S5-D-ND</t>
  </si>
  <si>
    <t>102-VXO78012-500-M-CT-ND</t>
  </si>
  <si>
    <t>CR0805-FX-1200ELFCT-ND</t>
  </si>
  <si>
    <t>13-RT0805FRE0751RLCT-ND</t>
  </si>
  <si>
    <t>541-4142-1-ND</t>
  </si>
  <si>
    <t>CR0805-FX-3001ELFCT-ND</t>
  </si>
  <si>
    <t>CR0805AF/-2R20EASCT-ND</t>
  </si>
  <si>
    <t>311-1.00KCRCT-ND</t>
  </si>
  <si>
    <t>541-4154-1-ND</t>
  </si>
  <si>
    <t>CR0805-FX-1000ELFCT-ND</t>
  </si>
  <si>
    <t>CKN10247CT-ND</t>
  </si>
  <si>
    <t>SAM1035-06-ND</t>
  </si>
  <si>
    <t>490-5630-ND</t>
  </si>
  <si>
    <t>36-5001-ND</t>
  </si>
  <si>
    <t>497-STM32G474RET6-ND</t>
  </si>
  <si>
    <t>AT25256B-SSPDGV-T-ND</t>
  </si>
  <si>
    <t>296-49940-1-ND</t>
  </si>
  <si>
    <t>296-52191-1-ND</t>
  </si>
  <si>
    <t>SFH617A-2X009TCT-ND</t>
  </si>
  <si>
    <t>945-1655-5-ND</t>
  </si>
  <si>
    <t>811-2892-5-ND</t>
  </si>
  <si>
    <t>XC2954CT-ND</t>
  </si>
  <si>
    <t>Farnell</t>
  </si>
  <si>
    <t>1362416</t>
  </si>
  <si>
    <t>3228181</t>
  </si>
  <si>
    <t>2666895</t>
  </si>
  <si>
    <t>2466338</t>
  </si>
  <si>
    <t>1414685</t>
  </si>
  <si>
    <t>3386236</t>
  </si>
  <si>
    <t>2581589</t>
  </si>
  <si>
    <t>1295277</t>
  </si>
  <si>
    <t>2834888</t>
  </si>
  <si>
    <t>2301185</t>
  </si>
  <si>
    <t>2856687</t>
  </si>
  <si>
    <t>3585262</t>
  </si>
  <si>
    <t>3550973</t>
  </si>
  <si>
    <t>2505046</t>
  </si>
  <si>
    <t>2322077</t>
  </si>
  <si>
    <t>3595157</t>
  </si>
  <si>
    <t>3595425</t>
  </si>
  <si>
    <t>2908387</t>
  </si>
  <si>
    <t>3217912</t>
  </si>
  <si>
    <t>9237496</t>
  </si>
  <si>
    <t>1795256</t>
  </si>
  <si>
    <t>2856719</t>
  </si>
  <si>
    <t>3471669</t>
  </si>
  <si>
    <t>1463077</t>
  </si>
  <si>
    <t>3132418</t>
  </si>
  <si>
    <t>1825291</t>
  </si>
  <si>
    <t>2218597</t>
  </si>
  <si>
    <t>2400813</t>
  </si>
  <si>
    <t>LCSC</t>
  </si>
  <si>
    <t>C494873</t>
  </si>
  <si>
    <t>C204388</t>
  </si>
  <si>
    <t>C238122</t>
  </si>
  <si>
    <t>C189939</t>
  </si>
  <si>
    <t>Mouser</t>
  </si>
  <si>
    <t>603CC805KRX7R9BB104</t>
  </si>
  <si>
    <t>80C0805C120K5HACTU</t>
  </si>
  <si>
    <t>810CGA4J1X7R1H475K2</t>
  </si>
  <si>
    <t>187CL21B105KBFNFNE</t>
  </si>
  <si>
    <t>80C0805X103K5RC3316</t>
  </si>
  <si>
    <t>710865080645012</t>
  </si>
  <si>
    <t>80C0805C330J5G</t>
  </si>
  <si>
    <t>187CL32B106KBJZW6E</t>
  </si>
  <si>
    <t>667EEEFN2A100P</t>
  </si>
  <si>
    <t>755RBR2MM60ATFTR</t>
  </si>
  <si>
    <t>78MMSZ5226CHE308</t>
  </si>
  <si>
    <t>511STTH4R02U</t>
  </si>
  <si>
    <t>5300ZCJ0050AF2E</t>
  </si>
  <si>
    <t>70ILBB0805ER101V</t>
  </si>
  <si>
    <t>6511814919</t>
  </si>
  <si>
    <t>523RJE721881411</t>
  </si>
  <si>
    <t>200TSW10307TS</t>
  </si>
  <si>
    <t>200TSW10507TS</t>
  </si>
  <si>
    <t>200FTSH10701FDVK</t>
  </si>
  <si>
    <t>200TSW10207TS</t>
  </si>
  <si>
    <t>710150080RS75000</t>
  </si>
  <si>
    <t>490PQDE6WQ110S5D</t>
  </si>
  <si>
    <t>490VXO78012500MTR</t>
  </si>
  <si>
    <t>652CR0805FX1200ELF</t>
  </si>
  <si>
    <t>66PCF08C20KB</t>
  </si>
  <si>
    <t>603RT0805FRE0751RL</t>
  </si>
  <si>
    <t>71CRCW0805330RFKEAC</t>
  </si>
  <si>
    <t>652CR0805FX3001ELF</t>
  </si>
  <si>
    <t>652CR0805AF/2R20EAS</t>
  </si>
  <si>
    <t>603RC0805FR071KL</t>
  </si>
  <si>
    <t>71CRCW0805220RFKEAC</t>
  </si>
  <si>
    <t>652CR0805FX1000ELF</t>
  </si>
  <si>
    <t>284APC0805B100KN</t>
  </si>
  <si>
    <t>611KMR241NGLFS</t>
  </si>
  <si>
    <t>200TSW10607TS</t>
  </si>
  <si>
    <t>81NXFT15XH103FA2B00</t>
  </si>
  <si>
    <t>5345001</t>
  </si>
  <si>
    <t>511STM32G474RET6</t>
  </si>
  <si>
    <t>579AT25256BSSPDGVT</t>
  </si>
  <si>
    <t>595TCAN334GDR</t>
  </si>
  <si>
    <t>621AP1117E33G13</t>
  </si>
  <si>
    <t>595UCC21222DR</t>
  </si>
  <si>
    <t>78SFH617A2X009T</t>
  </si>
  <si>
    <t>919ROE0505S</t>
  </si>
  <si>
    <t>580CME0512S3C</t>
  </si>
  <si>
    <t>5202401033AGMT</t>
  </si>
  <si>
    <t>Newark</t>
  </si>
  <si>
    <t>69C9531</t>
  </si>
  <si>
    <t>39AH0425</t>
  </si>
  <si>
    <t>01AC1591</t>
  </si>
  <si>
    <t>40Y4053</t>
  </si>
  <si>
    <t>64K2926</t>
  </si>
  <si>
    <t>66AH9748</t>
  </si>
  <si>
    <t>92Y3811</t>
  </si>
  <si>
    <t>26M3786</t>
  </si>
  <si>
    <t>48AC8414</t>
  </si>
  <si>
    <t>35M5632</t>
  </si>
  <si>
    <t>47W2089</t>
  </si>
  <si>
    <t>26AC4834</t>
  </si>
  <si>
    <t>12P1459</t>
  </si>
  <si>
    <t>01R3951</t>
  </si>
  <si>
    <t>26AC4817</t>
  </si>
  <si>
    <t>95W3801</t>
  </si>
  <si>
    <t>13AJ0794</t>
  </si>
  <si>
    <t>13AJ1533</t>
  </si>
  <si>
    <t>67AC7775</t>
  </si>
  <si>
    <t>95AC8920</t>
  </si>
  <si>
    <t>32K3034</t>
  </si>
  <si>
    <t>16AH0600</t>
  </si>
  <si>
    <t>82K7536</t>
  </si>
  <si>
    <t>45AC9184</t>
  </si>
  <si>
    <t>10P9700</t>
  </si>
  <si>
    <t>80AH5766</t>
  </si>
  <si>
    <t>35AH0931</t>
  </si>
  <si>
    <t>12P1526</t>
  </si>
  <si>
    <t>76AH6928</t>
  </si>
  <si>
    <t>62W5135</t>
  </si>
  <si>
    <t>17AH9372</t>
  </si>
  <si>
    <t>79R5845</t>
  </si>
  <si>
    <t>63X9545</t>
  </si>
  <si>
    <t>44X7245</t>
  </si>
  <si>
    <t>RS Components</t>
  </si>
  <si>
    <t>1916788</t>
  </si>
  <si>
    <t>6698842</t>
  </si>
  <si>
    <t>8391884</t>
  </si>
  <si>
    <t>2644264</t>
  </si>
  <si>
    <t>2043413</t>
  </si>
  <si>
    <t>250319</t>
  </si>
  <si>
    <t>1612254</t>
  </si>
  <si>
    <t>1612271</t>
  </si>
  <si>
    <t>2081471</t>
  </si>
  <si>
    <t>1555316</t>
  </si>
  <si>
    <t>8154225</t>
  </si>
  <si>
    <t>7409013</t>
  </si>
  <si>
    <t>6183583</t>
  </si>
  <si>
    <t>7408978</t>
  </si>
  <si>
    <t>1612283</t>
  </si>
  <si>
    <t>7512890</t>
  </si>
  <si>
    <t>7773285</t>
  </si>
  <si>
    <t>8163452</t>
  </si>
  <si>
    <t>TME</t>
  </si>
  <si>
    <t>CC0805KRX7R9104</t>
  </si>
  <si>
    <t>RC0805FR071K</t>
  </si>
  <si>
    <t>Total Purchase:</t>
  </si>
  <si>
    <t>Purchase description:</t>
  </si>
  <si>
    <t>Used currency rates:</t>
  </si>
  <si>
    <t>USD($)/GBP(£):</t>
  </si>
  <si>
    <t>Prj:</t>
  </si>
  <si>
    <t>Shield_Nucleo.csv</t>
  </si>
  <si>
    <t>Co.:</t>
  </si>
  <si>
    <t>Prj date:</t>
  </si>
  <si>
    <t>2021-06-02 11:23:48 (file)</t>
  </si>
  <si>
    <t>Board Qty:</t>
  </si>
  <si>
    <t>Total Cost:</t>
  </si>
  <si>
    <t>Unit Cost:</t>
  </si>
  <si>
    <t>$ date:</t>
  </si>
  <si>
    <t>2021-06-02 11:23:56</t>
  </si>
  <si>
    <t>KiCost® v1.1.5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</si>
</sst>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166DD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4DA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1" applyAlignment="1" applyProtection="1"/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5"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ill>
        <patternFill>
          <bgColor rgb="FF80FF80"/>
        </patternFill>
      </fill>
    </dxf>
    <dxf>
      <fill>
        <patternFill>
          <bgColor rgb="FFFFFF00"/>
        </patternFill>
      </fill>
    </dxf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urata.com/-/media/webrenewal/products/batteries/micro/cr/test_summary/test_summary_pdf/tab-high-drain/test-summary-un38-3-cr2032r-ho6aaww-97384199.ashx?la=en-gb&amp;cvid=20210218001039000000" TargetMode="External"/><Relationship Id="rId2" Type="http://schemas.openxmlformats.org/officeDocument/2006/relationships/hyperlink" Target="https://octopart.com/click/track?c=1&amp;ai=8078&amp;sig=0badaff&amp;sid=459&amp;ppid=107301712&amp;vpid=608907749&amp;ct=offers" TargetMode="External"/><Relationship Id="rId3" Type="http://schemas.openxmlformats.org/officeDocument/2006/relationships/hyperlink" Target="https://octopart.com/click/track?ai=8078&amp;sig=05a028f&amp;sid=10022&amp;ppid=107301712&amp;vpid=608421371&amp;ct=offers" TargetMode="External"/><Relationship Id="rId4" Type="http://schemas.openxmlformats.org/officeDocument/2006/relationships/hyperlink" Target="https://octopart.com/click/track?ai=8078&amp;sig=0496f8b&amp;sid=1106&amp;ppid=192993&amp;vpid=198824262&amp;ct=offers" TargetMode="External"/><Relationship Id="rId5" Type="http://schemas.openxmlformats.org/officeDocument/2006/relationships/hyperlink" Target="https://octopart.com/click/track?ai=8078&amp;sig=0012054&amp;sid=459&amp;ppid=192993&amp;vpid=115263418&amp;ct=offers" TargetMode="External"/><Relationship Id="rId6" Type="http://schemas.openxmlformats.org/officeDocument/2006/relationships/hyperlink" Target="https://octopart.com/click/track?c=1&amp;ai=8078&amp;sig=09079f1&amp;sid=11744&amp;ppid=192993&amp;vpid=541915125&amp;ct=offers" TargetMode="External"/><Relationship Id="rId7" Type="http://schemas.openxmlformats.org/officeDocument/2006/relationships/hyperlink" Target="https://octopart.com/click/track?ai=8078&amp;sig=0b9cfea&amp;sid=2401&amp;ppid=192993&amp;vpid=115233263&amp;ct=offers" TargetMode="External"/><Relationship Id="rId8" Type="http://schemas.openxmlformats.org/officeDocument/2006/relationships/hyperlink" Target="https://octopart.com/click/track?ai=8078&amp;sig=005ea2c&amp;sid=2402&amp;ppid=192993&amp;vpid=115423641&amp;ct=offers" TargetMode="External"/><Relationship Id="rId9" Type="http://schemas.openxmlformats.org/officeDocument/2006/relationships/hyperlink" Target="https://octopart.com/click/track?ai=8078&amp;sig=04a8782&amp;sid=10022&amp;ppid=192993&amp;vpid=199200305&amp;ct=offers" TargetMode="External"/><Relationship Id="rId10" Type="http://schemas.openxmlformats.org/officeDocument/2006/relationships/hyperlink" Target="https://octopart.com/click/track?ai=8078&amp;sig=065ac57&amp;sid=1532&amp;ppid=192993&amp;vpid=709256990&amp;ct=offers" TargetMode="External"/><Relationship Id="rId11" Type="http://schemas.openxmlformats.org/officeDocument/2006/relationships/hyperlink" Target="https://octopart.com/click/track?ai=8078&amp;sig=0b1b8ea&amp;sid=2401&amp;ppid=88696553&amp;vpid=459543741&amp;ct=offers" TargetMode="External"/><Relationship Id="rId12" Type="http://schemas.openxmlformats.org/officeDocument/2006/relationships/hyperlink" Target="https://octopart.com/click/track?c=1&amp;ai=8078&amp;sig=06054e9&amp;sid=1106&amp;ppid=97162610&amp;vpid=631377197&amp;ct=offers" TargetMode="External"/><Relationship Id="rId13" Type="http://schemas.openxmlformats.org/officeDocument/2006/relationships/hyperlink" Target="https://octopart.com/click/track?c=1&amp;ai=8078&amp;sig=0b0a1b8&amp;sid=459&amp;ppid=97162610&amp;vpid=510672546&amp;ct=offers" TargetMode="External"/><Relationship Id="rId14" Type="http://schemas.openxmlformats.org/officeDocument/2006/relationships/hyperlink" Target="https://octopart.com/click/track?c=1&amp;ai=8078&amp;sig=027f76b&amp;sid=11744&amp;ppid=97162610&amp;vpid=592593139&amp;ct=offers" TargetMode="External"/><Relationship Id="rId15" Type="http://schemas.openxmlformats.org/officeDocument/2006/relationships/hyperlink" Target="https://octopart.com/click/track?ai=8078&amp;sig=05d5ed0&amp;sid=2401&amp;ppid=97162610&amp;vpid=510688041&amp;ct=offers" TargetMode="External"/><Relationship Id="rId16" Type="http://schemas.openxmlformats.org/officeDocument/2006/relationships/hyperlink" Target="https://octopart.com/click/track?ai=8078&amp;sig=097c064&amp;sid=2402&amp;ppid=97162610&amp;vpid=590390355&amp;ct=offers" TargetMode="External"/><Relationship Id="rId17" Type="http://schemas.openxmlformats.org/officeDocument/2006/relationships/hyperlink" Target="https://octopart.com/click/track?ai=8078&amp;sig=05e8cfe&amp;sid=1106&amp;ppid=19832283&amp;vpid=473428298&amp;ct=offers" TargetMode="External"/><Relationship Id="rId18" Type="http://schemas.openxmlformats.org/officeDocument/2006/relationships/hyperlink" Target="https://octopart.com/click/track?ai=8078&amp;sig=031f763&amp;sid=459&amp;ppid=19832283&amp;vpid=72526123&amp;ct=offers" TargetMode="External"/><Relationship Id="rId19" Type="http://schemas.openxmlformats.org/officeDocument/2006/relationships/hyperlink" Target="https://octopart.com/click/track?ai=8078&amp;sig=06aeb5d&amp;sid=2401&amp;ppid=19832283&amp;vpid=659501611&amp;ct=offers" TargetMode="External"/><Relationship Id="rId20" Type="http://schemas.openxmlformats.org/officeDocument/2006/relationships/hyperlink" Target="https://octopart.com/click/track?ai=8078&amp;sig=014add4&amp;sid=459&amp;ppid=75810820&amp;vpid=616365054&amp;ct=offers" TargetMode="External"/><Relationship Id="rId21" Type="http://schemas.openxmlformats.org/officeDocument/2006/relationships/hyperlink" Target="https://octopart.com/click/track?ai=8078&amp;sig=0ddda68&amp;sid=11744&amp;ppid=75810820&amp;vpid=408976079&amp;ct=offers" TargetMode="External"/><Relationship Id="rId22" Type="http://schemas.openxmlformats.org/officeDocument/2006/relationships/hyperlink" Target="https://octopart.com/click/track?ai=8078&amp;sig=0e10017&amp;sid=2401&amp;ppid=75810820&amp;vpid=626819084&amp;ct=offers" TargetMode="External"/><Relationship Id="rId23" Type="http://schemas.openxmlformats.org/officeDocument/2006/relationships/hyperlink" Target="https://octopart.com/click/track?ai=8078&amp;sig=08ccecd&amp;sid=2402&amp;ppid=75810820&amp;vpid=477458464&amp;ct=offers" TargetMode="External"/><Relationship Id="rId24" Type="http://schemas.openxmlformats.org/officeDocument/2006/relationships/hyperlink" Target="https://octopart.com/click/track?c=1&amp;ai=8078&amp;sig=089818d&amp;sid=459&amp;ppid=53914620&amp;vpid=240502658&amp;ct=offers" TargetMode="External"/><Relationship Id="rId25" Type="http://schemas.openxmlformats.org/officeDocument/2006/relationships/hyperlink" Target="https://octopart.com/click/track?ai=8078&amp;sig=043b404&amp;sid=819&amp;ppid=53914620&amp;vpid=209558849&amp;ct=offers" TargetMode="External"/><Relationship Id="rId26" Type="http://schemas.openxmlformats.org/officeDocument/2006/relationships/hyperlink" Target="https://octopart.com/click/track?ai=8078&amp;sig=0196804&amp;sid=2401&amp;ppid=53914620&amp;vpid=344214440&amp;ct=offers" TargetMode="External"/><Relationship Id="rId27" Type="http://schemas.openxmlformats.org/officeDocument/2006/relationships/hyperlink" Target="https://octopart.com/click/track?ai=8078&amp;sig=05fe478&amp;sid=2402&amp;ppid=53914620&amp;vpid=184773782&amp;ct=offers" TargetMode="External"/><Relationship Id="rId28" Type="http://schemas.openxmlformats.org/officeDocument/2006/relationships/hyperlink" Target="https://octopart.com/click/track?ai=8078&amp;sig=02887dd&amp;sid=10022&amp;ppid=53914620&amp;vpid=199199322&amp;ct=offers" TargetMode="External"/><Relationship Id="rId29" Type="http://schemas.openxmlformats.org/officeDocument/2006/relationships/hyperlink" Target="https://octopart.com/click/track?ai=8078&amp;sig=0e6d02e&amp;sid=1106&amp;ppid=121047&amp;vpid=476782760&amp;ct=offers" TargetMode="External"/><Relationship Id="rId30" Type="http://schemas.openxmlformats.org/officeDocument/2006/relationships/hyperlink" Target="https://octopart.com/click/track?ai=8078&amp;sig=0b81ec0&amp;sid=459&amp;ppid=121047&amp;vpid=1854398&amp;ct=offers" TargetMode="External"/><Relationship Id="rId31" Type="http://schemas.openxmlformats.org/officeDocument/2006/relationships/hyperlink" Target="https://octopart.com/click/track?ai=8078&amp;sig=0d3c3c8&amp;sid=819&amp;ppid=121047&amp;vpid=138967628&amp;ct=offers" TargetMode="External"/><Relationship Id="rId32" Type="http://schemas.openxmlformats.org/officeDocument/2006/relationships/hyperlink" Target="https://octopart.com/click/track?ai=8078&amp;sig=078a263&amp;sid=2401&amp;ppid=121047&amp;vpid=37708442&amp;ct=offers" TargetMode="External"/><Relationship Id="rId33" Type="http://schemas.openxmlformats.org/officeDocument/2006/relationships/hyperlink" Target="https://octopart.com/click/track?ai=8078&amp;sig=0bbda6c&amp;sid=2402&amp;ppid=121047&amp;vpid=16452375&amp;ct=offers" TargetMode="External"/><Relationship Id="rId34" Type="http://schemas.openxmlformats.org/officeDocument/2006/relationships/hyperlink" Target="https://octopart.com/click/track?ai=8078&amp;sig=0482bbe&amp;sid=10022&amp;ppid=121047&amp;vpid=199040102&amp;ct=offers" TargetMode="External"/><Relationship Id="rId35" Type="http://schemas.openxmlformats.org/officeDocument/2006/relationships/hyperlink" Target="https://octopart.com/click/track?c=1&amp;ai=8078&amp;sig=09317bf&amp;sid=1106&amp;ppid=71141693&amp;vpid=486019532&amp;ct=offers" TargetMode="External"/><Relationship Id="rId36" Type="http://schemas.openxmlformats.org/officeDocument/2006/relationships/hyperlink" Target="https://octopart.com/click/track?c=1&amp;ai=8078&amp;sig=0147f30&amp;sid=459&amp;ppid=71141693&amp;vpid=426279111&amp;ct=offers" TargetMode="External"/><Relationship Id="rId37" Type="http://schemas.openxmlformats.org/officeDocument/2006/relationships/hyperlink" Target="https://octopart.com/click/track?ai=8078&amp;sig=0e9761c&amp;sid=2401&amp;ppid=71141693&amp;vpid=658751559&amp;ct=offers" TargetMode="External"/><Relationship Id="rId38" Type="http://schemas.openxmlformats.org/officeDocument/2006/relationships/hyperlink" Target="https://octopart.com/click/track?ai=8078&amp;sig=05e8cfe&amp;sid=1106&amp;ppid=19832283&amp;vpid=473428298&amp;ct=offers" TargetMode="External"/><Relationship Id="rId39" Type="http://schemas.openxmlformats.org/officeDocument/2006/relationships/hyperlink" Target="https://octopart.com/click/track?ai=8078&amp;sig=031f763&amp;sid=459&amp;ppid=19832283&amp;vpid=72526123&amp;ct=offers" TargetMode="External"/><Relationship Id="rId40" Type="http://schemas.openxmlformats.org/officeDocument/2006/relationships/hyperlink" Target="https://octopart.com/click/track?ai=8078&amp;sig=06aeb5d&amp;sid=2401&amp;ppid=19832283&amp;vpid=659501611&amp;ct=offers" TargetMode="External"/><Relationship Id="rId41" Type="http://schemas.openxmlformats.org/officeDocument/2006/relationships/hyperlink" Target="https://octopart.com/click/track?c=1&amp;ai=8078&amp;sig=07b17a0&amp;sid=1106&amp;ppid=107725070&amp;vpid=631314389&amp;ct=offers" TargetMode="External"/><Relationship Id="rId42" Type="http://schemas.openxmlformats.org/officeDocument/2006/relationships/hyperlink" Target="https://octopart.com/click/track?ai=8078&amp;sig=05f4ee6&amp;sid=459&amp;ppid=107725070&amp;vpid=612583560&amp;ct=offers" TargetMode="External"/><Relationship Id="rId43" Type="http://schemas.openxmlformats.org/officeDocument/2006/relationships/hyperlink" Target="https://octopart.com/click/track?c=1&amp;ai=8078&amp;sig=012f361&amp;sid=819&amp;ppid=107725070&amp;vpid=619593483&amp;ct=offers" TargetMode="External"/><Relationship Id="rId44" Type="http://schemas.openxmlformats.org/officeDocument/2006/relationships/hyperlink" Target="https://octopart.com/click/track?ai=8078&amp;sig=0e59658&amp;sid=27971&amp;ppid=107725070&amp;vpid=658235343&amp;ct=offers" TargetMode="External"/><Relationship Id="rId45" Type="http://schemas.openxmlformats.org/officeDocument/2006/relationships/hyperlink" Target="https://octopart.com/click/track?ai=8078&amp;sig=0a7bc91&amp;sid=2401&amp;ppid=107725070&amp;vpid=610752026&amp;ct=offers" TargetMode="External"/><Relationship Id="rId46" Type="http://schemas.openxmlformats.org/officeDocument/2006/relationships/hyperlink" Target="https://octopart.com/click/track?c=1&amp;ai=8078&amp;sig=0022caa&amp;sid=2402&amp;ppid=107725070&amp;vpid=616217185&amp;ct=offers" TargetMode="External"/><Relationship Id="rId47" Type="http://schemas.openxmlformats.org/officeDocument/2006/relationships/hyperlink" Target="https://octopart.com/click/track?ai=8078&amp;sig=0e93111&amp;sid=10022&amp;ppid=107725070&amp;vpid=680321846&amp;ct=offers" TargetMode="External"/><Relationship Id="rId48" Type="http://schemas.openxmlformats.org/officeDocument/2006/relationships/hyperlink" Target="https://fscdn.rohm.com/en/products/databook/datasheet/discrete/diode/schottky_barrier/rbr2mm60atftr-e.pdf" TargetMode="External"/><Relationship Id="rId49" Type="http://schemas.openxmlformats.org/officeDocument/2006/relationships/hyperlink" Target="https://octopart.com/click/track?ai=8078&amp;sig=06ab7e7&amp;sid=459&amp;ppid=74831128&amp;vpid=510697688&amp;ct=offers" TargetMode="External"/><Relationship Id="rId50" Type="http://schemas.openxmlformats.org/officeDocument/2006/relationships/hyperlink" Target="https://octopart.com/click/track?c=1&amp;ai=8078&amp;sig=0edc80a&amp;sid=11744&amp;ppid=74831128&amp;vpid=266357373&amp;ct=offers" TargetMode="External"/><Relationship Id="rId51" Type="http://schemas.openxmlformats.org/officeDocument/2006/relationships/hyperlink" Target="https://octopart.com/click/track?ai=8078&amp;sig=0cbf8ee&amp;sid=2401&amp;ppid=74831128&amp;vpid=510073953&amp;ct=offers" TargetMode="External"/><Relationship Id="rId52" Type="http://schemas.openxmlformats.org/officeDocument/2006/relationships/hyperlink" Target="https://octopart.com/click/track?c=1&amp;ai=8078&amp;sig=0a35bd9&amp;sid=2402&amp;ppid=74831128&amp;vpid=268584652&amp;ct=offers" TargetMode="External"/><Relationship Id="rId53" Type="http://schemas.openxmlformats.org/officeDocument/2006/relationships/hyperlink" Target="https://www.vishay.com/docs/85774/mmsz5225.pdf" TargetMode="External"/><Relationship Id="rId54" Type="http://schemas.openxmlformats.org/officeDocument/2006/relationships/hyperlink" Target="https://octopart.com/click/track?c=1&amp;ai=8078&amp;sig=02a322f&amp;sid=1106&amp;ppid=30652364&amp;vpid=486346348&amp;ct=offers" TargetMode="External"/><Relationship Id="rId55" Type="http://schemas.openxmlformats.org/officeDocument/2006/relationships/hyperlink" Target="https://octopart.com/click/track?ai=8078&amp;sig=0b998d2&amp;sid=459&amp;ppid=30652364&amp;vpid=496629611&amp;ct=offers" TargetMode="External"/><Relationship Id="rId56" Type="http://schemas.openxmlformats.org/officeDocument/2006/relationships/hyperlink" Target="https://octopart.com/click/track?ai=8078&amp;sig=080dd68&amp;sid=2401&amp;ppid=30652364&amp;vpid=456198326&amp;ct=offers" TargetMode="External"/><Relationship Id="rId57" Type="http://schemas.openxmlformats.org/officeDocument/2006/relationships/hyperlink" Target="https://www.st.com/resource/en/datasheet/stth4r02.pdf" TargetMode="External"/><Relationship Id="rId58" Type="http://schemas.openxmlformats.org/officeDocument/2006/relationships/hyperlink" Target="https://octopart.com/click/track?c=1&amp;ai=8078&amp;sig=0094a9c&amp;sid=1106&amp;ppid=324581&amp;vpid=486013586&amp;ct=offers" TargetMode="External"/><Relationship Id="rId59" Type="http://schemas.openxmlformats.org/officeDocument/2006/relationships/hyperlink" Target="https://octopart.com/click/track?ai=8078&amp;sig=0d95207&amp;sid=459&amp;ppid=324581&amp;vpid=1180169&amp;ct=offers" TargetMode="External"/><Relationship Id="rId60" Type="http://schemas.openxmlformats.org/officeDocument/2006/relationships/hyperlink" Target="https://octopart.com/click/track?ai=8078&amp;sig=0674f19&amp;sid=11744&amp;ppid=324581&amp;vpid=132627699&amp;ct=offers" TargetMode="External"/><Relationship Id="rId61" Type="http://schemas.openxmlformats.org/officeDocument/2006/relationships/hyperlink" Target="https://octopart.com/click/track?ai=8078&amp;sig=049b486&amp;sid=2401&amp;ppid=324581&amp;vpid=37934725&amp;ct=offers" TargetMode="External"/><Relationship Id="rId62" Type="http://schemas.openxmlformats.org/officeDocument/2006/relationships/hyperlink" Target="https://octopart.com/click/track?ai=8078&amp;sig=045c15a&amp;sid=2402&amp;ppid=324581&amp;vpid=11201407&amp;ct=offers" TargetMode="External"/><Relationship Id="rId63" Type="http://schemas.openxmlformats.org/officeDocument/2006/relationships/hyperlink" Target="https://octopart.com/click/track?ai=8078&amp;sig=0d170ec&amp;sid=10022&amp;ppid=324581&amp;vpid=199120167&amp;ct=offers" TargetMode="External"/><Relationship Id="rId64" Type="http://schemas.openxmlformats.org/officeDocument/2006/relationships/hyperlink" Target="https://octopart.com/click/track?ai=8078&amp;sig=04811fc&amp;sid=1532&amp;ppid=324581&amp;vpid=709206749&amp;ct=offers" TargetMode="External"/><Relationship Id="rId65" Type="http://schemas.openxmlformats.org/officeDocument/2006/relationships/hyperlink" Target="https://www.belfuse.com/resources/datasheets/circuitprotection/ds-cp-0zcj-series.pdf" TargetMode="External"/><Relationship Id="rId66" Type="http://schemas.openxmlformats.org/officeDocument/2006/relationships/hyperlink" Target="https://octopart.com/click/track?c=1&amp;ai=8078&amp;sig=0d30632&amp;sid=1106&amp;ppid=29404516&amp;vpid=473153242&amp;ct=offers" TargetMode="External"/><Relationship Id="rId67" Type="http://schemas.openxmlformats.org/officeDocument/2006/relationships/hyperlink" Target="https://octopart.com/click/track?c=1&amp;ai=8078&amp;sig=013c8fd&amp;sid=459&amp;ppid=29404516&amp;vpid=78603172&amp;ct=offers" TargetMode="External"/><Relationship Id="rId68" Type="http://schemas.openxmlformats.org/officeDocument/2006/relationships/hyperlink" Target="https://octopart.com/click/track?c=1&amp;ai=8078&amp;sig=0159d4f&amp;sid=819&amp;ppid=29404516&amp;vpid=477451928&amp;ct=offers" TargetMode="External"/><Relationship Id="rId69" Type="http://schemas.openxmlformats.org/officeDocument/2006/relationships/hyperlink" Target="https://octopart.com/click/track?c=1&amp;ai=8078&amp;sig=007d3ca&amp;sid=2401&amp;ppid=29404516&amp;vpid=210394532&amp;ct=offers" TargetMode="External"/><Relationship Id="rId70" Type="http://schemas.openxmlformats.org/officeDocument/2006/relationships/hyperlink" Target="https://octopart.com/click/track?ai=8078&amp;sig=036eb99&amp;sid=2402&amp;ppid=29404516&amp;vpid=477411604&amp;ct=offers" TargetMode="External"/><Relationship Id="rId71" Type="http://schemas.openxmlformats.org/officeDocument/2006/relationships/hyperlink" Target="https://octopart.com/click/track?ai=8078&amp;sig=05015fb&amp;sid=1532&amp;ppid=29404516&amp;vpid=707800448&amp;ct=offers" TargetMode="External"/><Relationship Id="rId72" Type="http://schemas.openxmlformats.org/officeDocument/2006/relationships/hyperlink" Target="https://www.vishay.com/docs/34025/ilbb0805.pdf" TargetMode="External"/><Relationship Id="rId73" Type="http://schemas.openxmlformats.org/officeDocument/2006/relationships/hyperlink" Target="https://octopart.com/click/track?c=1&amp;ai=8078&amp;sig=0dde09a&amp;sid=1106&amp;ppid=39649991&amp;vpid=486307142&amp;ct=offers" TargetMode="External"/><Relationship Id="rId74" Type="http://schemas.openxmlformats.org/officeDocument/2006/relationships/hyperlink" Target="https://octopart.com/click/track?c=1&amp;ai=8078&amp;sig=0b22846&amp;sid=459&amp;ppid=39649991&amp;vpid=126830491&amp;ct=offers" TargetMode="External"/><Relationship Id="rId75" Type="http://schemas.openxmlformats.org/officeDocument/2006/relationships/hyperlink" Target="https://octopart.com/click/track?ai=8078&amp;sig=045ae8a&amp;sid=2401&amp;ppid=39649991&amp;vpid=165601008&amp;ct=offers" TargetMode="External"/><Relationship Id="rId76" Type="http://schemas.openxmlformats.org/officeDocument/2006/relationships/hyperlink" Target="https://octopart.com/click/track?c=1&amp;ai=8078&amp;sig=007cf97&amp;sid=2402&amp;ppid=39649991&amp;vpid=249275938&amp;ct=offers" TargetMode="External"/><Relationship Id="rId77" Type="http://schemas.openxmlformats.org/officeDocument/2006/relationships/hyperlink" Target="https://www.phoenixcontact.com/online/portal/fr?uri=pxc-oc-itemdetail:pid=1814919&amp;library=frfr&amp;tab=1" TargetMode="External"/><Relationship Id="rId78" Type="http://schemas.openxmlformats.org/officeDocument/2006/relationships/hyperlink" Target="https://octopart.com/click/track?c=1&amp;ai=8078&amp;sig=06e45be&amp;sid=1106&amp;ppid=29685723&amp;vpid=473383682&amp;ct=offers" TargetMode="External"/><Relationship Id="rId79" Type="http://schemas.openxmlformats.org/officeDocument/2006/relationships/hyperlink" Target="https://octopart.com/click/track?ai=8078&amp;sig=04b0945&amp;sid=459&amp;ppid=29685723&amp;vpid=104001588&amp;ct=offers" TargetMode="External"/><Relationship Id="rId80" Type="http://schemas.openxmlformats.org/officeDocument/2006/relationships/hyperlink" Target="https://octopart.com/click/track?ai=8078&amp;sig=074c089&amp;sid=2401&amp;ppid=29685723&amp;vpid=82506540&amp;ct=offers" TargetMode="External"/><Relationship Id="rId81" Type="http://schemas.openxmlformats.org/officeDocument/2006/relationships/hyperlink" Target="https://cdn.amphenol-icc.com/media/wysiwyg/files/documentation/datasheet/inputoutput/io-modjack-rje72.pdf" TargetMode="External"/><Relationship Id="rId82" Type="http://schemas.openxmlformats.org/officeDocument/2006/relationships/hyperlink" Target="https://octopart.com/click/track?c=1&amp;ai=8078&amp;sig=03f78c7&amp;sid=1106&amp;ppid=90332803&amp;vpid=683892090&amp;ct=offers" TargetMode="External"/><Relationship Id="rId83" Type="http://schemas.openxmlformats.org/officeDocument/2006/relationships/hyperlink" Target="https://octopart.com/click/track?ai=8078&amp;sig=0722eb9&amp;sid=459&amp;ppid=90332803&amp;vpid=531291698&amp;ct=offers" TargetMode="External"/><Relationship Id="rId84" Type="http://schemas.openxmlformats.org/officeDocument/2006/relationships/hyperlink" Target="https://octopart.com/click/track?ai=8078&amp;sig=0b1fe23&amp;sid=11744&amp;ppid=90332803&amp;vpid=474713016&amp;ct=offers" TargetMode="External"/><Relationship Id="rId85" Type="http://schemas.openxmlformats.org/officeDocument/2006/relationships/hyperlink" Target="https://octopart.com/click/track?ai=8078&amp;sig=045d3de&amp;sid=2401&amp;ppid=90332803&amp;vpid=116118301&amp;ct=offers" TargetMode="External"/><Relationship Id="rId86" Type="http://schemas.openxmlformats.org/officeDocument/2006/relationships/hyperlink" Target="https://octopart.com/click/track?ai=8078&amp;sig=040b3a1&amp;sid=2402&amp;ppid=90332803&amp;vpid=474119331&amp;ct=offers" TargetMode="External"/><Relationship Id="rId87" Type="http://schemas.openxmlformats.org/officeDocument/2006/relationships/hyperlink" Target="https://www.samtec.com/products/tsw-103-07-t-s" TargetMode="External"/><Relationship Id="rId88" Type="http://schemas.openxmlformats.org/officeDocument/2006/relationships/hyperlink" Target="https://octopart.com/click/track?c=1&amp;ai=8078&amp;sig=0b0314f&amp;sid=1106&amp;ppid=272498&amp;vpid=492826964&amp;ct=offers" TargetMode="External"/><Relationship Id="rId89" Type="http://schemas.openxmlformats.org/officeDocument/2006/relationships/hyperlink" Target="https://octopart.com/click/track?ai=8078&amp;sig=08f50f0&amp;sid=459&amp;ppid=272498&amp;vpid=1209894&amp;ct=offers" TargetMode="External"/><Relationship Id="rId90" Type="http://schemas.openxmlformats.org/officeDocument/2006/relationships/hyperlink" Target="https://octopart.com/click/track?c=1&amp;ai=8078&amp;sig=0eb2886&amp;sid=819&amp;ppid=272498&amp;vpid=477261619&amp;ct=offers" TargetMode="External"/><Relationship Id="rId91" Type="http://schemas.openxmlformats.org/officeDocument/2006/relationships/hyperlink" Target="https://octopart.com/click/track?ai=8078&amp;sig=037e79a&amp;sid=2401&amp;ppid=272498&amp;vpid=493295970&amp;ct=offers" TargetMode="External"/><Relationship Id="rId92" Type="http://schemas.openxmlformats.org/officeDocument/2006/relationships/hyperlink" Target="https://octopart.com/click/track?ai=8078&amp;sig=094b1b4&amp;sid=2402&amp;ppid=272498&amp;vpid=477580270&amp;ct=offers" TargetMode="External"/><Relationship Id="rId93" Type="http://schemas.openxmlformats.org/officeDocument/2006/relationships/hyperlink" Target="https://octopart.com/click/track?ai=8078&amp;sig=088bb3a&amp;sid=10022&amp;ppid=272498&amp;vpid=501309221&amp;ct=offers" TargetMode="External"/><Relationship Id="rId94" Type="http://schemas.openxmlformats.org/officeDocument/2006/relationships/hyperlink" Target="https://www.samtec.com/products/tsw-105-07-t-s" TargetMode="External"/><Relationship Id="rId95" Type="http://schemas.openxmlformats.org/officeDocument/2006/relationships/hyperlink" Target="https://octopart.com/click/track?ai=8078&amp;sig=0be586d&amp;sid=1106&amp;ppid=272500&amp;vpid=21239337&amp;ct=offers" TargetMode="External"/><Relationship Id="rId96" Type="http://schemas.openxmlformats.org/officeDocument/2006/relationships/hyperlink" Target="https://octopart.com/click/track?ai=8078&amp;sig=08b31cf&amp;sid=459&amp;ppid=272500&amp;vpid=1108069&amp;ct=offers" TargetMode="External"/><Relationship Id="rId97" Type="http://schemas.openxmlformats.org/officeDocument/2006/relationships/hyperlink" Target="https://octopart.com/click/track?ai=8078&amp;sig=0282885&amp;sid=819&amp;ppid=272500&amp;vpid=669612981&amp;ct=offers" TargetMode="External"/><Relationship Id="rId98" Type="http://schemas.openxmlformats.org/officeDocument/2006/relationships/hyperlink" Target="https://octopart.com/click/track?ai=8078&amp;sig=0e5cc03&amp;sid=2401&amp;ppid=272500&amp;vpid=493297295&amp;ct=offers" TargetMode="External"/><Relationship Id="rId99" Type="http://schemas.openxmlformats.org/officeDocument/2006/relationships/hyperlink" Target="https://octopart.com/click/track?ai=8078&amp;sig=0499ed6&amp;sid=2402&amp;ppid=272500&amp;vpid=47157492&amp;ct=offers" TargetMode="External"/><Relationship Id="rId100" Type="http://schemas.openxmlformats.org/officeDocument/2006/relationships/hyperlink" Target="https://octopart.com/click/track?ai=8078&amp;sig=07e1b14&amp;sid=10022&amp;ppid=272500&amp;vpid=501309278&amp;ct=offers" TargetMode="External"/><Relationship Id="rId101" Type="http://schemas.openxmlformats.org/officeDocument/2006/relationships/hyperlink" Target="https://www.samtec.com/products/ftsh-107-01-f-dv-k" TargetMode="External"/><Relationship Id="rId102" Type="http://schemas.openxmlformats.org/officeDocument/2006/relationships/hyperlink" Target="https://octopart.com/click/track?c=1&amp;ai=8078&amp;sig=0ed5a35&amp;sid=1106&amp;ppid=10662215&amp;vpid=486035329&amp;ct=offers" TargetMode="External"/><Relationship Id="rId103" Type="http://schemas.openxmlformats.org/officeDocument/2006/relationships/hyperlink" Target="https://octopart.com/click/track?ai=8078&amp;sig=0446113&amp;sid=459&amp;ppid=10662215&amp;vpid=594780168&amp;ct=offers" TargetMode="External"/><Relationship Id="rId104" Type="http://schemas.openxmlformats.org/officeDocument/2006/relationships/hyperlink" Target="https://octopart.com/click/track?ai=8078&amp;sig=014fe20&amp;sid=819&amp;ppid=10662215&amp;vpid=717649349&amp;ct=offers" TargetMode="External"/><Relationship Id="rId105" Type="http://schemas.openxmlformats.org/officeDocument/2006/relationships/hyperlink" Target="https://octopart.com/click/track?ai=8078&amp;sig=0f0ca3a&amp;sid=2401&amp;ppid=10662215&amp;vpid=493091458&amp;ct=offers" TargetMode="External"/><Relationship Id="rId106" Type="http://schemas.openxmlformats.org/officeDocument/2006/relationships/hyperlink" Target="https://octopart.com/click/track?c=1&amp;ai=8078&amp;sig=0862191&amp;sid=2402&amp;ppid=10662215&amp;vpid=47044978&amp;ct=offers" TargetMode="External"/><Relationship Id="rId107" Type="http://schemas.openxmlformats.org/officeDocument/2006/relationships/hyperlink" Target="https://octopart.com/click/track?ai=8078&amp;sig=0ea87d1&amp;sid=10022&amp;ppid=10662215&amp;vpid=683505983&amp;ct=offers" TargetMode="External"/><Relationship Id="rId108" Type="http://schemas.openxmlformats.org/officeDocument/2006/relationships/hyperlink" Target="https://www.samtec.com/products/tsw-102-07-t-s" TargetMode="External"/><Relationship Id="rId109" Type="http://schemas.openxmlformats.org/officeDocument/2006/relationships/hyperlink" Target="https://octopart.com/click/track?ai=8078&amp;sig=0f920a3&amp;sid=1106&amp;ppid=272497&amp;vpid=631353149&amp;ct=offers" TargetMode="External"/><Relationship Id="rId110" Type="http://schemas.openxmlformats.org/officeDocument/2006/relationships/hyperlink" Target="https://octopart.com/click/track?ai=8078&amp;sig=0d018b2&amp;sid=459&amp;ppid=272497&amp;vpid=1610354&amp;ct=offers" TargetMode="External"/><Relationship Id="rId111" Type="http://schemas.openxmlformats.org/officeDocument/2006/relationships/hyperlink" Target="https://octopart.com/click/track?ai=8078&amp;sig=025b33b&amp;sid=11744&amp;ppid=272497&amp;vpid=240729391&amp;ct=offers" TargetMode="External"/><Relationship Id="rId112" Type="http://schemas.openxmlformats.org/officeDocument/2006/relationships/hyperlink" Target="https://octopart.com/click/track?ai=8078&amp;sig=016e7d6&amp;sid=2401&amp;ppid=272497&amp;vpid=493295508&amp;ct=offers" TargetMode="External"/><Relationship Id="rId113" Type="http://schemas.openxmlformats.org/officeDocument/2006/relationships/hyperlink" Target="https://octopart.com/click/track?c=1&amp;ai=8078&amp;sig=084e365&amp;sid=2402&amp;ppid=272497&amp;vpid=477579980&amp;ct=offers" TargetMode="External"/><Relationship Id="rId114" Type="http://schemas.openxmlformats.org/officeDocument/2006/relationships/hyperlink" Target="https://octopart.com/click/track?ai=8078&amp;sig=070bc85&amp;sid=10022&amp;ppid=272497&amp;vpid=463401119&amp;ct=offers" TargetMode="External"/><Relationship Id="rId115" Type="http://schemas.openxmlformats.org/officeDocument/2006/relationships/hyperlink" Target="https://www.we-online.com/catalog/datasheet/150080RS75000.pdf" TargetMode="External"/><Relationship Id="rId116" Type="http://schemas.openxmlformats.org/officeDocument/2006/relationships/hyperlink" Target="https://octopart.com/click/track?ai=8078&amp;sig=0aac1da&amp;sid=459&amp;ppid=29717781&amp;vpid=91297467&amp;ct=offers" TargetMode="External"/><Relationship Id="rId117" Type="http://schemas.openxmlformats.org/officeDocument/2006/relationships/hyperlink" Target="https://octopart.com/click/track?ai=8078&amp;sig=08806fe&amp;sid=819&amp;ppid=29717781&amp;vpid=139812840&amp;ct=offers" TargetMode="External"/><Relationship Id="rId118" Type="http://schemas.openxmlformats.org/officeDocument/2006/relationships/hyperlink" Target="https://octopart.com/click/track?ai=8078&amp;sig=0912cb5&amp;sid=2401&amp;ppid=29717781&amp;vpid=165625630&amp;ct=offers" TargetMode="External"/><Relationship Id="rId119" Type="http://schemas.openxmlformats.org/officeDocument/2006/relationships/hyperlink" Target="https://octopart.com/click/track?ai=8078&amp;sig=0ea155a&amp;sid=2402&amp;ppid=29717781&amp;vpid=82629811&amp;ct=offers" TargetMode="External"/><Relationship Id="rId120" Type="http://schemas.openxmlformats.org/officeDocument/2006/relationships/hyperlink" Target="https://octopart.com/click/track?ai=8078&amp;sig=032a572&amp;sid=10022&amp;ppid=29717781&amp;vpid=199194540&amp;ct=offers" TargetMode="External"/><Relationship Id="rId121" Type="http://schemas.openxmlformats.org/officeDocument/2006/relationships/hyperlink" Target="https://www.cui.com/product/resource/pqde6w-q110-d.pdf" TargetMode="External"/><Relationship Id="rId122" Type="http://schemas.openxmlformats.org/officeDocument/2006/relationships/hyperlink" Target="https://octopart.com/click/track?ai=8078&amp;sig=09196a3&amp;sid=1106&amp;ppid=112021134&amp;vpid=657617677&amp;ct=offers" TargetMode="External"/><Relationship Id="rId123" Type="http://schemas.openxmlformats.org/officeDocument/2006/relationships/hyperlink" Target="https://octopart.com/click/track?c=1&amp;ai=8078&amp;sig=0e5fe9f&amp;sid=459&amp;ppid=112021134&amp;vpid=658542326&amp;ct=offers" TargetMode="External"/><Relationship Id="rId124" Type="http://schemas.openxmlformats.org/officeDocument/2006/relationships/hyperlink" Target="https://octopart.com/click/track?ai=8078&amp;sig=02a7868&amp;sid=11744&amp;ppid=112021134&amp;vpid=678551392&amp;ct=offers" TargetMode="External"/><Relationship Id="rId125" Type="http://schemas.openxmlformats.org/officeDocument/2006/relationships/hyperlink" Target="https://octopart.com/click/track?ai=8078&amp;sig=0d86b74&amp;sid=2401&amp;ppid=112021134&amp;vpid=658068005&amp;ct=offers" TargetMode="External"/><Relationship Id="rId126" Type="http://schemas.openxmlformats.org/officeDocument/2006/relationships/hyperlink" Target="https://octopart.com/click/track?ai=8078&amp;sig=031ad00&amp;sid=2402&amp;ppid=112021134&amp;vpid=674492682&amp;ct=offers" TargetMode="External"/><Relationship Id="rId127" Type="http://schemas.openxmlformats.org/officeDocument/2006/relationships/hyperlink" Target="https://www.cui.com/product/resource/vxo78-500-m.pdf" TargetMode="External"/><Relationship Id="rId128" Type="http://schemas.openxmlformats.org/officeDocument/2006/relationships/hyperlink" Target="https://octopart.com/click/track?c=1&amp;ai=8078&amp;sig=056d9ad&amp;sid=1106&amp;ppid=107345185&amp;vpid=631107004&amp;ct=offers" TargetMode="External"/><Relationship Id="rId129" Type="http://schemas.openxmlformats.org/officeDocument/2006/relationships/hyperlink" Target="https://octopart.com/click/track?ai=8078&amp;sig=02a27ff&amp;sid=459&amp;ppid=107345185&amp;vpid=605160697&amp;ct=offers" TargetMode="External"/><Relationship Id="rId130" Type="http://schemas.openxmlformats.org/officeDocument/2006/relationships/hyperlink" Target="https://octopart.com/click/track?ai=8078&amp;sig=0f8ab05&amp;sid=819&amp;ppid=107345185&amp;vpid=674025865&amp;ct=offers" TargetMode="External"/><Relationship Id="rId131" Type="http://schemas.openxmlformats.org/officeDocument/2006/relationships/hyperlink" Target="https://octopart.com/click/track?ai=8078&amp;sig=01f8744&amp;sid=2401&amp;ppid=107345185&amp;vpid=606006686&amp;ct=offers" TargetMode="External"/><Relationship Id="rId132" Type="http://schemas.openxmlformats.org/officeDocument/2006/relationships/hyperlink" Target="https://octopart.com/click/track?ai=8078&amp;sig=0fb3963&amp;sid=2402&amp;ppid=107345185&amp;vpid=674493288&amp;ct=offers" TargetMode="External"/><Relationship Id="rId133" Type="http://schemas.openxmlformats.org/officeDocument/2006/relationships/hyperlink" Target="https://octopart.com/click/track?c=1&amp;ai=8078&amp;sig=085b651&amp;sid=1106&amp;ppid=3825468&amp;vpid=485285190&amp;ct=offers" TargetMode="External"/><Relationship Id="rId134" Type="http://schemas.openxmlformats.org/officeDocument/2006/relationships/hyperlink" Target="https://octopart.com/click/track?ai=8078&amp;sig=0110afd&amp;sid=459&amp;ppid=3825468&amp;vpid=82229382&amp;ct=offers" TargetMode="External"/><Relationship Id="rId135" Type="http://schemas.openxmlformats.org/officeDocument/2006/relationships/hyperlink" Target="https://octopart.com/click/track?ai=8078&amp;sig=0abed81&amp;sid=819&amp;ppid=3825468&amp;vpid=500011322&amp;ct=offers" TargetMode="External"/><Relationship Id="rId136" Type="http://schemas.openxmlformats.org/officeDocument/2006/relationships/hyperlink" Target="https://octopart.com/click/track?ai=8078&amp;sig=0e2bf3d&amp;sid=2401&amp;ppid=3825468&amp;vpid=37761566&amp;ct=offers" TargetMode="External"/><Relationship Id="rId137" Type="http://schemas.openxmlformats.org/officeDocument/2006/relationships/hyperlink" Target="https://octopart.com/click/track?ai=8078&amp;sig=0f6d2d3&amp;sid=2402&amp;ppid=3825468&amp;vpid=502635426&amp;ct=offers" TargetMode="External"/><Relationship Id="rId138" Type="http://schemas.openxmlformats.org/officeDocument/2006/relationships/hyperlink" Target="https://octopart.com/click/track?c=1&amp;ai=8078&amp;sig=0519b76&amp;sid=1106&amp;ppid=58283861&amp;vpid=631764713&amp;ct=offers" TargetMode="External"/><Relationship Id="rId139" Type="http://schemas.openxmlformats.org/officeDocument/2006/relationships/hyperlink" Target="https://octopart.com/click/track?ai=8078&amp;sig=058e2c5&amp;sid=2401&amp;ppid=58283861&amp;vpid=199345296&amp;ct=offers" TargetMode="External"/><Relationship Id="rId140" Type="http://schemas.openxmlformats.org/officeDocument/2006/relationships/hyperlink" Target="https://octopart.com/click/track?ai=8078&amp;sig=0278ef6&amp;sid=459&amp;ppid=1428474&amp;vpid=634570179&amp;ct=offers" TargetMode="External"/><Relationship Id="rId141" Type="http://schemas.openxmlformats.org/officeDocument/2006/relationships/hyperlink" Target="https://octopart.com/click/track?ai=8078&amp;sig=01b6c04&amp;sid=2401&amp;ppid=1428474&amp;vpid=262563496&amp;ct=offers" TargetMode="External"/><Relationship Id="rId142" Type="http://schemas.openxmlformats.org/officeDocument/2006/relationships/hyperlink" Target="https://octopart.com/click/track?c=1&amp;ai=8078&amp;sig=0de3740&amp;sid=1106&amp;ppid=74574056&amp;vpid=492179919&amp;ct=offers" TargetMode="External"/><Relationship Id="rId143" Type="http://schemas.openxmlformats.org/officeDocument/2006/relationships/hyperlink" Target="https://octopart.com/click/track?c=1&amp;ai=8078&amp;sig=01a44b8&amp;sid=459&amp;ppid=74574056&amp;vpid=454353860&amp;ct=offers" TargetMode="External"/><Relationship Id="rId144" Type="http://schemas.openxmlformats.org/officeDocument/2006/relationships/hyperlink" Target="https://octopart.com/click/track?ai=8078&amp;sig=0a93a9d&amp;sid=2401&amp;ppid=74574056&amp;vpid=458954387&amp;ct=offers" TargetMode="External"/><Relationship Id="rId145" Type="http://schemas.openxmlformats.org/officeDocument/2006/relationships/hyperlink" Target="https://octopart.com/click/track?c=1&amp;ai=8078&amp;sig=02bdb93&amp;sid=2402&amp;ppid=74574056&amp;vpid=634341044&amp;ct=offers" TargetMode="External"/><Relationship Id="rId146" Type="http://schemas.openxmlformats.org/officeDocument/2006/relationships/hyperlink" Target="https://octopart.com/click/track?ai=8078&amp;sig=07c9b54&amp;sid=1106&amp;ppid=6075347&amp;vpid=473159658&amp;ct=offers" TargetMode="External"/><Relationship Id="rId147" Type="http://schemas.openxmlformats.org/officeDocument/2006/relationships/hyperlink" Target="https://octopart.com/click/track?ai=8078&amp;sig=060f04a&amp;sid=459&amp;ppid=6075347&amp;vpid=82229478&amp;ct=offers" TargetMode="External"/><Relationship Id="rId148" Type="http://schemas.openxmlformats.org/officeDocument/2006/relationships/hyperlink" Target="https://octopart.com/click/track?ai=8078&amp;sig=023eefd&amp;sid=27971&amp;ppid=6075347&amp;vpid=511989821&amp;ct=offers" TargetMode="External"/><Relationship Id="rId149" Type="http://schemas.openxmlformats.org/officeDocument/2006/relationships/hyperlink" Target="https://octopart.com/click/track?ai=8078&amp;sig=059e020&amp;sid=2401&amp;ppid=6075347&amp;vpid=37772572&amp;ct=offers" TargetMode="External"/><Relationship Id="rId150" Type="http://schemas.openxmlformats.org/officeDocument/2006/relationships/hyperlink" Target="https://octopart.com/click/track?c=1&amp;ai=8078&amp;sig=0d33a24&amp;sid=2402&amp;ppid=6075347&amp;vpid=96066080&amp;ct=offers" TargetMode="External"/><Relationship Id="rId151" Type="http://schemas.openxmlformats.org/officeDocument/2006/relationships/hyperlink" Target="https://octopart.com/click/track?ai=8078&amp;sig=079162d&amp;sid=10022&amp;ppid=6075347&amp;vpid=572870733&amp;ct=offers" TargetMode="External"/><Relationship Id="rId152" Type="http://schemas.openxmlformats.org/officeDocument/2006/relationships/hyperlink" Target="https://octopart.com/click/track?c=1&amp;ai=8078&amp;sig=0bfaadb&amp;sid=1106&amp;ppid=102555875&amp;vpid=631097696&amp;ct=offers" TargetMode="External"/><Relationship Id="rId153" Type="http://schemas.openxmlformats.org/officeDocument/2006/relationships/hyperlink" Target="https://octopart.com/click/track?ai=8078&amp;sig=0c8af16&amp;sid=459&amp;ppid=102555875&amp;vpid=551073019&amp;ct=offers" TargetMode="External"/><Relationship Id="rId154" Type="http://schemas.openxmlformats.org/officeDocument/2006/relationships/hyperlink" Target="https://octopart.com/click/track?ai=8078&amp;sig=06a01a4&amp;sid=11744&amp;ppid=102555875&amp;vpid=576960770&amp;ct=offers" TargetMode="External"/><Relationship Id="rId155" Type="http://schemas.openxmlformats.org/officeDocument/2006/relationships/hyperlink" Target="https://octopart.com/click/track?ai=8078&amp;sig=03dabe4&amp;sid=2401&amp;ppid=102555875&amp;vpid=550575361&amp;ct=offers" TargetMode="External"/><Relationship Id="rId156" Type="http://schemas.openxmlformats.org/officeDocument/2006/relationships/hyperlink" Target="https://octopart.com/click/track?ai=8078&amp;sig=080ea41&amp;sid=2402&amp;ppid=102555875&amp;vpid=572987360&amp;ct=offers" TargetMode="External"/><Relationship Id="rId157" Type="http://schemas.openxmlformats.org/officeDocument/2006/relationships/hyperlink" Target="https://octopart.com/click/track?ai=8078&amp;sig=0295bfa&amp;sid=1106&amp;ppid=40025555&amp;vpid=473551183&amp;ct=offers" TargetMode="External"/><Relationship Id="rId158" Type="http://schemas.openxmlformats.org/officeDocument/2006/relationships/hyperlink" Target="https://octopart.com/click/track?ai=8078&amp;sig=0e43714&amp;sid=459&amp;ppid=40025555&amp;vpid=116457910&amp;ct=offers" TargetMode="External"/><Relationship Id="rId159" Type="http://schemas.openxmlformats.org/officeDocument/2006/relationships/hyperlink" Target="https://octopart.com/click/track?ai=8078&amp;sig=0bd2e27&amp;sid=819&amp;ppid=40025555&amp;vpid=508509809&amp;ct=offers" TargetMode="External"/><Relationship Id="rId160" Type="http://schemas.openxmlformats.org/officeDocument/2006/relationships/hyperlink" Target="https://octopart.com/click/track?ai=8078&amp;sig=03490a0&amp;sid=2401&amp;ppid=40025555&amp;vpid=114830367&amp;ct=offers" TargetMode="External"/><Relationship Id="rId161" Type="http://schemas.openxmlformats.org/officeDocument/2006/relationships/hyperlink" Target="https://octopart.com/click/track?ai=8078&amp;sig=01c720c&amp;sid=2402&amp;ppid=40025555&amp;vpid=115424344&amp;ct=offers" TargetMode="External"/><Relationship Id="rId162" Type="http://schemas.openxmlformats.org/officeDocument/2006/relationships/hyperlink" Target="https://octopart.com/click/track?ai=8078&amp;sig=069ddcc&amp;sid=10022&amp;ppid=40025555&amp;vpid=199200457&amp;ct=offers" TargetMode="External"/><Relationship Id="rId163" Type="http://schemas.openxmlformats.org/officeDocument/2006/relationships/hyperlink" Target="https://octopart.com/click/track?ai=8078&amp;sig=069148d&amp;sid=1532&amp;ppid=40025555&amp;vpid=709258361&amp;ct=offers" TargetMode="External"/><Relationship Id="rId164" Type="http://schemas.openxmlformats.org/officeDocument/2006/relationships/hyperlink" Target="https://octopart.com/click/track?c=1&amp;ai=8078&amp;sig=08c66ff&amp;sid=1106&amp;ppid=23798605&amp;vpid=486284271&amp;ct=offers" TargetMode="External"/><Relationship Id="rId165" Type="http://schemas.openxmlformats.org/officeDocument/2006/relationships/hyperlink" Target="https://octopart.com/click/track?ai=8078&amp;sig=0833877&amp;sid=459&amp;ppid=23798605&amp;vpid=454353787&amp;ct=offers" TargetMode="External"/><Relationship Id="rId166" Type="http://schemas.openxmlformats.org/officeDocument/2006/relationships/hyperlink" Target="https://octopart.com/click/track?ai=8078&amp;sig=08179ea&amp;sid=2401&amp;ppid=23798605&amp;vpid=454670508&amp;ct=offers" TargetMode="External"/><Relationship Id="rId167" Type="http://schemas.openxmlformats.org/officeDocument/2006/relationships/hyperlink" Target="https://octopart.com/click/track?c=1&amp;ai=8078&amp;sig=0c00cad&amp;sid=2402&amp;ppid=23798605&amp;vpid=462488737&amp;ct=offers" TargetMode="External"/><Relationship Id="rId168" Type="http://schemas.openxmlformats.org/officeDocument/2006/relationships/hyperlink" Target="https://octopart.com/click/track?ai=8078&amp;sig=0f4425b&amp;sid=1106&amp;ppid=988327&amp;vpid=473159600&amp;ct=offers" TargetMode="External"/><Relationship Id="rId169" Type="http://schemas.openxmlformats.org/officeDocument/2006/relationships/hyperlink" Target="https://octopart.com/click/track?ai=8078&amp;sig=0d64e91&amp;sid=459&amp;ppid=988327&amp;vpid=58963591&amp;ct=offers" TargetMode="External"/><Relationship Id="rId170" Type="http://schemas.openxmlformats.org/officeDocument/2006/relationships/hyperlink" Target="https://octopart.com/click/track?ai=8078&amp;sig=03c652c&amp;sid=819&amp;ppid=988327&amp;vpid=194111662&amp;ct=offers" TargetMode="External"/><Relationship Id="rId171" Type="http://schemas.openxmlformats.org/officeDocument/2006/relationships/hyperlink" Target="https://octopart.com/click/track?ai=8078&amp;sig=05b1c91&amp;sid=2401&amp;ppid=988327&amp;vpid=37754994&amp;ct=offers" TargetMode="External"/><Relationship Id="rId172" Type="http://schemas.openxmlformats.org/officeDocument/2006/relationships/hyperlink" Target="https://octopart.com/click/track?ai=8078&amp;sig=026f292&amp;sid=2402&amp;ppid=988327&amp;vpid=190826152&amp;ct=offers" TargetMode="External"/><Relationship Id="rId173" Type="http://schemas.openxmlformats.org/officeDocument/2006/relationships/hyperlink" Target="https://octopart.com/click/track?ai=8078&amp;sig=0620cf2&amp;sid=10022&amp;ppid=988327&amp;vpid=198997511&amp;ct=offers" TargetMode="External"/><Relationship Id="rId174" Type="http://schemas.openxmlformats.org/officeDocument/2006/relationships/hyperlink" Target="https://octopart.com/click/track?ai=8078&amp;sig=0a68447&amp;sid=2401&amp;ppid=74586870&amp;vpid=263682729&amp;ct=offers" TargetMode="External"/><Relationship Id="rId175" Type="http://schemas.openxmlformats.org/officeDocument/2006/relationships/hyperlink" Target="https://octopart.com/click/track?c=1&amp;ai=8078&amp;sig=00a229a&amp;sid=2402&amp;ppid=74586870&amp;vpid=643133323&amp;ct=offers" TargetMode="External"/><Relationship Id="rId176" Type="http://schemas.openxmlformats.org/officeDocument/2006/relationships/hyperlink" Target="https://www.ckswitches.com/media/1479/kmr2.pdf" TargetMode="External"/><Relationship Id="rId177" Type="http://schemas.openxmlformats.org/officeDocument/2006/relationships/hyperlink" Target="https://octopart.com/click/track?ai=8078&amp;sig=0f177cf&amp;sid=1106&amp;ppid=19179243&amp;vpid=504769205&amp;ct=offers" TargetMode="External"/><Relationship Id="rId178" Type="http://schemas.openxmlformats.org/officeDocument/2006/relationships/hyperlink" Target="https://octopart.com/click/track?ai=8078&amp;sig=0c33e44&amp;sid=459&amp;ppid=19179243&amp;vpid=34441172&amp;ct=offers" TargetMode="External"/><Relationship Id="rId179" Type="http://schemas.openxmlformats.org/officeDocument/2006/relationships/hyperlink" Target="https://octopart.com/click/track?ai=8078&amp;sig=0f1c0bf&amp;sid=2401&amp;ppid=7338125&amp;vpid=476979098&amp;ct=offers" TargetMode="External"/><Relationship Id="rId180" Type="http://schemas.openxmlformats.org/officeDocument/2006/relationships/hyperlink" Target="https://octopart.com/click/track?c=1&amp;ai=8078&amp;sig=0d1c915&amp;sid=2402&amp;ppid=19179243&amp;vpid=587923589&amp;ct=offers" TargetMode="External"/><Relationship Id="rId181" Type="http://schemas.openxmlformats.org/officeDocument/2006/relationships/hyperlink" Target="https://www.samtec.com/products/tsw-106-07-t-s" TargetMode="External"/><Relationship Id="rId182" Type="http://schemas.openxmlformats.org/officeDocument/2006/relationships/hyperlink" Target="https://octopart.com/click/track?ai=8078&amp;sig=03137a5&amp;sid=1106&amp;ppid=272501&amp;vpid=473435188&amp;ct=offers" TargetMode="External"/><Relationship Id="rId183" Type="http://schemas.openxmlformats.org/officeDocument/2006/relationships/hyperlink" Target="https://octopart.com/click/track?ai=8078&amp;sig=07d1163&amp;sid=459&amp;ppid=272501&amp;vpid=1441585&amp;ct=offers" TargetMode="External"/><Relationship Id="rId184" Type="http://schemas.openxmlformats.org/officeDocument/2006/relationships/hyperlink" Target="https://octopart.com/click/track?ai=8078&amp;sig=0afcbbb&amp;sid=11744&amp;ppid=272501&amp;vpid=478780750&amp;ct=offers" TargetMode="External"/><Relationship Id="rId185" Type="http://schemas.openxmlformats.org/officeDocument/2006/relationships/hyperlink" Target="https://octopart.com/click/track?ai=8078&amp;sig=033f8c7&amp;sid=2401&amp;ppid=272501&amp;vpid=493298057&amp;ct=offers" TargetMode="External"/><Relationship Id="rId186" Type="http://schemas.openxmlformats.org/officeDocument/2006/relationships/hyperlink" Target="https://octopart.com/click/track?ai=8078&amp;sig=09fbebb&amp;sid=2402&amp;ppid=272501&amp;vpid=16490817&amp;ct=offers" TargetMode="External"/><Relationship Id="rId187" Type="http://schemas.openxmlformats.org/officeDocument/2006/relationships/hyperlink" Target="https://octopart.com/click/track?ai=8078&amp;sig=09a77a9&amp;sid=10022&amp;ppid=272501&amp;vpid=501309315&amp;ct=offers" TargetMode="External"/><Relationship Id="rId188" Type="http://schemas.openxmlformats.org/officeDocument/2006/relationships/hyperlink" Target="https://www.murata.com/en-eu/products/productdetail?partno=NXFT15XH103FA2B100" TargetMode="External"/><Relationship Id="rId189" Type="http://schemas.openxmlformats.org/officeDocument/2006/relationships/hyperlink" Target="https://octopart.com/click/track?c=1&amp;ai=8078&amp;sig=01cf929&amp;sid=1106&amp;ppid=19688599&amp;vpid=473337900&amp;ct=offers" TargetMode="External"/><Relationship Id="rId190" Type="http://schemas.openxmlformats.org/officeDocument/2006/relationships/hyperlink" Target="https://octopart.com/click/track?c=1&amp;ai=8078&amp;sig=0567d3e&amp;sid=459&amp;ppid=19688599&amp;vpid=36164585&amp;ct=offers" TargetMode="External"/><Relationship Id="rId191" Type="http://schemas.openxmlformats.org/officeDocument/2006/relationships/hyperlink" Target="https://octopart.com/click/track?c=1&amp;ai=8078&amp;sig=0a346a5&amp;sid=819&amp;ppid=19688599&amp;vpid=626565974&amp;ct=offers" TargetMode="External"/><Relationship Id="rId192" Type="http://schemas.openxmlformats.org/officeDocument/2006/relationships/hyperlink" Target="https://octopart.com/click/track?ai=8078&amp;sig=0aca165&amp;sid=2401&amp;ppid=19688599&amp;vpid=37743244&amp;ct=offers" TargetMode="External"/><Relationship Id="rId193" Type="http://schemas.openxmlformats.org/officeDocument/2006/relationships/hyperlink" Target="https://octopart.com/click/track?c=1&amp;ai=8078&amp;sig=0cbcba5&amp;sid=2402&amp;ppid=19688599&amp;vpid=629375842&amp;ct=offers" TargetMode="External"/><Relationship Id="rId194" Type="http://schemas.openxmlformats.org/officeDocument/2006/relationships/hyperlink" Target="https://www.keyelco.com/product.cfm/product_id/1310" TargetMode="External"/><Relationship Id="rId195" Type="http://schemas.openxmlformats.org/officeDocument/2006/relationships/hyperlink" Target="https://octopart.com/click/track?ai=8078&amp;sig=09e0a07&amp;sid=1106&amp;ppid=4946&amp;vpid=418135386&amp;ct=offers" TargetMode="External"/><Relationship Id="rId196" Type="http://schemas.openxmlformats.org/officeDocument/2006/relationships/hyperlink" Target="https://octopart.com/click/track?ai=8078&amp;sig=0d9fef0&amp;sid=459&amp;ppid=4946&amp;vpid=212427616&amp;ct=offers" TargetMode="External"/><Relationship Id="rId197" Type="http://schemas.openxmlformats.org/officeDocument/2006/relationships/hyperlink" Target="https://octopart.com/click/track?ai=8078&amp;sig=0b1d6cd&amp;sid=819&amp;ppid=4946&amp;vpid=138974481&amp;ct=offers" TargetMode="External"/><Relationship Id="rId198" Type="http://schemas.openxmlformats.org/officeDocument/2006/relationships/hyperlink" Target="https://octopart.com/click/track?ai=8078&amp;sig=0f10158&amp;sid=27971&amp;ppid=4946&amp;vpid=485049373&amp;ct=offers" TargetMode="External"/><Relationship Id="rId199" Type="http://schemas.openxmlformats.org/officeDocument/2006/relationships/hyperlink" Target="https://octopart.com/click/track?ai=8078&amp;sig=07c2509&amp;sid=2401&amp;ppid=4946&amp;vpid=37625719&amp;ct=offers" TargetMode="External"/><Relationship Id="rId200" Type="http://schemas.openxmlformats.org/officeDocument/2006/relationships/hyperlink" Target="https://octopart.com/click/track?ai=8078&amp;sig=0ab4ffe&amp;sid=2402&amp;ppid=4946&amp;vpid=67006761&amp;ct=offers" TargetMode="External"/><Relationship Id="rId201" Type="http://schemas.openxmlformats.org/officeDocument/2006/relationships/hyperlink" Target="https://my2.st.com/resource/en/datasheet/stm32g474re.pdf" TargetMode="External"/><Relationship Id="rId202" Type="http://schemas.openxmlformats.org/officeDocument/2006/relationships/hyperlink" Target="https://octopart.com/click/track?c=1&amp;ai=8078&amp;sig=0a25210&amp;sid=1106&amp;ppid=102308483&amp;vpid=631342090&amp;ct=offers" TargetMode="External"/><Relationship Id="rId203" Type="http://schemas.openxmlformats.org/officeDocument/2006/relationships/hyperlink" Target="https://octopart.com/click/track?c=1&amp;ai=8078&amp;sig=0bdcd3d&amp;sid=459&amp;ppid=102308483&amp;vpid=599518369&amp;ct=offers" TargetMode="External"/><Relationship Id="rId204" Type="http://schemas.openxmlformats.org/officeDocument/2006/relationships/hyperlink" Target="https://octopart.com/click/track?c=1&amp;ai=8078&amp;sig=00ae67a&amp;sid=819&amp;ppid=102308483&amp;vpid=551646305&amp;ct=offers" TargetMode="External"/><Relationship Id="rId205" Type="http://schemas.openxmlformats.org/officeDocument/2006/relationships/hyperlink" Target="https://octopart.com/click/track?c=1&amp;ai=8078&amp;sig=0e243c9&amp;sid=2401&amp;ppid=102308483&amp;vpid=553282796&amp;ct=offers" TargetMode="External"/><Relationship Id="rId206" Type="http://schemas.openxmlformats.org/officeDocument/2006/relationships/hyperlink" Target="https://octopart.com/click/track?c=1&amp;ai=8078&amp;sig=0ea4a56&amp;sid=2402&amp;ppid=102308483&amp;vpid=573252633&amp;ct=offers" TargetMode="External"/><Relationship Id="rId207" Type="http://schemas.openxmlformats.org/officeDocument/2006/relationships/hyperlink" Target="https://ww1.microchip.com/downloads/en/DeviceDoc/AT25128B-AT25256B-SPI-Serial-EEPROM-Data-Sheet-20006193A.pdf" TargetMode="External"/><Relationship Id="rId208" Type="http://schemas.openxmlformats.org/officeDocument/2006/relationships/hyperlink" Target="https://octopart.com/click/track?c=1&amp;ai=8078&amp;sig=0c35a97&amp;sid=459&amp;ppid=77808705&amp;vpid=519729386&amp;ct=offers" TargetMode="External"/><Relationship Id="rId209" Type="http://schemas.openxmlformats.org/officeDocument/2006/relationships/hyperlink" Target="https://octopart.com/click/track?ai=8078&amp;sig=0507d74&amp;sid=2401&amp;ppid=77808705&amp;vpid=609815871&amp;ct=offers" TargetMode="External"/><Relationship Id="rId210" Type="http://schemas.openxmlformats.org/officeDocument/2006/relationships/hyperlink" Target="https://www.ti.com/lit/ds/symlink/tcan334g.pdf?ts=1622552431960&amp;ref_url=https%253A%252F%252Fwww.ti.com%252Fproduct%252FTCAN334G" TargetMode="External"/><Relationship Id="rId211" Type="http://schemas.openxmlformats.org/officeDocument/2006/relationships/hyperlink" Target="https://octopart.com/click/track?c=1&amp;ai=8078&amp;sig=0f047a6&amp;sid=1106&amp;ppid=70835172&amp;vpid=631838564&amp;ct=offers" TargetMode="External"/><Relationship Id="rId212" Type="http://schemas.openxmlformats.org/officeDocument/2006/relationships/hyperlink" Target="https://octopart.com/click/track?ai=8078&amp;sig=061a94a&amp;sid=459&amp;ppid=70835172&amp;vpid=486679548&amp;ct=offers" TargetMode="External"/><Relationship Id="rId213" Type="http://schemas.openxmlformats.org/officeDocument/2006/relationships/hyperlink" Target="https://octopart.com/click/track?ai=8078&amp;sig=0e1dea0&amp;sid=27971&amp;ppid=70835172&amp;vpid=476371923&amp;ct=offers" TargetMode="External"/><Relationship Id="rId214" Type="http://schemas.openxmlformats.org/officeDocument/2006/relationships/hyperlink" Target="https://octopart.com/click/track?ai=8078&amp;sig=0ebe5dd&amp;sid=2401&amp;ppid=70835172&amp;vpid=254518597&amp;ct=offers" TargetMode="External"/><Relationship Id="rId215" Type="http://schemas.openxmlformats.org/officeDocument/2006/relationships/hyperlink" Target="https://www.diodes.com/assets/Datasheets/AP1117.pdf" TargetMode="External"/><Relationship Id="rId216" Type="http://schemas.openxmlformats.org/officeDocument/2006/relationships/hyperlink" Target="https://octopart.com/click/track?c=1&amp;ai=8078&amp;sig=0ac5316&amp;sid=1106&amp;ppid=669494&amp;vpid=473201992&amp;ct=offers" TargetMode="External"/><Relationship Id="rId217" Type="http://schemas.openxmlformats.org/officeDocument/2006/relationships/hyperlink" Target="https://octopart.com/click/track?ai=8078&amp;sig=00eee89&amp;sid=11744&amp;ppid=669494&amp;vpid=132236839&amp;ct=offers" TargetMode="External"/><Relationship Id="rId218" Type="http://schemas.openxmlformats.org/officeDocument/2006/relationships/hyperlink" Target="https://octopart.com/click/track?ai=8078&amp;sig=08fda42&amp;sid=2401&amp;ppid=669494&amp;vpid=37754495&amp;ct=offers" TargetMode="External"/><Relationship Id="rId219" Type="http://schemas.openxmlformats.org/officeDocument/2006/relationships/hyperlink" Target="https://octopart.com/click/track?ai=8078&amp;sig=052c816&amp;sid=2402&amp;ppid=669494&amp;vpid=30551228&amp;ct=offers" TargetMode="External"/><Relationship Id="rId220" Type="http://schemas.openxmlformats.org/officeDocument/2006/relationships/hyperlink" Target="https://octopart.com/click/track?ai=8078&amp;sig=0d5b531&amp;sid=10022&amp;ppid=669494&amp;vpid=199007323&amp;ct=offers" TargetMode="External"/><Relationship Id="rId221" Type="http://schemas.openxmlformats.org/officeDocument/2006/relationships/hyperlink" Target="https://octopart.com/click/track?ai=8078&amp;sig=00d72fa&amp;sid=1532&amp;ppid=669494&amp;vpid=707843488&amp;ct=offers" TargetMode="External"/><Relationship Id="rId222" Type="http://schemas.openxmlformats.org/officeDocument/2006/relationships/hyperlink" Target="https://www.ti.com/lit/ds/symlink/ucc21222.pdf?ts=1622551800777&amp;ref_url=https%253A%252F%252Fwww.ti.com%252Fproduct%252FUCC21222" TargetMode="External"/><Relationship Id="rId223" Type="http://schemas.openxmlformats.org/officeDocument/2006/relationships/hyperlink" Target="https://octopart.com/click/track?c=1&amp;ai=8078&amp;sig=09e0135&amp;sid=1106&amp;ppid=89982953&amp;vpid=631859508&amp;ct=offers" TargetMode="External"/><Relationship Id="rId224" Type="http://schemas.openxmlformats.org/officeDocument/2006/relationships/hyperlink" Target="https://octopart.com/click/track?c=1&amp;ai=8078&amp;sig=0a8737a&amp;sid=459&amp;ppid=89982953&amp;vpid=510701928&amp;ct=offers" TargetMode="External"/><Relationship Id="rId225" Type="http://schemas.openxmlformats.org/officeDocument/2006/relationships/hyperlink" Target="https://octopart.com/click/track?c=1&amp;ai=8078&amp;sig=015ff07&amp;sid=2401&amp;ppid=89982953&amp;vpid=503624577&amp;ct=offers" TargetMode="External"/><Relationship Id="rId226" Type="http://schemas.openxmlformats.org/officeDocument/2006/relationships/hyperlink" Target="http://www.vishay.com/docs/83740/sfh617a.pdf" TargetMode="External"/><Relationship Id="rId227" Type="http://schemas.openxmlformats.org/officeDocument/2006/relationships/hyperlink" Target="https://octopart.com/click/track?ai=8078&amp;sig=00a0d59&amp;sid=1106&amp;ppid=18848545&amp;vpid=473539750&amp;ct=offers" TargetMode="External"/><Relationship Id="rId228" Type="http://schemas.openxmlformats.org/officeDocument/2006/relationships/hyperlink" Target="https://octopart.com/click/track?ai=8078&amp;sig=0bb6350&amp;sid=459&amp;ppid=18848545&amp;vpid=409389292&amp;ct=offers" TargetMode="External"/><Relationship Id="rId229" Type="http://schemas.openxmlformats.org/officeDocument/2006/relationships/hyperlink" Target="https://octopart.com/click/track?ai=8078&amp;sig=08a86a9&amp;sid=2401&amp;ppid=18848545&amp;vpid=219546769&amp;ct=offers" TargetMode="External"/><Relationship Id="rId230" Type="http://schemas.openxmlformats.org/officeDocument/2006/relationships/hyperlink" Target="https://octopart.com/click/track?ai=8078&amp;sig=01228ce&amp;sid=1532&amp;ppid=18848545&amp;vpid=709243410&amp;ct=offers" TargetMode="External"/><Relationship Id="rId231" Type="http://schemas.openxmlformats.org/officeDocument/2006/relationships/hyperlink" Target="https://recom-power.com/pdf/Econoline/ROE.pdf" TargetMode="External"/><Relationship Id="rId232" Type="http://schemas.openxmlformats.org/officeDocument/2006/relationships/hyperlink" Target="https://octopart.com/click/track?ai=8078&amp;sig=0173981&amp;sid=1106&amp;ppid=23371166&amp;vpid=55629959&amp;ct=offers" TargetMode="External"/><Relationship Id="rId233" Type="http://schemas.openxmlformats.org/officeDocument/2006/relationships/hyperlink" Target="https://octopart.com/click/track?ai=8078&amp;sig=063e3e1&amp;sid=459&amp;ppid=23371166&amp;vpid=51162847&amp;ct=offers" TargetMode="External"/><Relationship Id="rId234" Type="http://schemas.openxmlformats.org/officeDocument/2006/relationships/hyperlink" Target="https://octopart.com/click/track?ai=8078&amp;sig=0d3d1b9&amp;sid=819&amp;ppid=23371166&amp;vpid=163024316&amp;ct=offers" TargetMode="External"/><Relationship Id="rId235" Type="http://schemas.openxmlformats.org/officeDocument/2006/relationships/hyperlink" Target="https://octopart.com/click/track?ai=8078&amp;sig=0a0de7c&amp;sid=2401&amp;ppid=23371166&amp;vpid=52614904&amp;ct=offers" TargetMode="External"/><Relationship Id="rId236" Type="http://schemas.openxmlformats.org/officeDocument/2006/relationships/hyperlink" Target="https://octopart.com/click/track?ai=8078&amp;sig=01139a2&amp;sid=2402&amp;ppid=23371166&amp;vpid=173707626&amp;ct=offers" TargetMode="External"/><Relationship Id="rId237" Type="http://schemas.openxmlformats.org/officeDocument/2006/relationships/hyperlink" Target="https://octopart.com/click/track?ai=8078&amp;sig=074ba10&amp;sid=10022&amp;ppid=23371166&amp;vpid=199110775&amp;ct=offers" TargetMode="External"/><Relationship Id="rId238" Type="http://schemas.openxmlformats.org/officeDocument/2006/relationships/hyperlink" Target="https://octopart.com/click/track?ai=8078&amp;sig=029d163&amp;sid=1532&amp;ppid=23371166&amp;vpid=709146825&amp;ct=offers" TargetMode="External"/><Relationship Id="rId239" Type="http://schemas.openxmlformats.org/officeDocument/2006/relationships/hyperlink" Target="https://www.murata.com/products/productdata/8807029342238/kdc-cme.pdf?1614569448000" TargetMode="External"/><Relationship Id="rId240" Type="http://schemas.openxmlformats.org/officeDocument/2006/relationships/hyperlink" Target="https://octopart.com/click/track?c=1&amp;ai=8078&amp;sig=09cc9f2&amp;sid=1106&amp;ppid=49447858&amp;vpid=485857011&amp;ct=offers" TargetMode="External"/><Relationship Id="rId241" Type="http://schemas.openxmlformats.org/officeDocument/2006/relationships/hyperlink" Target="https://octopart.com/click/track?ai=8078&amp;sig=048dd8d&amp;sid=459&amp;ppid=49447858&amp;vpid=146944834&amp;ct=offers" TargetMode="External"/><Relationship Id="rId242" Type="http://schemas.openxmlformats.org/officeDocument/2006/relationships/hyperlink" Target="https://octopart.com/click/track?ai=8078&amp;sig=0a6892e&amp;sid=819&amp;ppid=49447858&amp;vpid=163022566&amp;ct=offers" TargetMode="External"/><Relationship Id="rId243" Type="http://schemas.openxmlformats.org/officeDocument/2006/relationships/hyperlink" Target="https://octopart.com/click/track?ai=8078&amp;sig=0f4f385&amp;sid=2401&amp;ppid=49447858&amp;vpid=111836209&amp;ct=offers" TargetMode="External"/><Relationship Id="rId244" Type="http://schemas.openxmlformats.org/officeDocument/2006/relationships/hyperlink" Target="https://octopart.com/click/track?ai=8078&amp;sig=0349094&amp;sid=2402&amp;ppid=49447858&amp;vpid=146745707&amp;ct=offers" TargetMode="External"/><Relationship Id="rId245" Type="http://schemas.openxmlformats.org/officeDocument/2006/relationships/hyperlink" Target="https://octopart.com/click/track?ai=8078&amp;sig=015a59c&amp;sid=10022&amp;ppid=49447858&amp;vpid=199074680&amp;ct=offers" TargetMode="External"/><Relationship Id="rId246" Type="http://schemas.openxmlformats.org/officeDocument/2006/relationships/hyperlink" Target="https://ecsxtal.com/store/pdf/ecx-32.pdf" TargetMode="External"/><Relationship Id="rId247" Type="http://schemas.openxmlformats.org/officeDocument/2006/relationships/hyperlink" Target="https://octopart.com/click/track?ai=8078&amp;sig=0c3a31b&amp;sid=459&amp;ppid=95777826&amp;vpid=503260995&amp;ct=offers" TargetMode="External"/><Relationship Id="rId248" Type="http://schemas.openxmlformats.org/officeDocument/2006/relationships/hyperlink" Target="https://octopart.com/click/track?ai=8078&amp;sig=03d0293&amp;sid=2401&amp;ppid=95777826&amp;vpid=503606152&amp;ct=offers" TargetMode="External"/><Relationship Id="rId249" Type="http://schemas.openxmlformats.org/officeDocument/2006/relationships/hyperlink" Target="https://www.arrow.com/en/bom-tool/" TargetMode="External"/><Relationship Id="rId250" Type="http://schemas.openxmlformats.org/officeDocument/2006/relationships/hyperlink" Target="https://www.digikey.com/ordering/shoppingcart" TargetMode="External"/><Relationship Id="rId251" Type="http://schemas.openxmlformats.org/officeDocument/2006/relationships/hyperlink" Target="https://fr.farnell.com/en-FR/quick-order?isQuickPaste=true" TargetMode="External"/><Relationship Id="rId252" Type="http://schemas.openxmlformats.org/officeDocument/2006/relationships/hyperlink" Target="https://lcsc.com/bom.html" TargetMode="External"/><Relationship Id="rId253" Type="http://schemas.openxmlformats.org/officeDocument/2006/relationships/hyperlink" Target="https://mouser.com/bom/" TargetMode="External"/><Relationship Id="rId254" Type="http://schemas.openxmlformats.org/officeDocument/2006/relationships/hyperlink" Target="https://www.newark.com/quick-order?isQuickPaste=true" TargetMode="External"/><Relationship Id="rId255" Type="http://schemas.openxmlformats.org/officeDocument/2006/relationships/hyperlink" Target="https://uk.rs-online.com/web/mylists/manualQuotes.html?method=showEnquiryCreationPage&amp;mode=new" TargetMode="External"/><Relationship Id="rId256" Type="http://schemas.openxmlformats.org/officeDocument/2006/relationships/hyperlink" Target="https://www.tme.eu/en/Profile/QuickBuy/load.html" TargetMode="External"/><Relationship Id="rId257" Type="http://schemas.openxmlformats.org/officeDocument/2006/relationships/vmlDrawing" Target="../drawings/vmlDrawing1.vml"/><Relationship Id="rId25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54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3"/>
  <cols>
    <col min="1" max="1" width="33.7109375" customWidth="1"/>
    <col min="2" max="2" width="31.7109375" customWidth="1"/>
    <col min="3" max="3" width="33.7109375" customWidth="1" outlineLevel="2"/>
    <col min="4" max="4" width="27.7109375" customWidth="1" outlineLevel="1"/>
    <col min="5" max="5" width="9.140625" outlineLevel="1"/>
    <col min="6" max="6" width="22.7109375" customWidth="1"/>
    <col min="7" max="7" width="16.7109375" customWidth="1"/>
    <col min="8" max="8" width="9.7109375" customWidth="1" outlineLevel="1"/>
    <col min="9" max="9" width="9.140625" outlineLevel="2"/>
    <col min="10" max="10" width="10.7109375" customWidth="1" outlineLevel="2"/>
    <col min="11" max="11" width="0" hidden="1" customWidth="1" outlineLevel="3" collapsed="1"/>
    <col min="12" max="12" width="16.7109375" customWidth="1"/>
    <col min="13" max="13" width="21.7109375" customWidth="1" outlineLevel="2"/>
    <col min="14" max="14" width="9.7109375" customWidth="1" outlineLevel="1"/>
    <col min="15" max="15" width="9.140625" outlineLevel="2"/>
    <col min="16" max="16" width="10.7109375" customWidth="1" outlineLevel="2"/>
    <col min="17" max="17" width="0" hidden="1" customWidth="1" outlineLevel="3" collapsed="1"/>
    <col min="18" max="18" width="16.7109375" customWidth="1"/>
    <col min="19" max="19" width="28.7109375" customWidth="1" outlineLevel="2"/>
    <col min="20" max="20" width="9.7109375" customWidth="1" outlineLevel="1"/>
    <col min="21" max="21" width="9.140625" outlineLevel="2"/>
    <col min="22" max="22" width="10.7109375" customWidth="1" outlineLevel="2"/>
    <col min="23" max="23" width="0" hidden="1" customWidth="1" outlineLevel="3" collapsed="1"/>
    <col min="24" max="24" width="16.7109375" customWidth="1"/>
    <col min="25" max="25" width="16.7109375" customWidth="1" outlineLevel="2"/>
    <col min="26" max="26" width="9.7109375" customWidth="1" outlineLevel="1"/>
    <col min="27" max="27" width="9.140625" outlineLevel="2"/>
    <col min="28" max="28" width="10.7109375" customWidth="1" outlineLevel="2"/>
    <col min="29" max="29" width="0" hidden="1" customWidth="1" outlineLevel="3" collapsed="1"/>
    <col min="30" max="30" width="16.7109375" customWidth="1"/>
    <col min="31" max="31" width="16.7109375" customWidth="1" outlineLevel="2"/>
    <col min="32" max="32" width="9.7109375" customWidth="1" outlineLevel="1"/>
    <col min="33" max="33" width="9.140625" outlineLevel="2"/>
    <col min="34" max="34" width="10.7109375" customWidth="1" outlineLevel="2"/>
    <col min="35" max="35" width="0" hidden="1" customWidth="1" outlineLevel="3" collapsed="1"/>
    <col min="36" max="36" width="16.7109375" customWidth="1"/>
    <col min="37" max="37" width="20.7109375" customWidth="1" outlineLevel="2"/>
    <col min="38" max="38" width="9.7109375" customWidth="1" outlineLevel="1"/>
    <col min="39" max="39" width="9.140625" outlineLevel="2"/>
    <col min="40" max="40" width="10.7109375" customWidth="1" outlineLevel="2"/>
    <col min="41" max="41" width="0" hidden="1" customWidth="1" outlineLevel="3" collapsed="1"/>
    <col min="42" max="42" width="16.7109375" customWidth="1"/>
    <col min="43" max="43" width="16.7109375" customWidth="1" outlineLevel="2"/>
    <col min="44" max="44" width="9.7109375" customWidth="1" outlineLevel="1"/>
    <col min="45" max="45" width="9.140625" outlineLevel="2"/>
    <col min="46" max="46" width="10.7109375" customWidth="1" outlineLevel="2"/>
    <col min="47" max="47" width="0" hidden="1" customWidth="1" outlineLevel="3" collapsed="1"/>
    <col min="48" max="48" width="16.7109375" customWidth="1"/>
    <col min="49" max="49" width="16.7109375" customWidth="1" outlineLevel="2"/>
    <col min="50" max="50" width="9.7109375" customWidth="1" outlineLevel="1"/>
    <col min="51" max="51" width="9.140625" outlineLevel="2"/>
    <col min="52" max="52" width="10.7109375" customWidth="1" outlineLevel="2"/>
    <col min="53" max="53" width="0" hidden="1" customWidth="1" outlineLevel="3" collapsed="1"/>
    <col min="54" max="54" width="16.7109375" customWidth="1"/>
    <col min="55" max="55" width="16.7109375" customWidth="1" outlineLevel="2"/>
  </cols>
  <sheetData>
    <row r="1" spans="1:55">
      <c r="A1" s="1" t="s">
        <v>380</v>
      </c>
      <c r="B1" s="2" t="s">
        <v>381</v>
      </c>
      <c r="F1" s="3" t="s">
        <v>385</v>
      </c>
      <c r="G1" s="3">
        <v>100</v>
      </c>
    </row>
    <row r="2" spans="1:55">
      <c r="A2" s="1" t="s">
        <v>382</v>
      </c>
      <c r="B2" s="2"/>
      <c r="F2" s="1" t="s">
        <v>387</v>
      </c>
      <c r="G2" s="4">
        <f>TotalCost/BoardQty</f>
        <v>58.4767</v>
      </c>
    </row>
    <row r="3" spans="1:55">
      <c r="A3" s="1" t="s">
        <v>383</v>
      </c>
      <c r="B3" s="2" t="s">
        <v>384</v>
      </c>
      <c r="F3" s="1" t="s">
        <v>386</v>
      </c>
      <c r="G3" s="5">
        <f>SUM(G7:G54)</f>
        <v>5847.6671</v>
      </c>
      <c r="L3" s="5">
        <f>SUM(L7:L54)</f>
        <v>2501.45</v>
      </c>
      <c r="M3" s="6" t="str">
        <f>(COUNTA(L7:L54)&amp;" of "&amp;ROWS(L7:L54)&amp;" parts found")</f>
        <v>33 of 48 parts found</v>
      </c>
      <c r="R3" s="5">
        <f>SUM(R7:R54)</f>
        <v>6182.595</v>
      </c>
      <c r="S3" s="6" t="str">
        <f>(COUNTA(R7:R54)&amp;" of "&amp;ROWS(R7:R54)&amp;" parts found")</f>
        <v>43 of 48 parts found</v>
      </c>
      <c r="X3" s="5">
        <f>SUM(X7:X54)</f>
        <v>5803.209</v>
      </c>
      <c r="Y3" s="6" t="str">
        <f>(COUNTA(X7:X54)&amp;" of "&amp;ROWS(X7:X54)&amp;" parts found")</f>
        <v>28 of 48 parts found</v>
      </c>
      <c r="AD3" s="5">
        <f>SUM(AD7:AD54)</f>
        <v>512.75</v>
      </c>
      <c r="AE3" s="6" t="str">
        <f>(COUNTA(AD7:AD54)&amp;" of "&amp;ROWS(AD7:AD54)&amp;" parts found")</f>
        <v>4 of 48 parts found</v>
      </c>
      <c r="AJ3" s="5">
        <f>SUM(AJ7:AJ54)</f>
        <v>6434.8</v>
      </c>
      <c r="AK3" s="6" t="str">
        <f>(COUNTA(AJ7:AJ54)&amp;" of "&amp;ROWS(AJ7:AJ54)&amp;" parts found")</f>
        <v>47 of 48 parts found</v>
      </c>
      <c r="AP3" s="5">
        <f>SUM(AP7:AP54)</f>
        <v>4888.5</v>
      </c>
      <c r="AQ3" s="6" t="str">
        <f>(COUNTA(AP7:AP54)&amp;" of "&amp;ROWS(AP7:AP54)&amp;" parts found")</f>
        <v>34 of 48 parts found</v>
      </c>
      <c r="AV3" s="5">
        <f>SUM(AV7:AV54)</f>
        <v>1301.3458</v>
      </c>
      <c r="AW3" s="6" t="str">
        <f>(COUNTA(AV7:AV54)&amp;" of "&amp;ROWS(AV7:AV54)&amp;" parts found")</f>
        <v>18 of 48 parts found</v>
      </c>
      <c r="BB3" s="5">
        <f>SUM(BB7:BB54)</f>
        <v>350.9794</v>
      </c>
      <c r="BC3" s="6" t="str">
        <f>(COUNTA(BB7:BB54)&amp;" of "&amp;ROWS(BB7:BB54)&amp;" parts found")</f>
        <v>7 of 48 parts found</v>
      </c>
    </row>
    <row r="4" spans="1:55">
      <c r="A4" s="1" t="s">
        <v>388</v>
      </c>
      <c r="B4" s="2" t="s">
        <v>389</v>
      </c>
    </row>
    <row r="5" spans="1:55">
      <c r="A5" s="7" t="s">
        <v>0</v>
      </c>
      <c r="B5" s="7"/>
      <c r="C5" s="7"/>
      <c r="D5" s="7"/>
      <c r="E5" s="7"/>
      <c r="F5" s="7"/>
      <c r="G5" s="7"/>
      <c r="H5" s="8" t="s">
        <v>169</v>
      </c>
      <c r="I5" s="8"/>
      <c r="J5" s="8"/>
      <c r="K5" s="8"/>
      <c r="L5" s="8"/>
      <c r="M5" s="8"/>
      <c r="N5" s="9" t="s">
        <v>194</v>
      </c>
      <c r="O5" s="9"/>
      <c r="P5" s="9"/>
      <c r="Q5" s="9"/>
      <c r="R5" s="9"/>
      <c r="S5" s="9"/>
      <c r="T5" s="10" t="s">
        <v>238</v>
      </c>
      <c r="U5" s="10"/>
      <c r="V5" s="10"/>
      <c r="W5" s="10"/>
      <c r="X5" s="10"/>
      <c r="Y5" s="10"/>
      <c r="Z5" s="11" t="s">
        <v>267</v>
      </c>
      <c r="AA5" s="11"/>
      <c r="AB5" s="11"/>
      <c r="AC5" s="11"/>
      <c r="AD5" s="11"/>
      <c r="AE5" s="11"/>
      <c r="AF5" s="12" t="s">
        <v>272</v>
      </c>
      <c r="AG5" s="12"/>
      <c r="AH5" s="12"/>
      <c r="AI5" s="12"/>
      <c r="AJ5" s="12"/>
      <c r="AK5" s="12"/>
      <c r="AL5" s="13" t="s">
        <v>319</v>
      </c>
      <c r="AM5" s="13"/>
      <c r="AN5" s="13"/>
      <c r="AO5" s="13"/>
      <c r="AP5" s="13"/>
      <c r="AQ5" s="13"/>
      <c r="AR5" s="14" t="s">
        <v>354</v>
      </c>
      <c r="AS5" s="14"/>
      <c r="AT5" s="14"/>
      <c r="AU5" s="14"/>
      <c r="AV5" s="14"/>
      <c r="AW5" s="14"/>
      <c r="AX5" s="15" t="s">
        <v>373</v>
      </c>
      <c r="AY5" s="15"/>
      <c r="AZ5" s="15"/>
      <c r="BA5" s="15"/>
      <c r="BB5" s="15"/>
      <c r="BC5" s="15"/>
    </row>
    <row r="6" spans="1:55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170</v>
      </c>
      <c r="I6" s="16" t="s">
        <v>171</v>
      </c>
      <c r="J6" s="16" t="s">
        <v>6</v>
      </c>
      <c r="K6" s="16" t="s">
        <v>172</v>
      </c>
      <c r="L6" s="16" t="s">
        <v>7</v>
      </c>
      <c r="M6" s="16" t="s">
        <v>173</v>
      </c>
      <c r="N6" s="16" t="s">
        <v>170</v>
      </c>
      <c r="O6" s="16" t="s">
        <v>171</v>
      </c>
      <c r="P6" s="16" t="s">
        <v>6</v>
      </c>
      <c r="Q6" s="16" t="s">
        <v>172</v>
      </c>
      <c r="R6" s="16" t="s">
        <v>7</v>
      </c>
      <c r="S6" s="16" t="s">
        <v>173</v>
      </c>
      <c r="T6" s="16" t="s">
        <v>170</v>
      </c>
      <c r="U6" s="16" t="s">
        <v>171</v>
      </c>
      <c r="V6" s="16" t="s">
        <v>6</v>
      </c>
      <c r="W6" s="16" t="s">
        <v>172</v>
      </c>
      <c r="X6" s="16" t="s">
        <v>7</v>
      </c>
      <c r="Y6" s="16" t="s">
        <v>173</v>
      </c>
      <c r="Z6" s="16" t="s">
        <v>170</v>
      </c>
      <c r="AA6" s="16" t="s">
        <v>171</v>
      </c>
      <c r="AB6" s="16" t="s">
        <v>6</v>
      </c>
      <c r="AC6" s="16" t="s">
        <v>172</v>
      </c>
      <c r="AD6" s="16" t="s">
        <v>7</v>
      </c>
      <c r="AE6" s="16" t="s">
        <v>173</v>
      </c>
      <c r="AF6" s="16" t="s">
        <v>170</v>
      </c>
      <c r="AG6" s="16" t="s">
        <v>171</v>
      </c>
      <c r="AH6" s="16" t="s">
        <v>6</v>
      </c>
      <c r="AI6" s="16" t="s">
        <v>172</v>
      </c>
      <c r="AJ6" s="16" t="s">
        <v>7</v>
      </c>
      <c r="AK6" s="16" t="s">
        <v>173</v>
      </c>
      <c r="AL6" s="16" t="s">
        <v>170</v>
      </c>
      <c r="AM6" s="16" t="s">
        <v>171</v>
      </c>
      <c r="AN6" s="16" t="s">
        <v>6</v>
      </c>
      <c r="AO6" s="16" t="s">
        <v>172</v>
      </c>
      <c r="AP6" s="16" t="s">
        <v>7</v>
      </c>
      <c r="AQ6" s="16" t="s">
        <v>173</v>
      </c>
      <c r="AR6" s="16" t="s">
        <v>170</v>
      </c>
      <c r="AS6" s="16" t="s">
        <v>171</v>
      </c>
      <c r="AT6" s="16" t="s">
        <v>6</v>
      </c>
      <c r="AU6" s="16" t="s">
        <v>172</v>
      </c>
      <c r="AV6" s="16" t="s">
        <v>7</v>
      </c>
      <c r="AW6" s="16" t="s">
        <v>173</v>
      </c>
      <c r="AX6" s="16" t="s">
        <v>170</v>
      </c>
      <c r="AY6" s="16" t="s">
        <v>171</v>
      </c>
      <c r="AZ6" s="16" t="s">
        <v>6</v>
      </c>
      <c r="BA6" s="16" t="s">
        <v>172</v>
      </c>
      <c r="BB6" s="16" t="s">
        <v>7</v>
      </c>
      <c r="BC6" s="16" t="s">
        <v>173</v>
      </c>
    </row>
    <row r="7" spans="1:55">
      <c r="A7" s="17" t="s">
        <v>8</v>
      </c>
      <c r="B7" s="17" t="s">
        <v>9</v>
      </c>
      <c r="C7" s="17" t="s">
        <v>10</v>
      </c>
      <c r="D7" s="17" t="s">
        <v>11</v>
      </c>
      <c r="E7" s="17">
        <f>CEILING(BoardQty*1.0,1)</f>
        <v>100</v>
      </c>
      <c r="F7" s="18">
        <f>IF(MIN(J7,P7,V7,AB7,AH7,AN7,AT7,AZ7)&lt;&gt;0,MIN(J7,P7,V7,AB7,AH7,AN7,AT7,AZ7),"")</f>
        <v>0.7514</v>
      </c>
      <c r="G7" s="19">
        <f>IF(AND(ISNUMBER(E7),ISNUMBER(F7)),E7*F7,"")</f>
        <v>75.14</v>
      </c>
      <c r="N7" s="17">
        <v>1958</v>
      </c>
      <c r="P7" s="18">
        <f>IFERROR(IF(OR(O7&gt;=Q7,E7&gt;=Q7),LOOKUP(IF(O7="",E7,O7),{0,1,10,50,100,250,500,1000,2500},{0.0,1.09,0.905,0.7958,0.7514,0.69892,0.66256,0.6262,0.58176}),"MOQ="&amp;Q7),"")</f>
        <v>0.7514</v>
      </c>
      <c r="Q7" s="17">
        <v>1</v>
      </c>
      <c r="R7" s="19">
        <f>IFERROR(IF(O7="",E7,O7)*P7,"")</f>
        <v>75.14</v>
      </c>
      <c r="S7" s="20" t="s">
        <v>195</v>
      </c>
      <c r="AR7" s="17">
        <v>675</v>
      </c>
      <c r="AT7" s="18">
        <f>IFERROR(IF(OR(AS7&gt;=AU7,E7&gt;=AU7),USD_GBP*LOOKUP(IF(AS7="",E7,AS7),{0,1},{0.0,0.9}),"MOQ="&amp;AU7),"")</f>
        <v>1.2751347279364895</v>
      </c>
      <c r="AU7" s="17">
        <v>1</v>
      </c>
      <c r="AV7" s="19">
        <f>IFERROR(IF(AS7="",E7,AS7)*AT7,"")</f>
        <v>127.5135</v>
      </c>
      <c r="AW7" s="20" t="s">
        <v>355</v>
      </c>
    </row>
    <row r="8" spans="1:55" ht="30" customHeight="1">
      <c r="A8" s="17" t="s">
        <v>12</v>
      </c>
      <c r="B8" s="17" t="s">
        <v>13</v>
      </c>
      <c r="C8" s="17" t="s">
        <v>14</v>
      </c>
      <c r="D8" s="17" t="s">
        <v>15</v>
      </c>
      <c r="E8" s="17">
        <f>CEILING(BoardQty*17.0,1)</f>
        <v>1700</v>
      </c>
      <c r="F8" s="18">
        <f>IF(MIN(J8,P8,V8,AB8,AH8,AN8,AT8,AZ8)&lt;&gt;0,MIN(J8,P8,V8,AB8,AH8,AN8,AT8,AZ8),"")</f>
        <v>0.012893028915802282</v>
      </c>
      <c r="G8" s="19">
        <f>IF(AND(ISNUMBER(E8),ISNUMBER(F8)),E8*F8,"")</f>
        <v>21.9181</v>
      </c>
      <c r="H8" s="17">
        <v>1242</v>
      </c>
      <c r="J8" s="18">
        <f>IFERROR(IF(OR(I8&gt;=K8,E8&gt;=K8),LOOKUP(IF(I8="",E8,I8),{0,1,10,25,100},{0.0,0.0265,0.0257,0.0234,0.0231}),"MOQ="&amp;K8),"")</f>
        <v>0.0231</v>
      </c>
      <c r="K8" s="17">
        <v>1</v>
      </c>
      <c r="L8" s="19">
        <f>IFERROR(IF(I8="",E8,I8)*J8,"")</f>
        <v>39.27</v>
      </c>
      <c r="M8" s="20" t="s">
        <v>15</v>
      </c>
      <c r="N8" s="17">
        <v>1729262</v>
      </c>
      <c r="P8" s="18">
        <f>IFERROR(IF(OR(O8&gt;=Q8,E8&gt;=Q8),LOOKUP(IF(O8="",E8,O8),{0,1,10,50,100,500,1000,4000},{0.0,0.12,0.084,0.0474,0.0393,0.02754,0.02279,0.01941}),"MOQ="&amp;Q8),"")</f>
        <v>0.02279</v>
      </c>
      <c r="Q8" s="17">
        <v>1</v>
      </c>
      <c r="R8" s="19">
        <f>IFERROR(IF(O8="",E8,O8)*P8,"")</f>
        <v>38.743</v>
      </c>
      <c r="S8" s="20" t="s">
        <v>196</v>
      </c>
      <c r="T8" s="17">
        <v>6377999</v>
      </c>
      <c r="V8" s="18">
        <f>IFERROR(IF(OR(U8&gt;=W8,E8&gt;=W8),USD_GBP*LOOKUP(IF(U8="",E8,U8),{0,1,3,10,100,150,500,1000,2000,4000,20000},{0.0,49.22,46.09,0.0586,0.0335,0.0335,0.0261,0.0235,0.0213,0.0126,0.0116}),"MOQ="&amp;W8),"")</f>
        <v>0.033295184562786115</v>
      </c>
      <c r="W8" s="17">
        <v>1</v>
      </c>
      <c r="X8" s="19">
        <f>IFERROR(IF(U8="",E8,U8)*V8,"")</f>
        <v>56.6018</v>
      </c>
      <c r="Y8" s="20" t="s">
        <v>239</v>
      </c>
      <c r="AF8" s="17">
        <v>716199</v>
      </c>
      <c r="AH8" s="18">
        <f>IFERROR(IF(OR(AG8&gt;=AI8,E8&gt;=AI8),LOOKUP(IF(AG8="",E8,AG8),{0,1,10,50,100,1000,10000},{0.0,0.12,0.048,0.048,0.028,0.023,0.015}),"MOQ="&amp;AI8),"")</f>
        <v>0.023</v>
      </c>
      <c r="AI8" s="17">
        <v>1</v>
      </c>
      <c r="AJ8" s="19">
        <f>IFERROR(IF(AG8="",E8,AG8)*AH8,"")</f>
        <v>39.1</v>
      </c>
      <c r="AK8" s="20" t="s">
        <v>273</v>
      </c>
      <c r="AL8" s="17">
        <v>84413</v>
      </c>
      <c r="AN8" s="18">
        <f>IFERROR(IF(OR(AM8&gt;=AO8,E8&gt;=AO8),LOOKUP(IF(AM8="",E8,AM8),{0,1,10,25,50,100,4000,8000},{0.0,0.12,0.12,0.05,0.039,0.028,0.017,0.016}),"MOQ="&amp;AO8),"")</f>
        <v>0.028</v>
      </c>
      <c r="AO8" s="17">
        <v>1</v>
      </c>
      <c r="AP8" s="19">
        <f>IFERROR(IF(AM8="",E8,AM8)*AN8,"")</f>
        <v>47.6</v>
      </c>
      <c r="AQ8" s="20" t="s">
        <v>320</v>
      </c>
      <c r="AR8" s="17">
        <v>144000</v>
      </c>
      <c r="AT8" s="18">
        <f>IFERROR(IF(OR(AS8&gt;=AU8,E8&gt;=AU8),USD_GBP*LOOKUP(IF(AS8="",E8,AS8),{0,1,4000,16000,40000,100000,200000},{0.0,0.014,0.014,0.014,0.013,0.013,0.012}),"MOQ="&amp;AU8),"")</f>
        <v/>
      </c>
      <c r="AU8" s="17">
        <v>4000</v>
      </c>
      <c r="AV8" s="19">
        <f>IFERROR(IF(AS8="",E8,AS8)*AT8,"")</f>
        <v/>
      </c>
      <c r="AW8" s="20" t="s">
        <v>356</v>
      </c>
      <c r="AX8" s="17">
        <v>1053600</v>
      </c>
      <c r="AZ8" s="18">
        <f>IFERROR(IF(OR(AY8&gt;=BA8,E8&gt;=BA8),USD_GBP*LOOKUP(IF(AY8="",E8,AY8),{0,1,100,1000,4000,12000},{0.0,0.01733,0.01733,0.0091,0.00507,0.0048}),"MOQ="&amp;BA8),"")</f>
        <v>0.012893028915802282</v>
      </c>
      <c r="BA8" s="17">
        <v>100</v>
      </c>
      <c r="BB8" s="19">
        <f>IFERROR(IF(AY8="",E8,AY8)*AZ8,"")</f>
        <v>21.9181</v>
      </c>
      <c r="BC8" s="20" t="s">
        <v>374</v>
      </c>
    </row>
    <row r="9" spans="1:55">
      <c r="A9" s="17" t="s">
        <v>16</v>
      </c>
      <c r="B9" s="17" t="s">
        <v>17</v>
      </c>
      <c r="C9" s="17" t="s">
        <v>14</v>
      </c>
      <c r="D9" s="17" t="s">
        <v>18</v>
      </c>
      <c r="E9" s="17">
        <f>CEILING(BoardQty*2.0,1)</f>
        <v>200</v>
      </c>
      <c r="F9" s="18">
        <f>IF(MIN(J9,P9,V9,AB9,AH9,AN9,AT9,AZ9)&lt;&gt;0,MIN(J9,P9,V9,AB9,AH9,AN9,AT9,AZ9),"")</f>
        <v>0.026</v>
      </c>
      <c r="G9" s="19">
        <f>IF(AND(ISNUMBER(E9),ISNUMBER(F9)),E9*F9,"")</f>
        <v>5.2</v>
      </c>
      <c r="AF9" s="17">
        <v>12260</v>
      </c>
      <c r="AH9" s="18">
        <f>IFERROR(IF(OR(AG9&gt;=AI9,E9&gt;=AI9),LOOKUP(IF(AG9="",E9,AG9),{0,1,10,50,100,1000,10000},{0.0,0.1,0.038,0.038,0.026,0.017,0.012}),"MOQ="&amp;AI9),"")</f>
        <v>0.026</v>
      </c>
      <c r="AI9" s="17">
        <v>1</v>
      </c>
      <c r="AJ9" s="19">
        <f>IFERROR(IF(AG9="",E9,AG9)*AH9,"")</f>
        <v>5.2</v>
      </c>
      <c r="AK9" s="20" t="s">
        <v>274</v>
      </c>
    </row>
    <row r="10" spans="1:55">
      <c r="A10" s="17" t="s">
        <v>19</v>
      </c>
      <c r="B10" s="17" t="s">
        <v>20</v>
      </c>
      <c r="C10" s="17" t="s">
        <v>14</v>
      </c>
      <c r="D10" s="17" t="s">
        <v>21</v>
      </c>
      <c r="E10" s="17">
        <f>CEILING(BoardQty*1.0,1)</f>
        <v>100</v>
      </c>
      <c r="F10" s="18">
        <f>IF(MIN(J10,P10,V10,AB10,AH10,AN10,AT10,AZ10)&lt;&gt;0,MIN(J10,P10,V10,AB10,AH10,AN10,AT10,AZ10),"")</f>
        <v>0.313</v>
      </c>
      <c r="G10" s="19">
        <f>IF(AND(ISNUMBER(E10),ISNUMBER(F10)),E10*F10,"")</f>
        <v>31.3</v>
      </c>
      <c r="H10" s="21" t="s">
        <v>174</v>
      </c>
      <c r="J10" s="18">
        <f>IFERROR(IF(OR(I10&gt;=K10,E10&gt;=K10),LOOKUP(IF(I10="",E10,I10),{0,1,2000,20000,200000,1000000,2000000},{0.0,0.7,0.7,0.6389,0.3025,0.1562,0.1554}),"MOQ="&amp;K10),"")</f>
        <v/>
      </c>
      <c r="K10" s="17">
        <v>2000</v>
      </c>
      <c r="L10" s="19">
        <f>IFERROR(IF(I10="",E10,I10)*J10,"")</f>
        <v/>
      </c>
      <c r="M10" s="20" t="s">
        <v>21</v>
      </c>
      <c r="N10" s="21" t="s">
        <v>174</v>
      </c>
      <c r="P10" s="18">
        <f>IFERROR(IF(OR(O10&gt;=Q10,E10&gt;=Q10),LOOKUP(IF(O10="",E10,O10),{0,1,10,50,100,500,1000,2000},{0.0,0.73,0.514,0.3888,0.3386,0.2508,0.21318,0.20064}),"MOQ="&amp;Q10),"")</f>
        <v>0.3386</v>
      </c>
      <c r="Q10" s="17">
        <v>1</v>
      </c>
      <c r="R10" s="19">
        <f>IFERROR(IF(O10="",E10,O10)*P10,"")</f>
        <v>33.86</v>
      </c>
      <c r="S10" s="20" t="s">
        <v>197</v>
      </c>
      <c r="T10" s="17">
        <v>20</v>
      </c>
      <c r="V10" s="18">
        <f>IFERROR(IF(OR(U10&gt;=W10,E10&gt;=W10),USD_GBP*LOOKUP(IF(U10="",E10,U10),{0,1,5,50,150,250,500,1000,2000,10000},{0.0,0.384,0.384,0.246,0.246,0.217,0.188,0.161,0.148,0.133}),"MOQ="&amp;W10),"")</f>
        <v>0.34853682563597377</v>
      </c>
      <c r="W10" s="17">
        <v>5</v>
      </c>
      <c r="X10" s="19">
        <f>IFERROR(IF(U10="",E10,U10)*V10,"")</f>
        <v>34.8537</v>
      </c>
      <c r="Y10" s="20" t="s">
        <v>240</v>
      </c>
      <c r="AF10" s="17">
        <v>212695</v>
      </c>
      <c r="AH10" s="18">
        <f>IFERROR(IF(OR(AG10&gt;=AI10,E10&gt;=AI10),LOOKUP(IF(AG10="",E10,AG10),{0,1,10,50,100,1000,10000},{0.0,0.69,0.371,0.371,0.313,0.204,0.16}),"MOQ="&amp;AI10),"")</f>
        <v>0.313</v>
      </c>
      <c r="AI10" s="17">
        <v>1</v>
      </c>
      <c r="AJ10" s="19">
        <f>IFERROR(IF(AG10="",E10,AG10)*AH10,"")</f>
        <v>31.3</v>
      </c>
      <c r="AK10" s="20" t="s">
        <v>275</v>
      </c>
      <c r="AL10" s="17">
        <v>20</v>
      </c>
      <c r="AN10" s="18">
        <f>IFERROR(IF(OR(AM10&gt;=AO10,E10&gt;=AO10),LOOKUP(IF(AM10="",E10,AM10),{0,1,5,10,25,50,100,2000,4000,8000,12000},{0.0,0.687,0.687,0.384,0.366,0.347,0.328,0.165,0.164,0.162,0.16}),"MOQ="&amp;AO10),"")</f>
        <v>0.328</v>
      </c>
      <c r="AO10" s="17">
        <v>5</v>
      </c>
      <c r="AP10" s="19">
        <f>IFERROR(IF(AM10="",E10,AM10)*AN10,"")</f>
        <v>32.8</v>
      </c>
      <c r="AQ10" s="20" t="s">
        <v>321</v>
      </c>
    </row>
    <row r="11" spans="1:55">
      <c r="A11" s="17" t="s">
        <v>22</v>
      </c>
      <c r="B11" s="17" t="s">
        <v>23</v>
      </c>
      <c r="C11" s="17" t="s">
        <v>14</v>
      </c>
      <c r="D11" s="17" t="s">
        <v>24</v>
      </c>
      <c r="E11" s="17">
        <f>CEILING(BoardQty*1.0,1)</f>
        <v>100</v>
      </c>
      <c r="F11" s="18">
        <f>IF(MIN(J11,P11,V11,AB11,AH11,AN11,AT11,AZ11)&lt;&gt;0,MIN(J11,P11,V11,AB11,AH11,AN11,AT11,AZ11),"")</f>
        <v>0.0403</v>
      </c>
      <c r="G11" s="19">
        <f>IF(AND(ISNUMBER(E11),ISNUMBER(F11)),E11*F11,"")</f>
        <v>4.03</v>
      </c>
      <c r="H11" s="17">
        <v>19000</v>
      </c>
      <c r="J11" s="18">
        <f>IFERROR(IF(OR(I11&gt;=K11,E11&gt;=K11),LOOKUP(IF(I11="",E11,I11),{0,1,10,25,100,250,500,1000,3000,6000,15000},{0.0,0.1027,0.0737,0.073,0.0403,0.0399,0.0282,0.0248,0.0207,0.0205,0.0202}),"MOQ="&amp;K11),"")</f>
        <v>0.0403</v>
      </c>
      <c r="K11" s="17">
        <v>1</v>
      </c>
      <c r="L11" s="19">
        <f>IFERROR(IF(I11="",E11,I11)*J11,"")</f>
        <v>4.03</v>
      </c>
      <c r="M11" s="20" t="s">
        <v>24</v>
      </c>
      <c r="N11" s="17">
        <v>83272</v>
      </c>
      <c r="P11" s="18">
        <f>IFERROR(IF(OR(O11&gt;=Q11,E11&gt;=Q11),LOOKUP(IF(O11="",E11,O11),{0,1,10,50,100,500,1000,2000},{0.0,0.13,0.095,0.054,0.0447,0.03136,0.02596,0.02416}),"MOQ="&amp;Q11),"")</f>
        <v>0.0447</v>
      </c>
      <c r="Q11" s="17">
        <v>1</v>
      </c>
      <c r="R11" s="19">
        <f>IFERROR(IF(O11="",E11,O11)*P11,"")</f>
        <v>4.47</v>
      </c>
      <c r="S11" s="20" t="s">
        <v>198</v>
      </c>
      <c r="AF11" s="17">
        <v>126249</v>
      </c>
      <c r="AH11" s="18">
        <f>IFERROR(IF(OR(AG11&gt;=AI11,E11&gt;=AI11),LOOKUP(IF(AG11="",E11,AG11),{0,1,10,50,100,1000,10000},{0.0,0.12,0.052,0.052,0.042,0.025,0.017}),"MOQ="&amp;AI11),"")</f>
        <v>0.042</v>
      </c>
      <c r="AI11" s="17">
        <v>1</v>
      </c>
      <c r="AJ11" s="19">
        <f>IFERROR(IF(AG11="",E11,AG11)*AH11,"")</f>
        <v>4.2</v>
      </c>
      <c r="AK11" s="20" t="s">
        <v>276</v>
      </c>
    </row>
    <row r="12" spans="1:55">
      <c r="A12" s="17" t="s">
        <v>25</v>
      </c>
      <c r="B12" s="17" t="s">
        <v>26</v>
      </c>
      <c r="C12" s="17" t="s">
        <v>14</v>
      </c>
      <c r="D12" s="17" t="s">
        <v>27</v>
      </c>
      <c r="E12" s="17">
        <f>CEILING(BoardQty*1.0,1)</f>
        <v>100</v>
      </c>
      <c r="F12" s="18">
        <f>IF(MIN(J12,P12,V12,AB12,AH12,AN12,AT12,AZ12)&lt;&gt;0,MIN(J12,P12,V12,AB12,AH12,AN12,AT12,AZ12),"")</f>
        <v>0.09946050877904618</v>
      </c>
      <c r="G12" s="19">
        <f>IF(AND(ISNUMBER(E12),ISNUMBER(F12)),E12*F12,"")</f>
        <v>9.9461</v>
      </c>
      <c r="N12" s="17">
        <v>1179</v>
      </c>
      <c r="P12" s="18">
        <f>IFERROR(IF(OR(O12&gt;=Q12,E12&gt;=Q12),LOOKUP(IF(O12="",E12,O12),{0,1,10,50,100,500,1000,4000},{0.0,0.35,0.241,0.1686,0.1445,0.1084,0.09154,0.08191}),"MOQ="&amp;Q12),"")</f>
        <v>0.1445</v>
      </c>
      <c r="Q12" s="17">
        <v>1</v>
      </c>
      <c r="R12" s="19">
        <f>IFERROR(IF(O12="",E12,O12)*P12,"")</f>
        <v>14.45</v>
      </c>
      <c r="S12" s="20" t="s">
        <v>199</v>
      </c>
      <c r="T12" s="17">
        <v>18570</v>
      </c>
      <c r="V12" s="18">
        <f>IFERROR(IF(OR(U12&gt;=W12,E12&gt;=W12),USD_GBP*LOOKUP(IF(U12="",E12,U12),{0,1,10,100,150,500,1000,2000,4000,20000},{0.0,0.123,0.123,0.0702,0.0702,0.0534,0.0463,0.0396,0.0388,0.0267}),"MOQ="&amp;W12),"")</f>
        <v>0.09946050877904618</v>
      </c>
      <c r="W12" s="17">
        <v>10</v>
      </c>
      <c r="X12" s="19">
        <f>IFERROR(IF(U12="",E12,U12)*V12,"")</f>
        <v>9.9461</v>
      </c>
      <c r="Y12" s="20" t="s">
        <v>241</v>
      </c>
      <c r="AF12" s="17">
        <v>2055</v>
      </c>
      <c r="AH12" s="18">
        <f>IFERROR(IF(OR(AG12&gt;=AI12,E12&gt;=AI12),LOOKUP(IF(AG12="",E12,AG12),{0,1,10,50,100,1000,10000},{0.0,0.35,0.203,0.203,0.122,0.1,0.067}),"MOQ="&amp;AI12),"")</f>
        <v>0.122</v>
      </c>
      <c r="AI12" s="17">
        <v>1</v>
      </c>
      <c r="AJ12" s="19">
        <f>IFERROR(IF(AG12="",E12,AG12)*AH12,"")</f>
        <v>12.2</v>
      </c>
      <c r="AK12" s="20" t="s">
        <v>277</v>
      </c>
      <c r="AL12" s="17">
        <v>18380</v>
      </c>
      <c r="AN12" s="18">
        <f>IFERROR(IF(OR(AM12&gt;=AO12,E12&gt;=AO12),LOOKUP(IF(AM12="",E12,AM12),{0,1,10,25,50,100,4000,8000,16000,24000},{0.0,0.161,0.161,0.151,0.141,0.131,0.071,0.07,0.063,0.055}),"MOQ="&amp;AO12),"")</f>
        <v>0.131</v>
      </c>
      <c r="AO12" s="17">
        <v>10</v>
      </c>
      <c r="AP12" s="19">
        <f>IFERROR(IF(AM12="",E12,AM12)*AN12,"")</f>
        <v>13.1</v>
      </c>
      <c r="AQ12" s="20" t="s">
        <v>322</v>
      </c>
    </row>
    <row r="13" spans="1:55">
      <c r="A13" s="17" t="s">
        <v>28</v>
      </c>
      <c r="B13" s="17" t="s">
        <v>29</v>
      </c>
      <c r="C13" s="17" t="s">
        <v>30</v>
      </c>
      <c r="D13" s="17" t="s">
        <v>31</v>
      </c>
      <c r="E13" s="17">
        <f>CEILING(BoardQty*2.0,1)</f>
        <v>200</v>
      </c>
      <c r="F13" s="18">
        <f>IF(MIN(J13,P13,V13,AB13,AH13,AN13,AT13,AZ13)&lt;&gt;0,MIN(J13,P13,V13,AB13,AH13,AN13,AT13,AZ13),"")</f>
        <v>0.233</v>
      </c>
      <c r="G13" s="19">
        <f>IF(AND(ISNUMBER(E13),ISNUMBER(F13)),E13*F13,"")</f>
        <v>46.6</v>
      </c>
      <c r="N13" s="21" t="s">
        <v>174</v>
      </c>
      <c r="P13" s="18">
        <f>IFERROR(IF(OR(O13&gt;=Q13,E13&gt;=Q13),LOOKUP(IF(O13="",E13,O13),{0,1,50,100,250,900},{0.0,0.31,0.267,0.233,0.207,0.181}),"MOQ="&amp;Q13),"")</f>
        <v>0.233</v>
      </c>
      <c r="Q13" s="17">
        <v>1</v>
      </c>
      <c r="R13" s="19">
        <f>IFERROR(IF(O13="",E13,O13)*P13,"")</f>
        <v>46.6</v>
      </c>
      <c r="S13" s="20" t="s">
        <v>200</v>
      </c>
      <c r="T13" s="17">
        <v>25</v>
      </c>
      <c r="V13" s="18">
        <f>IFERROR(IF(OR(U13&gt;=W13,E13&gt;=W13),USD_GBP*LOOKUP(IF(U13="",E13,U13),{0,1,50,100,150,250,500},{0.0,0.393,0.258,0.214,0.214,0.195,0.173}),"MOQ="&amp;W13),"")</f>
        <v>0.3031987019760097</v>
      </c>
      <c r="W13" s="17">
        <v>1</v>
      </c>
      <c r="X13" s="19">
        <f>IFERROR(IF(U13="",E13,U13)*V13,"")</f>
        <v>60.6397</v>
      </c>
      <c r="Y13" s="20" t="s">
        <v>242</v>
      </c>
      <c r="AF13" s="17">
        <v>2095</v>
      </c>
      <c r="AH13" s="18">
        <f>IFERROR(IF(OR(AG13&gt;=AI13,E13&gt;=AI13),LOOKUP(IF(AG13="",E13,AG13),{0,1,10,50,100,1000,10000},{0.0,0.32,0.32,0.276,0.241,0.178,0.178}),"MOQ="&amp;AI13),"")</f>
        <v>0.241</v>
      </c>
      <c r="AI13" s="17">
        <v>1</v>
      </c>
      <c r="AJ13" s="19">
        <f>IFERROR(IF(AG13="",E13,AG13)*AH13,"")</f>
        <v>48.2</v>
      </c>
      <c r="AK13" s="20" t="s">
        <v>278</v>
      </c>
      <c r="AL13" s="17">
        <v>20</v>
      </c>
      <c r="AN13" s="18">
        <f>IFERROR(IF(OR(AM13&gt;=AO13,E13&gt;=AO13),LOOKUP(IF(AM13="",E13,AM13),{0,1,10,25,50,100,250,500},{0.0,0.414,0.394,0.373,0.353,0.31,0.278,0.247}),"MOQ="&amp;AO13),"")</f>
        <v>0.31</v>
      </c>
      <c r="AO13" s="17">
        <v>1</v>
      </c>
      <c r="AP13" s="19">
        <f>IFERROR(IF(AM13="",E13,AM13)*AN13,"")</f>
        <v>62.0</v>
      </c>
      <c r="AQ13" s="20" t="s">
        <v>323</v>
      </c>
      <c r="AR13" s="17">
        <v>350</v>
      </c>
      <c r="AT13" s="18">
        <f>IFERROR(IF(OR(AS13&gt;=AU13,E13&gt;=AU13),USD_GBP*LOOKUP(IF(AS13="",E13,AS13),{0,1,10,50,100,200,1000},{0.0,0.249,0.249,0.206,0.181,0.171,0.138}),"MOQ="&amp;AU13),"")</f>
        <v>0.24227559830793302</v>
      </c>
      <c r="AU13" s="17">
        <v>10</v>
      </c>
      <c r="AV13" s="19">
        <f>IFERROR(IF(AS13="",E13,AS13)*AT13,"")</f>
        <v>48.4551</v>
      </c>
      <c r="AW13" s="20" t="s">
        <v>357</v>
      </c>
    </row>
    <row r="14" spans="1:55">
      <c r="A14" s="17" t="s">
        <v>32</v>
      </c>
      <c r="B14" s="17" t="s">
        <v>33</v>
      </c>
      <c r="C14" s="17" t="s">
        <v>14</v>
      </c>
      <c r="D14" s="17" t="s">
        <v>34</v>
      </c>
      <c r="E14" s="17">
        <f>CEILING(BoardQty*4.0,1)</f>
        <v>400</v>
      </c>
      <c r="F14" s="18">
        <f>IF(MIN(J14,P14,V14,AB14,AH14,AN14,AT14,AZ14)&lt;&gt;0,MIN(J14,P14,V14,AB14,AH14,AN14,AT14,AZ14),"")</f>
        <v>0.022669061829982035</v>
      </c>
      <c r="G14" s="19">
        <f>IF(AND(ISNUMBER(E14),ISNUMBER(F14)),E14*F14,"")</f>
        <v>9.0676</v>
      </c>
      <c r="H14" s="17">
        <v>2</v>
      </c>
      <c r="J14" s="18">
        <f>IFERROR(IF(OR(I14&gt;=K14,E14&gt;=K14),LOOKUP(IF(I14="",E14,I14),{0,1,4000,40000,400000,2000000},{0.0,0.0276,0.0276,0.0257,0.0143,0.0086}),"MOQ="&amp;K14),"")</f>
        <v/>
      </c>
      <c r="K14" s="17">
        <v>4000</v>
      </c>
      <c r="L14" s="19">
        <f>IFERROR(IF(I14="",E14,I14)*J14,"")</f>
        <v/>
      </c>
      <c r="M14" s="20" t="s">
        <v>34</v>
      </c>
      <c r="N14" s="17">
        <v>54976</v>
      </c>
      <c r="P14" s="18">
        <f>IFERROR(IF(OR(O14&gt;=Q14,E14&gt;=Q14),LOOKUP(IF(O14="",E14,O14),{0,1,10,50,100,500,1000,4000},{0.0,0.1,0.07,0.038,0.031,0.02214,0.01739,0.01455}),"MOQ="&amp;Q14),"")</f>
        <v>0.031</v>
      </c>
      <c r="Q14" s="17">
        <v>1</v>
      </c>
      <c r="R14" s="19">
        <f>IFERROR(IF(O14="",E14,O14)*P14,"")</f>
        <v>12.4</v>
      </c>
      <c r="S14" s="20" t="s">
        <v>201</v>
      </c>
      <c r="T14" s="17">
        <v>23122</v>
      </c>
      <c r="V14" s="18">
        <f>IFERROR(IF(OR(U14&gt;=W14,E14&gt;=W14),USD_GBP*LOOKUP(IF(U14="",E14,U14),{0,1,10,100,150,500,1000,2000,4000},{0.0,0.0426,0.0426,0.0345,0.0345,0.0233,0.0175,0.0172,0.0088}),"MOQ="&amp;W14),"")</f>
        <v>0.04888016457089876</v>
      </c>
      <c r="W14" s="17">
        <v>10</v>
      </c>
      <c r="X14" s="19">
        <f>IFERROR(IF(U14="",E14,U14)*V14,"")</f>
        <v>19.5521</v>
      </c>
      <c r="Y14" s="20" t="s">
        <v>243</v>
      </c>
      <c r="AF14" s="17">
        <v>34398</v>
      </c>
      <c r="AH14" s="18">
        <f>IFERROR(IF(OR(AG14&gt;=AI14,E14&gt;=AI14),LOOKUP(IF(AG14="",E14,AG14),{0,1,10,50,100,1000,10000},{0.0,0.1,0.046,0.046,0.032,0.018,0.01}),"MOQ="&amp;AI14),"")</f>
        <v>0.032</v>
      </c>
      <c r="AI14" s="17">
        <v>1</v>
      </c>
      <c r="AJ14" s="19">
        <f>IFERROR(IF(AG14="",E14,AG14)*AH14,"")</f>
        <v>12.8</v>
      </c>
      <c r="AK14" s="20" t="s">
        <v>279</v>
      </c>
      <c r="AL14" s="17">
        <v>27022</v>
      </c>
      <c r="AN14" s="18">
        <f>IFERROR(IF(OR(AM14&gt;=AO14,E14&gt;=AO14),LOOKUP(IF(AM14="",E14,AM14),{0,1,10,25,50,100,250,500,1000,4000,8000},{0.0,0.126,0.104,0.053,0.045,0.038,0.035,0.033,0.025,0.019,0.018}),"MOQ="&amp;AO14),"")</f>
        <v>0.035</v>
      </c>
      <c r="AO14" s="17">
        <v>1</v>
      </c>
      <c r="AP14" s="19">
        <f>IFERROR(IF(AM14="",E14,AM14)*AN14,"")</f>
        <v>14.0</v>
      </c>
      <c r="AQ14" s="20" t="s">
        <v>324</v>
      </c>
      <c r="AR14" s="17">
        <v>12000</v>
      </c>
      <c r="AT14" s="18">
        <f>IFERROR(IF(OR(AS14&gt;=AU14,E14&gt;=AU14),USD_GBP*LOOKUP(IF(AS14="",E14,AS14),{0,1,25,125,625,1250,2500},{0.0,0.036,0.036,0.016,0.01,0.01,0.01}),"MOQ="&amp;AU14),"")</f>
        <v>0.022669061829982035</v>
      </c>
      <c r="AU14" s="17">
        <v>25</v>
      </c>
      <c r="AV14" s="19">
        <f>IFERROR(IF(AS14="",E14,AS14)*AT14,"")</f>
        <v>9.0676</v>
      </c>
      <c r="AW14" s="20" t="s">
        <v>358</v>
      </c>
    </row>
    <row r="15" spans="1:55">
      <c r="A15" s="17" t="s">
        <v>35</v>
      </c>
      <c r="B15" s="17" t="s">
        <v>36</v>
      </c>
      <c r="C15" s="17" t="s">
        <v>37</v>
      </c>
      <c r="D15" s="17" t="s">
        <v>38</v>
      </c>
      <c r="E15" s="17">
        <f>CEILING(BoardQty*9.0,1)</f>
        <v>900</v>
      </c>
      <c r="F15" s="18">
        <f>IF(MIN(J15,P15,V15,AB15,AH15,AN15,AT15,AZ15)&lt;&gt;0,MIN(J15,P15,V15,AB15,AH15,AN15,AT15,AZ15),"")</f>
        <v>0.35034</v>
      </c>
      <c r="G15" s="19">
        <f>IF(AND(ISNUMBER(E15),ISNUMBER(F15)),E15*F15,"")</f>
        <v>315.306</v>
      </c>
      <c r="H15" s="21" t="s">
        <v>174</v>
      </c>
      <c r="M15" s="20" t="s">
        <v>38</v>
      </c>
      <c r="N15" s="21" t="s">
        <v>174</v>
      </c>
      <c r="P15" s="18">
        <f>IFERROR(IF(OR(O15&gt;=Q15,E15&gt;=Q15),LOOKUP(IF(O15="",E15,O15),{0,1,10,50,100,500,1000},{0.0,0.88,0.645,0.5162,0.4425,0.35034,0.29503}),"MOQ="&amp;Q15),"")</f>
        <v>0.35034</v>
      </c>
      <c r="Q15" s="17">
        <v>1</v>
      </c>
      <c r="R15" s="19">
        <f>IFERROR(IF(O15="",E15,O15)*P15,"")</f>
        <v>315.306</v>
      </c>
      <c r="S15" s="20" t="s">
        <v>202</v>
      </c>
      <c r="AF15" s="17">
        <v>28676</v>
      </c>
      <c r="AH15" s="18">
        <f>IFERROR(IF(OR(AG15&gt;=AI15,E15&gt;=AI15),LOOKUP(IF(AG15="",E15,AG15),{0,1,10,50,100,1000,10000},{0.0,0.83,0.647,0.627,0.462,0.327,0.327}),"MOQ="&amp;AI15),"")</f>
        <v>0.462</v>
      </c>
      <c r="AI15" s="17">
        <v>1</v>
      </c>
      <c r="AJ15" s="19">
        <f>IFERROR(IF(AG15="",E15,AG15)*AH15,"")</f>
        <v>415.8</v>
      </c>
      <c r="AK15" s="20" t="s">
        <v>280</v>
      </c>
    </row>
    <row r="16" spans="1:55">
      <c r="A16" s="17" t="s">
        <v>39</v>
      </c>
      <c r="B16" s="17" t="s">
        <v>40</v>
      </c>
      <c r="C16" s="17" t="s">
        <v>14</v>
      </c>
      <c r="D16" s="17" t="s">
        <v>24</v>
      </c>
      <c r="E16" s="17">
        <f>CEILING(BoardQty*2.0,1)</f>
        <v>200</v>
      </c>
      <c r="F16" s="18">
        <f>IF(MIN(J16,P16,V16,AB16,AH16,AN16,AT16,AZ16)&lt;&gt;0,MIN(J16,P16,V16,AB16,AH16,AN16,AT16,AZ16),"")</f>
        <v>0.0403</v>
      </c>
      <c r="G16" s="19">
        <f>IF(AND(ISNUMBER(E16),ISNUMBER(F16)),E16*F16,"")</f>
        <v>8.06</v>
      </c>
      <c r="H16" s="17">
        <v>19000</v>
      </c>
      <c r="J16" s="18">
        <f>IFERROR(IF(OR(I16&gt;=K16,E16&gt;=K16),LOOKUP(IF(I16="",E16,I16),{0,1,10,25,100,250,500,1000,3000,6000,15000},{0.0,0.1027,0.0737,0.073,0.0403,0.0399,0.0282,0.0248,0.0207,0.0205,0.0202}),"MOQ="&amp;K16),"")</f>
        <v>0.0403</v>
      </c>
      <c r="K16" s="17">
        <v>1</v>
      </c>
      <c r="L16" s="19">
        <f>IFERROR(IF(I16="",E16,I16)*J16,"")</f>
        <v>8.06</v>
      </c>
      <c r="M16" s="20" t="s">
        <v>24</v>
      </c>
      <c r="N16" s="17">
        <v>83272</v>
      </c>
      <c r="P16" s="18">
        <f>IFERROR(IF(OR(O16&gt;=Q16,E16&gt;=Q16),LOOKUP(IF(O16="",E16,O16),{0,1,10,50,100,500,1000,2000},{0.0,0.13,0.095,0.054,0.0447,0.03136,0.02596,0.02416}),"MOQ="&amp;Q16),"")</f>
        <v>0.0447</v>
      </c>
      <c r="Q16" s="17">
        <v>1</v>
      </c>
      <c r="R16" s="19">
        <f>IFERROR(IF(O16="",E16,O16)*P16,"")</f>
        <v>8.94</v>
      </c>
      <c r="S16" s="20" t="s">
        <v>198</v>
      </c>
      <c r="AF16" s="17">
        <v>126249</v>
      </c>
      <c r="AH16" s="18">
        <f>IFERROR(IF(OR(AG16&gt;=AI16,E16&gt;=AI16),LOOKUP(IF(AG16="",E16,AG16),{0,1,10,50,100,1000,10000},{0.0,0.12,0.052,0.052,0.042,0.025,0.017}),"MOQ="&amp;AI16),"")</f>
        <v>0.042</v>
      </c>
      <c r="AI16" s="17">
        <v>1</v>
      </c>
      <c r="AJ16" s="19">
        <f>IFERROR(IF(AG16="",E16,AG16)*AH16,"")</f>
        <v>8.4</v>
      </c>
      <c r="AK16" s="20" t="s">
        <v>276</v>
      </c>
    </row>
    <row r="17" spans="1:55">
      <c r="A17" s="17" t="s">
        <v>41</v>
      </c>
      <c r="B17" s="17" t="s">
        <v>36</v>
      </c>
      <c r="C17" s="17" t="s">
        <v>42</v>
      </c>
      <c r="D17" s="17" t="s">
        <v>43</v>
      </c>
      <c r="E17" s="17">
        <f>CEILING(BoardQty*1.0,1)</f>
        <v>100</v>
      </c>
      <c r="F17" s="18">
        <f>IF(MIN(J17,P17,V17,AB17,AH17,AN17,AT17,AZ17)&lt;&gt;0,MIN(J17,P17,V17,AB17,AH17,AN17,AT17,AZ17),"")</f>
        <v>0.285</v>
      </c>
      <c r="G17" s="19">
        <f>IF(AND(ISNUMBER(E17),ISNUMBER(F17)),E17*F17,"")</f>
        <v>28.5</v>
      </c>
      <c r="H17" s="21" t="s">
        <v>174</v>
      </c>
      <c r="M17" s="20" t="s">
        <v>175</v>
      </c>
      <c r="N17" s="17">
        <v>115</v>
      </c>
      <c r="P17" s="18">
        <f>IFERROR(IF(OR(O17&gt;=Q17,E17&gt;=Q17),LOOKUP(IF(O17="",E17,O17),{0,1,10,50,100,500},{0.0,0.8,0.592,0.474,0.4063,0.32164}),"MOQ="&amp;Q17),"")</f>
        <v>0.4063</v>
      </c>
      <c r="Q17" s="17">
        <v>1</v>
      </c>
      <c r="R17" s="19">
        <f>IFERROR(IF(O17="",E17,O17)*P17,"")</f>
        <v>40.63</v>
      </c>
      <c r="S17" s="20" t="s">
        <v>203</v>
      </c>
      <c r="T17" s="21" t="s">
        <v>174</v>
      </c>
      <c r="V17" s="18">
        <f>IFERROR(IF(OR(U17&gt;=W17,E17&gt;=W17),USD_GBP*LOOKUP(IF(U17="",E17,U17),{0,1,10,50,100,200,500,2500},{0.0,0.855,0.415,0.304,0.274,0.251,0.236,0.223}),"MOQ="&amp;W17),"")</f>
        <v>0.38820768383844234</v>
      </c>
      <c r="W17" s="17">
        <v>1</v>
      </c>
      <c r="X17" s="19">
        <f>IFERROR(IF(U17="",E17,U17)*V17,"")</f>
        <v>38.8208</v>
      </c>
      <c r="Y17" s="20" t="s">
        <v>244</v>
      </c>
      <c r="Z17" s="17">
        <v>92</v>
      </c>
      <c r="AB17" s="18">
        <f>IFERROR(IF(OR(AA17&gt;=AC17,E17&gt;=AC17),LOOKUP(IF(AA17="",E17,AA17),{0,1,10,30,100,500,1000},{0.0,0.431,0.3246,0.3048,0.285,0.2759,0.2723}),"MOQ="&amp;AC17),"")</f>
        <v>0.285</v>
      </c>
      <c r="AC17" s="17">
        <v>1</v>
      </c>
      <c r="AD17" s="19">
        <f>IFERROR(IF(AA17="",E17,AA17)*AB17,"")</f>
        <v>28.5</v>
      </c>
      <c r="AE17" s="20" t="s">
        <v>268</v>
      </c>
      <c r="AF17" s="17">
        <v>57</v>
      </c>
      <c r="AH17" s="18">
        <f>IFERROR(IF(OR(AG17&gt;=AI17,E17&gt;=AI17),LOOKUP(IF(AG17="",E17,AG17),{0,1,10,50,100,1000,10000},{0.0,0.7,0.515,0.515,0.354,0.279,0.279}),"MOQ="&amp;AI17),"")</f>
        <v>0.354</v>
      </c>
      <c r="AI17" s="17">
        <v>1</v>
      </c>
      <c r="AJ17" s="19">
        <f>IFERROR(IF(AG17="",E17,AG17)*AH17,"")</f>
        <v>35.4</v>
      </c>
      <c r="AK17" s="20" t="s">
        <v>281</v>
      </c>
      <c r="AL17" s="21" t="s">
        <v>174</v>
      </c>
      <c r="AN17" s="18">
        <f>IFERROR(IF(OR(AM17&gt;=AO17,E17&gt;=AO17),LOOKUP(IF(AM17="",E17,AM17),{0,1,3000},{0.0,0.37,0.37}),"MOQ="&amp;AO17),"")</f>
        <v/>
      </c>
      <c r="AO17" s="17">
        <v>3000</v>
      </c>
      <c r="AP17" s="19">
        <f>IFERROR(IF(AM17="",E17,AM17)*AN17,"")</f>
        <v/>
      </c>
      <c r="AQ17" s="20" t="s">
        <v>325</v>
      </c>
      <c r="AR17" s="17">
        <v>1440</v>
      </c>
      <c r="AT17" s="18">
        <f>IFERROR(IF(OR(AS17&gt;=AU17,E17&gt;=AU17),USD_GBP*LOOKUP(IF(AS17="",E17,AS17),{0,1,500},{0.0,0.21,0.21}),"MOQ="&amp;AU17),"")</f>
        <v/>
      </c>
      <c r="AU17" s="17">
        <v>500</v>
      </c>
      <c r="AV17" s="19">
        <f>IFERROR(IF(AS17="",E17,AS17)*AT17,"")</f>
        <v/>
      </c>
      <c r="AW17" s="20" t="s">
        <v>359</v>
      </c>
    </row>
    <row r="18" spans="1:55">
      <c r="A18" s="17" t="s">
        <v>44</v>
      </c>
      <c r="B18" s="17" t="s">
        <v>45</v>
      </c>
      <c r="C18" s="17" t="s">
        <v>46</v>
      </c>
      <c r="D18" s="17" t="s">
        <v>45</v>
      </c>
      <c r="E18" s="17">
        <f>CEILING(BoardQty*2.0,1)</f>
        <v>200</v>
      </c>
      <c r="F18" s="18">
        <f>IF(MIN(J18,P18,V18,AB18,AH18,AN18,AT18,AZ18)&lt;&gt;0,MIN(J18,P18,V18,AB18,AH18,AN18,AT18,AZ18),"")</f>
        <v>0.1361560526163296</v>
      </c>
      <c r="G18" s="19">
        <f>IF(AND(ISNUMBER(E18),ISNUMBER(F18)),E18*F18,"")</f>
        <v>27.2312</v>
      </c>
      <c r="N18" s="17">
        <v>10926</v>
      </c>
      <c r="P18" s="18">
        <f>IFERROR(IF(OR(O18&gt;=Q18,E18&gt;=Q18),LOOKUP(IF(O18="",E18,O18),{0,1,10,100,500,1000,3000,6000,15000,30000,75000},{0.0,0.49,0.372,0.2316,0.15844,0.12188,0.10969,0.1036,0.09446,0.08836,0.0831}),"MOQ="&amp;Q18),"")</f>
        <v>0.2316</v>
      </c>
      <c r="Q18" s="17">
        <v>1</v>
      </c>
      <c r="R18" s="19">
        <f>IFERROR(IF(O18="",E18,O18)*P18,"")</f>
        <v>46.32</v>
      </c>
      <c r="S18" s="20" t="s">
        <v>204</v>
      </c>
      <c r="T18" s="21" t="s">
        <v>174</v>
      </c>
      <c r="V18" s="18">
        <f>IFERROR(IF(OR(U18&gt;=W18,E18&gt;=W18),USD_GBP*LOOKUP(IF(U18="",E18,U18),{0,1,5,10,100,150,500,1000,5000},{0.0,0.334,0.334,0.222,0.0961,0.0961,0.0791,0.0621,0.0609}),"MOQ="&amp;W18),"")</f>
        <v>0.1361560526163296</v>
      </c>
      <c r="W18" s="17">
        <v>5</v>
      </c>
      <c r="X18" s="19">
        <f>IFERROR(IF(U18="",E18,U18)*V18,"")</f>
        <v>27.2312</v>
      </c>
      <c r="Y18" s="20" t="s">
        <v>245</v>
      </c>
      <c r="AF18" s="17">
        <v>6688</v>
      </c>
      <c r="AH18" s="18">
        <f>IFERROR(IF(OR(AG18&gt;=AI18,E18&gt;=AI18),LOOKUP(IF(AG18="",E18,AG18),{0,1,10,50,100,1000,10000},{0.0,0.45,0.305,0.305,0.143,0.111,0.096}),"MOQ="&amp;AI18),"")</f>
        <v>0.143</v>
      </c>
      <c r="AI18" s="17">
        <v>1</v>
      </c>
      <c r="AJ18" s="19">
        <f>IFERROR(IF(AG18="",E18,AG18)*AH18,"")</f>
        <v>28.6</v>
      </c>
      <c r="AK18" s="20" t="s">
        <v>282</v>
      </c>
      <c r="AL18" s="21" t="s">
        <v>174</v>
      </c>
      <c r="AN18" s="18">
        <f>IFERROR(IF(OR(AM18&gt;=AO18,E18&gt;=AO18),LOOKUP(IF(AM18="",E18,AM18),{0,1,5,10,25,50,100},{0.0,0.45,0.45,0.305,0.263,0.222,0.18}),"MOQ="&amp;AO18),"")</f>
        <v>0.18</v>
      </c>
      <c r="AO18" s="17">
        <v>5</v>
      </c>
      <c r="AP18" s="19">
        <f>IFERROR(IF(AM18="",E18,AM18)*AN18,"")</f>
        <v>36.0</v>
      </c>
      <c r="AQ18" s="20" t="s">
        <v>326</v>
      </c>
    </row>
    <row r="19" spans="1:55">
      <c r="A19" s="17" t="s">
        <v>47</v>
      </c>
      <c r="B19" s="17" t="s">
        <v>48</v>
      </c>
      <c r="C19" s="17" t="s">
        <v>46</v>
      </c>
      <c r="D19" s="17" t="s">
        <v>49</v>
      </c>
      <c r="E19" s="17">
        <f>CEILING(BoardQty*7.0,1)</f>
        <v>700</v>
      </c>
      <c r="F19" s="18">
        <f>IF(MIN(J19,P19,V19,AB19,AH19,AN19,AT19,AZ19)&lt;&gt;0,MIN(J19,P19,V19,AB19,AH19,AN19,AT19,AZ19),"")</f>
        <v>0.10396</v>
      </c>
      <c r="G19" s="19">
        <f>IF(AND(ISNUMBER(E19),ISNUMBER(F19)),E19*F19,"")</f>
        <v>72.772</v>
      </c>
      <c r="H19" s="21" t="s">
        <v>174</v>
      </c>
      <c r="J19" s="18">
        <f>IFERROR(IF(OR(I19&gt;=K19,E19&gt;=K19),LOOKUP(IF(I19="",E19,I19),{0,1,15000,150000,1500000,7500000},{0.0,0.1106,0.1106,0.1032,0.0594,0.0346}),"MOQ="&amp;K19),"")</f>
        <v/>
      </c>
      <c r="K19" s="17">
        <v>15000</v>
      </c>
      <c r="L19" s="19">
        <f>IFERROR(IF(I19="",E19,I19)*J19,"")</f>
        <v/>
      </c>
      <c r="M19" s="20" t="s">
        <v>176</v>
      </c>
      <c r="N19" s="17">
        <v>12651</v>
      </c>
      <c r="P19" s="18">
        <f>IFERROR(IF(OR(O19&gt;=Q19,E19&gt;=Q19),LOOKUP(IF(O19="",E19,O19),{0,1,10,100,500,1000,3000,6000,15000,30000,75000},{0.0,0.36,0.298,0.158,0.10396,0.07069,0.06376,0.05544,0.04712,0.04435,0.04208}),"MOQ="&amp;Q19),"")</f>
        <v>0.10396</v>
      </c>
      <c r="Q19" s="17">
        <v>1</v>
      </c>
      <c r="R19" s="19">
        <f>IFERROR(IF(O19="",E19,O19)*P19,"")</f>
        <v>72.772</v>
      </c>
      <c r="S19" s="20" t="s">
        <v>205</v>
      </c>
      <c r="AF19" s="17">
        <v>6464</v>
      </c>
      <c r="AH19" s="18">
        <f>IFERROR(IF(OR(AG19&gt;=AI19,E19&gt;=AI19),LOOKUP(IF(AG19="",E19,AG19),{0,1,10,50,100,1000,10000},{0.0,0.36,0.298,0.298,0.158,0.071,0.047}),"MOQ="&amp;AI19),"")</f>
        <v>0.158</v>
      </c>
      <c r="AI19" s="17">
        <v>1</v>
      </c>
      <c r="AJ19" s="19">
        <f>IFERROR(IF(AG19="",E19,AG19)*AH19,"")</f>
        <v>110.6</v>
      </c>
      <c r="AK19" s="20" t="s">
        <v>283</v>
      </c>
    </row>
    <row r="20" spans="1:55">
      <c r="A20" s="17" t="s">
        <v>50</v>
      </c>
      <c r="B20" s="17" t="s">
        <v>51</v>
      </c>
      <c r="C20" s="17" t="s">
        <v>52</v>
      </c>
      <c r="D20" s="17" t="s">
        <v>51</v>
      </c>
      <c r="E20" s="17">
        <f>CEILING(BoardQty*2.0,1)</f>
        <v>200</v>
      </c>
      <c r="F20" s="18">
        <f>IF(MIN(J20,P20,V20,AB20,AH20,AN20,AT20,AZ20)&lt;&gt;0,MIN(J20,P20,V20,AB20,AH20,AN20,AT20,AZ20),"")</f>
        <v>0.108</v>
      </c>
      <c r="G20" s="19">
        <f>IF(AND(ISNUMBER(E20),ISNUMBER(F20)),E20*F20,"")</f>
        <v>21.6</v>
      </c>
      <c r="H20" s="21" t="s">
        <v>174</v>
      </c>
      <c r="J20" s="18">
        <f>IFERROR(IF(OR(I20&gt;=K20,E20&gt;=K20),LOOKUP(IF(I20="",E20,I20),{0,1,10,25,100,250,500,1000},{0.0,0.8435,0.7213,0.6778,0.4864,0.4258,0.4215,0.3026}),"MOQ="&amp;K20),"")</f>
        <v>0.4864</v>
      </c>
      <c r="K20" s="17">
        <v>1</v>
      </c>
      <c r="L20" s="19">
        <f>IFERROR(IF(I20="",E20,I20)*J20,"")</f>
        <v>97.28</v>
      </c>
      <c r="M20" s="20" t="s">
        <v>51</v>
      </c>
      <c r="N20" s="17">
        <v>3929</v>
      </c>
      <c r="P20" s="18">
        <f>IFERROR(IF(OR(O20&gt;=Q20,E20&gt;=Q20),LOOKUP(IF(O20="",E20,O20),{0,1,10,100,500,1000,2500},{0.0,0.97,0.857,0.6568,0.51918,0.42858,0.42858}),"MOQ="&amp;Q20),"")</f>
        <v>0.6568</v>
      </c>
      <c r="Q20" s="17">
        <v>1</v>
      </c>
      <c r="R20" s="19">
        <f>IFERROR(IF(O20="",E20,O20)*P20,"")</f>
        <v>131.36</v>
      </c>
      <c r="S20" s="20" t="s">
        <v>206</v>
      </c>
      <c r="T20" s="17">
        <v>28016</v>
      </c>
      <c r="V20" s="18">
        <f>IFERROR(IF(OR(U20&gt;=W20,E20&gt;=W20),USD_GBP*LOOKUP(IF(U20="",E20,U20),{0,1,5,10,100,500,1000},{0.0,0.985,0.985,0.796,0.568,0.463,0.366}),"MOQ="&amp;W20),"")</f>
        <v>0.8047516949643622</v>
      </c>
      <c r="W20" s="17">
        <v>5</v>
      </c>
      <c r="X20" s="19">
        <f>IFERROR(IF(U20="",E20,U20)*V20,"")</f>
        <v>160.9503</v>
      </c>
      <c r="Y20" s="20" t="s">
        <v>246</v>
      </c>
      <c r="AF20" s="17">
        <v>348</v>
      </c>
      <c r="AH20" s="18">
        <f>IFERROR(IF(OR(AG20&gt;=AI20,E20&gt;=AI20),LOOKUP(IF(AG20="",E20,AG20),{0,1,10,50,100,1000,10000},{0.0,0.91,0.818,0.818,0.638,0.416,0.388}),"MOQ="&amp;AI20),"")</f>
        <v>0.638</v>
      </c>
      <c r="AI20" s="17">
        <v>1</v>
      </c>
      <c r="AJ20" s="19">
        <f>IFERROR(IF(AG20="",E20,AG20)*AH20,"")</f>
        <v>127.6</v>
      </c>
      <c r="AK20" s="20" t="s">
        <v>284</v>
      </c>
      <c r="AL20" s="17">
        <v>2400</v>
      </c>
      <c r="AN20" s="18">
        <f>IFERROR(IF(OR(AM20&gt;=AO20,E20&gt;=AO20),LOOKUP(IF(AM20="",E20,AM20),{0,1,10,25,50,100,2500,5000,6000,12000,18000,30000},{0.0,0.108,0.108,0.108,0.108,0.108,0.494,0.455,0.417,0.38,0.367,0.359}),"MOQ="&amp;AO20),"")</f>
        <v>0.108</v>
      </c>
      <c r="AO20" s="17">
        <v>1</v>
      </c>
      <c r="AP20" s="19">
        <f>IFERROR(IF(AM20="",E20,AM20)*AN20,"")</f>
        <v>21.6</v>
      </c>
      <c r="AQ20" s="20" t="s">
        <v>327</v>
      </c>
      <c r="AR20" s="17">
        <v>340</v>
      </c>
      <c r="AT20" s="18">
        <f>IFERROR(IF(OR(AS20&gt;=AU20,E20&gt;=AU20),USD_GBP*LOOKUP(IF(AS20="",E20,AS20),{0,1,20,100,500,1000},{0.0,0.539,0.539,0.373,0.311,0.274}),"MOQ="&amp;AU20),"")</f>
        <v>0.5284725039114562</v>
      </c>
      <c r="AU20" s="17">
        <v>20</v>
      </c>
      <c r="AV20" s="19">
        <f>IFERROR(IF(AS20="",E20,AS20)*AT20,"")</f>
        <v>105.6945</v>
      </c>
      <c r="AW20" s="20" t="s">
        <v>360</v>
      </c>
      <c r="AX20" s="17">
        <v>2901</v>
      </c>
      <c r="AZ20" s="18">
        <f>IFERROR(IF(OR(AY20&gt;=BA20,E20&gt;=BA20),USD_GBP*LOOKUP(IF(AY20="",E20,AY20),{0,1,3,25,100,500,2500},{0.0,0.2079,0.2079,0.1057,0.0892,0.0771,0.0702}),"MOQ="&amp;BA20),"")</f>
        <v>0.12638001970214985</v>
      </c>
      <c r="BA20" s="17">
        <v>3</v>
      </c>
      <c r="BB20" s="19">
        <f>IFERROR(IF(AY20="",E20,AY20)*AZ20,"")</f>
        <v>25.276</v>
      </c>
      <c r="BC20" s="20" t="s">
        <v>51</v>
      </c>
    </row>
    <row r="21" spans="1:55">
      <c r="A21" s="17" t="s">
        <v>53</v>
      </c>
      <c r="B21" s="17" t="s">
        <v>54</v>
      </c>
      <c r="C21" s="17" t="s">
        <v>55</v>
      </c>
      <c r="D21" s="17" t="s">
        <v>54</v>
      </c>
      <c r="E21" s="17">
        <f>CEILING(BoardQty*2.0,1)</f>
        <v>200</v>
      </c>
      <c r="F21" s="18">
        <f>IF(MIN(J21,P21,V21,AB21,AH21,AN21,AT21,AZ21)&lt;&gt;0,MIN(J21,P21,V21,AB21,AH21,AN21,AT21,AZ21),"")</f>
        <v>0.108</v>
      </c>
      <c r="G21" s="19">
        <f>IF(AND(ISNUMBER(E21),ISNUMBER(F21)),E21*F21,"")</f>
        <v>21.6</v>
      </c>
      <c r="H21" s="21" t="s">
        <v>174</v>
      </c>
      <c r="J21" s="18">
        <f>IFERROR(IF(OR(I21&gt;=K21,E21&gt;=K21),LOOKUP(IF(I21="",E21,I21),{0,1,3000,6000,9000},{0.0,0.0766,0.0766,0.0714,0.0708}),"MOQ="&amp;K21),"")</f>
        <v/>
      </c>
      <c r="K21" s="17">
        <v>3000</v>
      </c>
      <c r="L21" s="19">
        <f>IFERROR(IF(I21="",E21,I21)*J21,"")</f>
        <v/>
      </c>
      <c r="M21" s="20" t="s">
        <v>54</v>
      </c>
      <c r="N21" s="21" t="s">
        <v>174</v>
      </c>
      <c r="P21" s="18">
        <f>IFERROR(IF(OR(O21&gt;=Q21,E21&gt;=Q21),LOOKUP(IF(O21="",E21,O21),{0,1,5,10,50,100,250,500,1000,3000,6000,15000},{0.0,0.17,0.166,0.159,0.142,0.1323,0.1176,0.098,0.0931,0.0784,0.0735,0.0686}),"MOQ="&amp;Q21),"")</f>
        <v>0.1323</v>
      </c>
      <c r="Q21" s="17">
        <v>1</v>
      </c>
      <c r="R21" s="19">
        <f>IFERROR(IF(O21="",E21,O21)*P21,"")</f>
        <v>26.46</v>
      </c>
      <c r="S21" s="20" t="s">
        <v>207</v>
      </c>
      <c r="T21" s="17">
        <v>6933</v>
      </c>
      <c r="V21" s="18">
        <f>IFERROR(IF(OR(U21&gt;=W21,E21&gt;=W21),USD_GBP*LOOKUP(IF(U21="",E21,U21),{0,1,2,3,5,10,20,25,50,100,150,250,500},{0.0,0.141,0.138,0.136,0.134,0.132,0.129,0.125,0.108,0.0892,0.127,0.0871,0.0734}),"MOQ="&amp;W21),"")</f>
        <v>0.1799356782754824</v>
      </c>
      <c r="W21" s="17">
        <v>1</v>
      </c>
      <c r="X21" s="19">
        <f>IFERROR(IF(U21="",E21,U21)*V21,"")</f>
        <v>35.9871</v>
      </c>
      <c r="Y21" s="20" t="s">
        <v>247</v>
      </c>
      <c r="AF21" s="21" t="s">
        <v>174</v>
      </c>
      <c r="AH21" s="18">
        <f>IFERROR(IF(OR(AG21&gt;=AI21,E21&gt;=AI21),LOOKUP(IF(AG21="",E21,AG21),{0,1,10,50,100,1000,10000},{0.0,0.17,0.151,0.151,0.108,0.078,0.064}),"MOQ="&amp;AI21),"")</f>
        <v>0.108</v>
      </c>
      <c r="AI21" s="17">
        <v>1</v>
      </c>
      <c r="AJ21" s="19">
        <f>IFERROR(IF(AG21="",E21,AG21)*AH21,"")</f>
        <v>21.6</v>
      </c>
      <c r="AK21" s="20" t="s">
        <v>285</v>
      </c>
      <c r="AL21" s="17">
        <v>9000</v>
      </c>
      <c r="AN21" s="18">
        <f>IFERROR(IF(OR(AM21&gt;=AO21,E21&gt;=AO21),LOOKUP(IF(AM21="",E21,AM21),{0,1,25,50,100,250,500,3000,6000,12000,18000,24000,30000},{0.0,0.17,0.151,0.13,0.108,0.105,0.089,0.085,0.082,0.077,0.075,0.072,0.067}),"MOQ="&amp;AO21),"")</f>
        <v>0.108</v>
      </c>
      <c r="AO21" s="17">
        <v>1</v>
      </c>
      <c r="AP21" s="19">
        <f>IFERROR(IF(AM21="",E21,AM21)*AN21,"")</f>
        <v>21.6</v>
      </c>
      <c r="AQ21" s="20" t="s">
        <v>328</v>
      </c>
      <c r="AX21" s="21" t="s">
        <v>174</v>
      </c>
      <c r="AZ21" s="18">
        <f>IFERROR(IF(OR(AY21&gt;=BA21,E21&gt;=BA21),USD_GBP*LOOKUP(IF(AY21="",E21,AY21),{0,1,5,10,20,100,500},{0.0,0.1279,0.1279,0.119,0.097,0.0794,0.064}),"MOQ="&amp;BA21),"")</f>
        <v>0.11249521933128584</v>
      </c>
      <c r="BA21" s="17">
        <v>5</v>
      </c>
      <c r="BB21" s="19">
        <f>IFERROR(IF(AY21="",E21,AY21)*AZ21,"")</f>
        <v>22.499</v>
      </c>
      <c r="BC21" s="20" t="s">
        <v>54</v>
      </c>
    </row>
    <row r="22" spans="1:55">
      <c r="A22" s="17" t="s">
        <v>56</v>
      </c>
      <c r="B22" s="17" t="s">
        <v>57</v>
      </c>
      <c r="C22" s="17" t="s">
        <v>58</v>
      </c>
      <c r="D22" s="17" t="s">
        <v>59</v>
      </c>
      <c r="E22" s="17">
        <f>CEILING(BoardQty*1.0,1)</f>
        <v>100</v>
      </c>
      <c r="F22" s="18">
        <f>IF(MIN(J22,P22,V22,AB22,AH22,AN22,AT22,AZ22)&lt;&gt;0,MIN(J22,P22,V22,AB22,AH22,AN22,AT22,AZ22),"")</f>
        <v>0.035</v>
      </c>
      <c r="G22" s="19">
        <f>IF(AND(ISNUMBER(E22),ISNUMBER(F22)),E22*F22,"")</f>
        <v>3.5</v>
      </c>
      <c r="H22" s="21" t="s">
        <v>174</v>
      </c>
      <c r="J22" s="18">
        <f>IFERROR(IF(OR(I22&gt;=K22,E22&gt;=K22),LOOKUP(IF(I22="",E22,I22),{0,1,8000,80000,800000,4000000},{0.0,0.0658,0.0658,0.0608,0.0329,0.0205}),"MOQ="&amp;K22),"")</f>
        <v/>
      </c>
      <c r="K22" s="17">
        <v>8000</v>
      </c>
      <c r="L22" s="19">
        <f>IFERROR(IF(I22="",E22,I22)*J22,"")</f>
        <v/>
      </c>
      <c r="M22" s="20" t="s">
        <v>59</v>
      </c>
      <c r="N22" s="21" t="s">
        <v>174</v>
      </c>
      <c r="P22" s="18">
        <f>IFERROR(IF(OR(O22&gt;=Q22,E22&gt;=Q22),LOOKUP(IF(O22="",E22,O22),{0,1,8000,12000},{0.0,0.021,0.021,0.01995}),"MOQ="&amp;Q22),"")</f>
        <v/>
      </c>
      <c r="Q22" s="17">
        <v>8000</v>
      </c>
      <c r="R22" s="19">
        <f>IFERROR(IF(O22="",E22,O22)*P22,"")</f>
        <v/>
      </c>
      <c r="S22" s="20" t="s">
        <v>208</v>
      </c>
      <c r="AF22" s="17">
        <v>5831</v>
      </c>
      <c r="AH22" s="18">
        <f>IFERROR(IF(OR(AG22&gt;=AI22,E22&gt;=AI22),LOOKUP(IF(AG22="",E22,AG22),{0,1,10,50,100,1000,10000},{0.0,0.1,0.054,0.054,0.035,0.029,0.021}),"MOQ="&amp;AI22),"")</f>
        <v>0.035</v>
      </c>
      <c r="AI22" s="17">
        <v>1</v>
      </c>
      <c r="AJ22" s="19">
        <f>IFERROR(IF(AG22="",E22,AG22)*AH22,"")</f>
        <v>3.5</v>
      </c>
      <c r="AK22" s="20" t="s">
        <v>286</v>
      </c>
      <c r="AL22" s="21" t="s">
        <v>174</v>
      </c>
      <c r="AN22" s="18">
        <f>IFERROR(IF(OR(AM22&gt;=AO22,E22&gt;=AO22),LOOKUP(IF(AM22="",E22,AM22),{0,1,8000},{0.0,0.022,0.022}),"MOQ="&amp;AO22),"")</f>
        <v/>
      </c>
      <c r="AO22" s="17">
        <v>8000</v>
      </c>
      <c r="AP22" s="19">
        <f>IFERROR(IF(AM22="",E22,AM22)*AN22,"")</f>
        <v/>
      </c>
      <c r="AQ22" s="20" t="s">
        <v>329</v>
      </c>
    </row>
    <row r="23" spans="1:55">
      <c r="A23" s="17" t="s">
        <v>60</v>
      </c>
      <c r="B23" s="17" t="s">
        <v>61</v>
      </c>
      <c r="C23" s="17" t="s">
        <v>62</v>
      </c>
      <c r="D23" s="17" t="s">
        <v>63</v>
      </c>
      <c r="E23" s="17">
        <f>CEILING(BoardQty*2.0,1)</f>
        <v>200</v>
      </c>
      <c r="F23" s="18">
        <f>IF(MIN(J23,P23,V23,AB23,AH23,AN23,AT23,AZ23)&lt;&gt;0,MIN(J23,P23,V23,AB23,AH23,AN23,AT23,AZ23),"")</f>
        <v>0.644</v>
      </c>
      <c r="G23" s="19">
        <f>IF(AND(ISNUMBER(E23),ISNUMBER(F23)),E23*F23,"")</f>
        <v>128.8</v>
      </c>
      <c r="H23" s="21" t="s">
        <v>174</v>
      </c>
      <c r="J23" s="18">
        <f>IFERROR(IF(OR(I23&gt;=K23,E23&gt;=K23),LOOKUP(IF(I23="",E23,I23),{0,1,600,6000,60000,300000,600000},{0.0,0.61,0.61,0.597,0.5213,0.4816,0.4812}),"MOQ="&amp;K23),"")</f>
        <v/>
      </c>
      <c r="K23" s="17">
        <v>600</v>
      </c>
      <c r="L23" s="19">
        <f>IFERROR(IF(I23="",E23,I23)*J23,"")</f>
        <v/>
      </c>
      <c r="M23" s="20" t="s">
        <v>63</v>
      </c>
      <c r="N23" s="17">
        <v>15717</v>
      </c>
      <c r="P23" s="18">
        <f>IFERROR(IF(OR(O23&gt;=Q23,E23&gt;=Q23),LOOKUP(IF(O23="",E23,O23),{0,1,10,50,100,250,600,1200,1800},{0.0,0.77,0.708,0.6786,0.649,0.63132,0.59,0.5428,0.5015}),"MOQ="&amp;Q23),"")</f>
        <v>0.649</v>
      </c>
      <c r="Q23" s="17">
        <v>1</v>
      </c>
      <c r="R23" s="19">
        <f>IFERROR(IF(O23="",E23,O23)*P23,"")</f>
        <v>129.8</v>
      </c>
      <c r="S23" s="20" t="s">
        <v>209</v>
      </c>
      <c r="AF23" s="17">
        <v>4517</v>
      </c>
      <c r="AH23" s="18">
        <f>IFERROR(IF(OR(AG23&gt;=AI23,E23&gt;=AI23),LOOKUP(IF(AG23="",E23,AG23),{0,1,10,50,100,1000,10000},{0.0,0.76,0.706,0.664,0.644,0.588,0.495}),"MOQ="&amp;AI23),"")</f>
        <v>0.644</v>
      </c>
      <c r="AI23" s="17">
        <v>1</v>
      </c>
      <c r="AJ23" s="19">
        <f>IFERROR(IF(AG23="",E23,AG23)*AH23,"")</f>
        <v>128.8</v>
      </c>
      <c r="AK23" s="20" t="s">
        <v>287</v>
      </c>
    </row>
    <row r="24" spans="1:55">
      <c r="A24" s="17" t="s">
        <v>64</v>
      </c>
      <c r="B24" s="17" t="s">
        <v>65</v>
      </c>
      <c r="C24" s="17" t="s">
        <v>66</v>
      </c>
      <c r="D24" s="17" t="s">
        <v>67</v>
      </c>
      <c r="E24" s="17">
        <f>CEILING(BoardQty*2.0,1)</f>
        <v>200</v>
      </c>
      <c r="F24" s="18">
        <f>IF(MIN(J24,P24,V24,AB24,AH24,AN24,AT24,AZ24)&lt;&gt;0,MIN(J24,P24,V24,AB24,AH24,AN24,AT24,AZ24),"")</f>
        <v>3.6715</v>
      </c>
      <c r="G24" s="19">
        <f>IF(AND(ISNUMBER(E24),ISNUMBER(F24)),E24*F24,"")</f>
        <v>734.3</v>
      </c>
      <c r="H24" s="21" t="s">
        <v>174</v>
      </c>
      <c r="J24" s="18">
        <f>IFERROR(IF(OR(I24&gt;=K24,E24&gt;=K24),LOOKUP(IF(I24="",E24,I24),{0,1,550,5500,55000,275000,550000},{0.0,4.16,4.16,3.976,2.915,2.382,2.378}),"MOQ="&amp;K24),"")</f>
        <v/>
      </c>
      <c r="K24" s="17">
        <v>550</v>
      </c>
      <c r="L24" s="19">
        <f>IFERROR(IF(I24="",E24,I24)*J24,"")</f>
        <v/>
      </c>
      <c r="M24" s="20" t="s">
        <v>67</v>
      </c>
      <c r="N24" s="17">
        <v>267</v>
      </c>
      <c r="P24" s="18">
        <f>IFERROR(IF(OR(O24&gt;=Q24,E24&gt;=Q24),LOOKUP(IF(O24="",E24,O24),{0,1,10,25,50,100,250,450,950,2400},{0.0,4.59,4.406,4.0388,3.855,3.6715,3.21252,3.12073,2.66181,2.47824}),"MOQ="&amp;Q24),"")</f>
        <v>3.6715</v>
      </c>
      <c r="Q24" s="17">
        <v>1</v>
      </c>
      <c r="R24" s="19">
        <f>IFERROR(IF(O24="",E24,O24)*P24,"")</f>
        <v>734.3</v>
      </c>
      <c r="S24" s="20" t="s">
        <v>210</v>
      </c>
      <c r="T24" s="17">
        <v>550</v>
      </c>
      <c r="V24" s="18">
        <f>IFERROR(IF(OR(U24&gt;=W24,E24&gt;=W24),USD_GBP*LOOKUP(IF(U24="",E24,U24),{0,1,10,25,50,100,250,500,1000},{0.0,4.29,4.14,3.82,3.68,3.52,3.13,3.06,2.88}),"MOQ="&amp;W24),"")</f>
        <v>4.987193602596047</v>
      </c>
      <c r="W24" s="17">
        <v>1</v>
      </c>
      <c r="X24" s="19">
        <f>IFERROR(IF(U24="",E24,U24)*V24,"")</f>
        <v>997.4387</v>
      </c>
      <c r="Y24" s="20" t="s">
        <v>248</v>
      </c>
      <c r="AF24" s="17">
        <v>45</v>
      </c>
      <c r="AH24" s="18">
        <f>IFERROR(IF(OR(AG24&gt;=AI24,E24&gt;=AI24),LOOKUP(IF(AG24="",E24,AG24),{0,1,10,50,100,1000,10000},{0.0,5.1,4.29,4.29,4.08,2.95,2.75}),"MOQ="&amp;AI24),"")</f>
        <v>4.08</v>
      </c>
      <c r="AI24" s="17">
        <v>1</v>
      </c>
      <c r="AJ24" s="19">
        <f>IFERROR(IF(AG24="",E24,AG24)*AH24,"")</f>
        <v>816.0</v>
      </c>
      <c r="AK24" s="20" t="s">
        <v>288</v>
      </c>
      <c r="AL24" s="17">
        <v>550</v>
      </c>
      <c r="AN24" s="18">
        <f>IFERROR(IF(OR(AM24&gt;=AO24,E24&gt;=AO24),LOOKUP(IF(AM24="",E24,AM24),{0,1,10,25,50,100,250,500,1000},{0.0,5.18,5.0,4.62,4.44,4.25,3.78,3.7,3.48}),"MOQ="&amp;AO24),"")</f>
        <v>4.25</v>
      </c>
      <c r="AO24" s="17">
        <v>1</v>
      </c>
      <c r="AP24" s="19">
        <f>IFERROR(IF(AM24="",E24,AM24)*AN24,"")</f>
        <v>850.0</v>
      </c>
      <c r="AQ24" s="20" t="s">
        <v>330</v>
      </c>
    </row>
    <row r="25" spans="1:55">
      <c r="A25" s="17" t="s">
        <v>68</v>
      </c>
      <c r="B25" s="17" t="s">
        <v>69</v>
      </c>
      <c r="C25" s="17" t="s">
        <v>70</v>
      </c>
      <c r="D25" s="17" t="s">
        <v>71</v>
      </c>
      <c r="E25" s="17">
        <f>CEILING(BoardQty*1.0,1)</f>
        <v>100</v>
      </c>
      <c r="F25" s="18">
        <f>IF(MIN(J25,P25,V25,AB25,AH25,AN25,AT25,AZ25)&lt;&gt;0,MIN(J25,P25,V25,AB25,AH25,AN25,AT25,AZ25),"")</f>
        <v>0.125</v>
      </c>
      <c r="G25" s="19">
        <f>IF(AND(ISNUMBER(E25),ISNUMBER(F25)),E25*F25,"")</f>
        <v>12.5</v>
      </c>
      <c r="H25" s="21" t="s">
        <v>174</v>
      </c>
      <c r="J25" s="18">
        <f>IFERROR(IF(OR(I25&gt;=K25,E25&gt;=K25),LOOKUP(IF(I25="",E25,I25),{0,1,50,100},{0.0,0.21,0.17,0.13}),"MOQ="&amp;K25),"")</f>
        <v>0.13</v>
      </c>
      <c r="K25" s="17">
        <v>1</v>
      </c>
      <c r="L25" s="19">
        <f>IFERROR(IF(I25="",E25,I25)*J25,"")</f>
        <v>13.0</v>
      </c>
      <c r="M25" s="20" t="s">
        <v>177</v>
      </c>
      <c r="N25" s="17">
        <v>4557</v>
      </c>
      <c r="P25" s="18">
        <f>IFERROR(IF(OR(O25&gt;=Q25,E25&gt;=Q25),LOOKUP(IF(O25="",E25,O25),{0,1,10,25,50,100,250,500},{0.0,0.24,0.227,0.1936,0.1694,0.1572,0.13912,0.13306}),"MOQ="&amp;Q25),"")</f>
        <v>0.1572</v>
      </c>
      <c r="Q25" s="17">
        <v>1</v>
      </c>
      <c r="R25" s="19">
        <f>IFERROR(IF(O25="",E25,O25)*P25,"")</f>
        <v>15.72</v>
      </c>
      <c r="S25" s="20" t="s">
        <v>211</v>
      </c>
      <c r="T25" s="21" t="s">
        <v>174</v>
      </c>
      <c r="V25" s="18">
        <f>IFERROR(IF(OR(U25&gt;=W25,E25&gt;=W25),USD_GBP*LOOKUP(IF(U25="",E25,U25),{0,1,100,500,1000,2500,5000,10000},{0.0,0.101,0.101,0.096,0.078,0.07,0.066,0.062}),"MOQ="&amp;W25),"")</f>
        <v>0.1430984528017616</v>
      </c>
      <c r="W25" s="17">
        <v>100</v>
      </c>
      <c r="X25" s="19">
        <f>IFERROR(IF(U25="",E25,U25)*V25,"")</f>
        <v>14.3098</v>
      </c>
      <c r="Y25" s="20" t="s">
        <v>249</v>
      </c>
      <c r="AF25" s="17">
        <v>13270</v>
      </c>
      <c r="AH25" s="18">
        <f>IFERROR(IF(OR(AG25&gt;=AI25,E25&gt;=AI25),LOOKUP(IF(AG25="",E25,AG25),{0,1,10,50,100,1000,10000},{0.0,0.24,0.169,0.169,0.139,0.129,0.112}),"MOQ="&amp;AI25),"")</f>
        <v>0.139</v>
      </c>
      <c r="AI25" s="17">
        <v>1</v>
      </c>
      <c r="AJ25" s="19">
        <f>IFERROR(IF(AG25="",E25,AG25)*AH25,"")</f>
        <v>13.9</v>
      </c>
      <c r="AK25" s="20" t="s">
        <v>289</v>
      </c>
      <c r="AL25" s="17">
        <v>7900</v>
      </c>
      <c r="AN25" s="18">
        <f>IFERROR(IF(OR(AM25&gt;=AO25,E25&gt;=AO25),LOOKUP(IF(AM25="",E25,AM25),{0,1,10,25,50,100,250},{0.0,0.196,0.183,0.155,0.135,0.125,0.11}),"MOQ="&amp;AO25),"")</f>
        <v>0.125</v>
      </c>
      <c r="AO25" s="17">
        <v>1</v>
      </c>
      <c r="AP25" s="19">
        <f>IFERROR(IF(AM25="",E25,AM25)*AN25,"")</f>
        <v>12.5</v>
      </c>
      <c r="AQ25" s="20" t="s">
        <v>331</v>
      </c>
      <c r="AR25" s="17">
        <v>649</v>
      </c>
      <c r="AT25" s="18">
        <f>IFERROR(IF(OR(AS25&gt;=AU25,E25&gt;=AU25),USD_GBP*LOOKUP(IF(AS25="",E25,AS25),{0,1,3580},{0.0,0.069,0.069}),"MOQ="&amp;AU25),"")</f>
        <v/>
      </c>
      <c r="AU25" s="17">
        <v>3580</v>
      </c>
      <c r="AV25" s="19">
        <f>IFERROR(IF(AS25="",E25,AS25)*AT25,"")</f>
        <v/>
      </c>
      <c r="AW25" s="20" t="s">
        <v>361</v>
      </c>
    </row>
    <row r="26" spans="1:55">
      <c r="A26" s="17" t="s">
        <v>72</v>
      </c>
      <c r="B26" s="17" t="s">
        <v>73</v>
      </c>
      <c r="C26" s="17" t="s">
        <v>74</v>
      </c>
      <c r="D26" s="17" t="s">
        <v>75</v>
      </c>
      <c r="E26" s="17">
        <f>CEILING(BoardQty*1.0,1)</f>
        <v>100</v>
      </c>
      <c r="F26" s="18">
        <f>IF(MIN(J26,P26,V26,AB26,AH26,AN26,AT26,AZ26)&lt;&gt;0,MIN(J26,P26,V26,AB26,AH26,AN26,AT26,AZ26),"")</f>
        <v>0.22</v>
      </c>
      <c r="G26" s="19">
        <f>IF(AND(ISNUMBER(E26),ISNUMBER(F26)),E26*F26,"")</f>
        <v>22.0</v>
      </c>
      <c r="H26" s="17">
        <v>181</v>
      </c>
      <c r="J26" s="18">
        <f>IFERROR(IF(OR(I26&gt;=K26,E26&gt;=K26),LOOKUP(IF(I26="",E26,I26),{0,1,50,100},{0.0,0.35,0.28,0.22}),"MOQ="&amp;K26),"")</f>
        <v>0.22</v>
      </c>
      <c r="K26" s="17">
        <v>1</v>
      </c>
      <c r="L26" s="19">
        <f>IFERROR(IF(I26="",E26,I26)*J26,"")</f>
        <v>22.0</v>
      </c>
      <c r="M26" s="20" t="s">
        <v>178</v>
      </c>
      <c r="N26" s="17">
        <v>2194</v>
      </c>
      <c r="P26" s="18">
        <f>IFERROR(IF(OR(O26&gt;=Q26,E26&gt;=Q26),LOOKUP(IF(O26="",E26,O26),{0,1,10,25,50,100,250,500},{0.0,0.37,0.353,0.3024,0.257,0.247,0.22176,0.21168}),"MOQ="&amp;Q26),"")</f>
        <v>0.247</v>
      </c>
      <c r="Q26" s="17">
        <v>1</v>
      </c>
      <c r="R26" s="19">
        <f>IFERROR(IF(O26="",E26,O26)*P26,"")</f>
        <v>24.7</v>
      </c>
      <c r="S26" s="20" t="s">
        <v>212</v>
      </c>
      <c r="T26" s="17">
        <v>225</v>
      </c>
      <c r="V26" s="18">
        <f>IFERROR(IF(OR(U26&gt;=W26,E26&gt;=W26),USD_GBP*LOOKUP(IF(U26="",E26,U26),{0,1,10,100,500,1000,2500,5000},{0.0,0.239,0.239,0.188,0.159,0.14,0.132,0.129}),"MOQ="&amp;W26),"")</f>
        <v>0.2663614765022889</v>
      </c>
      <c r="W26" s="17">
        <v>10</v>
      </c>
      <c r="X26" s="19">
        <f>IFERROR(IF(U26="",E26,U26)*V26,"")</f>
        <v>26.6361</v>
      </c>
      <c r="Y26" s="20" t="s">
        <v>250</v>
      </c>
      <c r="AF26" s="17">
        <v>1890</v>
      </c>
      <c r="AH26" s="18">
        <f>IFERROR(IF(OR(AG26&gt;=AI26,E26&gt;=AI26),LOOKUP(IF(AG26="",E26,AG26),{0,1,10,50,100,1000,10000},{0.0,0.41,0.384,0.384,0.269,0.192,0.154}),"MOQ="&amp;AI26),"")</f>
        <v>0.269</v>
      </c>
      <c r="AI26" s="17">
        <v>1</v>
      </c>
      <c r="AJ26" s="19">
        <f>IFERROR(IF(AG26="",E26,AG26)*AH26,"")</f>
        <v>26.9</v>
      </c>
      <c r="AK26" s="20" t="s">
        <v>290</v>
      </c>
      <c r="AL26" s="17">
        <v>320</v>
      </c>
      <c r="AN26" s="18">
        <f>IFERROR(IF(OR(AM26&gt;=AO26,E26&gt;=AO26),LOOKUP(IF(AM26="",E26,AM26),{0,1,10,25,50,100,250},{0.0,0.496,0.461,0.384,0.327,0.313,0.281}),"MOQ="&amp;AO26),"")</f>
        <v>0.313</v>
      </c>
      <c r="AO26" s="17">
        <v>1</v>
      </c>
      <c r="AP26" s="19">
        <f>IFERROR(IF(AM26="",E26,AM26)*AN26,"")</f>
        <v>31.3</v>
      </c>
      <c r="AQ26" s="20" t="s">
        <v>332</v>
      </c>
      <c r="AR26" s="17">
        <v>200</v>
      </c>
      <c r="AT26" s="18">
        <f>IFERROR(IF(OR(AS26&gt;=AU26,E26&gt;=AU26),USD_GBP*LOOKUP(IF(AS26="",E26,AS26),{0,1,2630,26300,131500,263000,1315000},{0.0,0.119,0.119,0.112,0.107,0.104,0.102}),"MOQ="&amp;AU26),"")</f>
        <v/>
      </c>
      <c r="AU26" s="17">
        <v>2630</v>
      </c>
      <c r="AV26" s="19">
        <f>IFERROR(IF(AS26="",E26,AS26)*AT26,"")</f>
        <v/>
      </c>
      <c r="AW26" s="20" t="s">
        <v>362</v>
      </c>
    </row>
    <row r="27" spans="1:55" ht="30" customHeight="1">
      <c r="A27" s="17" t="s">
        <v>76</v>
      </c>
      <c r="B27" s="17" t="s">
        <v>77</v>
      </c>
      <c r="C27" s="17" t="s">
        <v>78</v>
      </c>
      <c r="D27" s="17" t="s">
        <v>79</v>
      </c>
      <c r="E27" s="17">
        <f>CEILING(BoardQty*1.0,1)</f>
        <v>100</v>
      </c>
      <c r="F27" s="18">
        <f>IF(MIN(J27,P27,V27,AB27,AH27,AN27,AT27,AZ27)&lt;&gt;0,MIN(J27,P27,V27,AB27,AH27,AN27,AT27,AZ27),"")</f>
        <v>2.52</v>
      </c>
      <c r="G27" s="19">
        <f>IF(AND(ISNUMBER(E27),ISNUMBER(F27)),E27*F27,"")</f>
        <v>252.0</v>
      </c>
      <c r="H27" s="21" t="s">
        <v>174</v>
      </c>
      <c r="J27" s="18">
        <f>IFERROR(IF(OR(I27&gt;=K27,E27&gt;=K27),LOOKUP(IF(I27="",E27,I27),{0,1,50,100},{0.0,3.64,2.97,2.52}),"MOQ="&amp;K27),"")</f>
        <v>2.52</v>
      </c>
      <c r="K27" s="17">
        <v>1</v>
      </c>
      <c r="L27" s="19">
        <f>IFERROR(IF(I27="",E27,I27)*J27,"")</f>
        <v>252.0</v>
      </c>
      <c r="M27" s="20" t="s">
        <v>179</v>
      </c>
      <c r="N27" s="17">
        <v>35</v>
      </c>
      <c r="P27" s="18">
        <f>IFERROR(IF(OR(O27&gt;=Q27,E27&gt;=Q27),LOOKUP(IF(O27="",E27,O27),{0,1,10,100,500,1000},{0.0,4.39,4.218,3.5148,2.98758,2.54823}),"MOQ="&amp;Q27),"")</f>
        <v>3.5148</v>
      </c>
      <c r="Q27" s="17">
        <v>1</v>
      </c>
      <c r="R27" s="19">
        <f>IFERROR(IF(O27="",E27,O27)*P27,"")</f>
        <v>351.48</v>
      </c>
      <c r="S27" s="20" t="s">
        <v>213</v>
      </c>
      <c r="T27" s="17">
        <v>70</v>
      </c>
      <c r="V27" s="18">
        <f>IFERROR(IF(OR(U27&gt;=W27,E27&gt;=W27),USD_GBP*LOOKUP(IF(U27="",E27,U27),{0,1,10,100,250,500,1000},{0.0,2.51,2.1,1.89,1.72,1.58,1.45}),"MOQ="&amp;W27),"")</f>
        <v>2.6777829286666277</v>
      </c>
      <c r="W27" s="17">
        <v>1</v>
      </c>
      <c r="X27" s="19">
        <f>IFERROR(IF(U27="",E27,U27)*V27,"")</f>
        <v>267.7783</v>
      </c>
      <c r="Y27" s="20" t="s">
        <v>251</v>
      </c>
      <c r="AF27" s="17">
        <v>64</v>
      </c>
      <c r="AH27" s="18">
        <f>IFERROR(IF(OR(AG27&gt;=AI27,E27&gt;=AI27),LOOKUP(IF(AG27="",E27,AG27),{0,1,10,50,100,1000,10000},{0.0,4.35,4.17,4.17,3.48,2.52,2.31}),"MOQ="&amp;AI27),"")</f>
        <v>3.48</v>
      </c>
      <c r="AI27" s="17">
        <v>1</v>
      </c>
      <c r="AJ27" s="19">
        <f>IFERROR(IF(AG27="",E27,AG27)*AH27,"")</f>
        <v>348.0</v>
      </c>
      <c r="AK27" s="20" t="s">
        <v>291</v>
      </c>
      <c r="AL27" s="21" t="s">
        <v>174</v>
      </c>
      <c r="AN27" s="18">
        <f>IFERROR(IF(OR(AM27&gt;=AO27,E27&gt;=AO27),LOOKUP(IF(AM27="",E27,AM27),{0,1,10,25,100,250,500,1000,2500},{0.0,3.45,3.1,2.9,2.74,2.31,2.1,1.91,1.82}),"MOQ="&amp;AO27),"")</f>
        <v>2.74</v>
      </c>
      <c r="AO27" s="17">
        <v>1</v>
      </c>
      <c r="AP27" s="19">
        <f>IFERROR(IF(AM27="",E27,AM27)*AN27,"")</f>
        <v>274.0</v>
      </c>
      <c r="AQ27" s="20" t="s">
        <v>333</v>
      </c>
      <c r="AR27" s="17">
        <v>43</v>
      </c>
      <c r="AT27" s="18">
        <f>IFERROR(IF(OR(AS27&gt;=AU27,E27&gt;=AU27),USD_GBP*LOOKUP(IF(AS27="",E27,AS27),{0,1,65,325,650},{0.0,1.853,1.853,1.723,1.637}),"MOQ="&amp;AU27),"")</f>
        <v>2.6253607231847944</v>
      </c>
      <c r="AU27" s="17">
        <v>65</v>
      </c>
      <c r="AV27" s="19">
        <f>IFERROR(IF(AS27="",E27,AS27)*AT27,"")</f>
        <v>262.5361</v>
      </c>
      <c r="AW27" s="20" t="s">
        <v>363</v>
      </c>
    </row>
    <row r="28" spans="1:55">
      <c r="A28" s="17" t="s">
        <v>80</v>
      </c>
      <c r="B28" s="17" t="s">
        <v>81</v>
      </c>
      <c r="C28" s="17" t="s">
        <v>82</v>
      </c>
      <c r="D28" s="17" t="s">
        <v>83</v>
      </c>
      <c r="E28" s="17">
        <f>CEILING(BoardQty*1.0,1)</f>
        <v>100</v>
      </c>
      <c r="F28" s="18">
        <f>IF(MIN(J28,P28,V28,AB28,AH28,AN28,AT28,AZ28)&lt;&gt;0,MIN(J28,P28,V28,AB28,AH28,AN28,AT28,AZ28),"")</f>
        <v>0.086</v>
      </c>
      <c r="G28" s="19">
        <f>IF(AND(ISNUMBER(E28),ISNUMBER(F28)),E28*F28,"")</f>
        <v>8.6</v>
      </c>
      <c r="H28" s="17">
        <v>1</v>
      </c>
      <c r="J28" s="18">
        <f>IFERROR(IF(OR(I28&gt;=K28,E28&gt;=K28),LOOKUP(IF(I28="",E28,I28),{0,1,50,100},{0.0,0.14,0.11,0.09}),"MOQ="&amp;K28),"")</f>
        <v>0.09</v>
      </c>
      <c r="K28" s="17">
        <v>1</v>
      </c>
      <c r="L28" s="19">
        <f>IFERROR(IF(I28="",E28,I28)*J28,"")</f>
        <v>9.0</v>
      </c>
      <c r="M28" s="20" t="s">
        <v>180</v>
      </c>
      <c r="N28" s="17">
        <v>1250</v>
      </c>
      <c r="P28" s="18">
        <f>IFERROR(IF(OR(O28&gt;=Q28,E28&gt;=Q28),LOOKUP(IF(O28="",E28,O28),{0,1,10,25,50,100,250,500},{0.0,0.16,0.151,0.1292,0.1128,0.1048,0.09272,0.0887}),"MOQ="&amp;Q28),"")</f>
        <v>0.1048</v>
      </c>
      <c r="Q28" s="17">
        <v>1</v>
      </c>
      <c r="R28" s="19">
        <f>IFERROR(IF(O28="",E28,O28)*P28,"")</f>
        <v>10.48</v>
      </c>
      <c r="S28" s="20" t="s">
        <v>214</v>
      </c>
      <c r="T28" s="17">
        <v>1507</v>
      </c>
      <c r="V28" s="18">
        <f>IFERROR(IF(OR(U28&gt;=W28,E28&gt;=W28),USD_GBP*LOOKUP(IF(U28="",E28,U28),{0,1,100,500,1000,2500,5000,10000},{0.0,0.072,0.072,0.07,0.058,0.051,0.047,0.043}),"MOQ="&amp;W28),"")</f>
        <v>0.10201077823491915</v>
      </c>
      <c r="W28" s="17">
        <v>100</v>
      </c>
      <c r="X28" s="19">
        <f>IFERROR(IF(U28="",E28,U28)*V28,"")</f>
        <v>10.2011</v>
      </c>
      <c r="Y28" s="20" t="s">
        <v>252</v>
      </c>
      <c r="AF28" s="17">
        <v>4032</v>
      </c>
      <c r="AH28" s="18">
        <f>IFERROR(IF(OR(AG28&gt;=AI28,E28&gt;=AI28),LOOKUP(IF(AG28="",E28,AG28),{0,1,10,50,100,1000,10000},{0.0,0.15,0.14,0.14,0.086,0.063,0.052}),"MOQ="&amp;AI28),"")</f>
        <v>0.086</v>
      </c>
      <c r="AI28" s="17">
        <v>1</v>
      </c>
      <c r="AJ28" s="19">
        <f>IFERROR(IF(AG28="",E28,AG28)*AH28,"")</f>
        <v>8.6</v>
      </c>
      <c r="AK28" s="20" t="s">
        <v>292</v>
      </c>
      <c r="AL28" s="17">
        <v>2403</v>
      </c>
      <c r="AN28" s="18">
        <f>IFERROR(IF(OR(AM28&gt;=AO28,E28&gt;=AO28),LOOKUP(IF(AM28="",E28,AM28),{0,1,10,25,50,100,250},{0.0,0.171,0.163,0.121,0.104,0.1,0.087}),"MOQ="&amp;AO28),"")</f>
        <v>0.1</v>
      </c>
      <c r="AO28" s="17">
        <v>1</v>
      </c>
      <c r="AP28" s="19">
        <f>IFERROR(IF(AM28="",E28,AM28)*AN28,"")</f>
        <v>10.0</v>
      </c>
      <c r="AQ28" s="20" t="s">
        <v>334</v>
      </c>
      <c r="AR28" s="17">
        <v>278</v>
      </c>
      <c r="AT28" s="18">
        <f>IFERROR(IF(OR(AS28&gt;=AU28,E28&gt;=AU28),USD_GBP*LOOKUP(IF(AS28="",E28,AS28),{0,1,6370,63700,318500,637000,3185000},{0.0,0.053,0.053,0.051,0.048,0.046,0.045}),"MOQ="&amp;AU28),"")</f>
        <v/>
      </c>
      <c r="AU28" s="17">
        <v>6370</v>
      </c>
      <c r="AV28" s="19">
        <f>IFERROR(IF(AS28="",E28,AS28)*AT28,"")</f>
        <v/>
      </c>
      <c r="AW28" s="20" t="s">
        <v>364</v>
      </c>
    </row>
    <row r="29" spans="1:55">
      <c r="A29" s="17" t="s">
        <v>84</v>
      </c>
      <c r="B29" s="17" t="s">
        <v>85</v>
      </c>
      <c r="C29" s="17" t="s">
        <v>86</v>
      </c>
      <c r="D29" s="17" t="s">
        <v>87</v>
      </c>
      <c r="E29" s="17">
        <f>CEILING(BoardQty*1.0,1)</f>
        <v>100</v>
      </c>
      <c r="F29" s="18">
        <f>IF(MIN(J29,P29,V29,AB29,AH29,AN29,AT29,AZ29)&lt;&gt;0,MIN(J29,P29,V29,AB29,AH29,AN29,AT29,AZ29),"")</f>
        <v>0.142</v>
      </c>
      <c r="G29" s="19">
        <f>IF(AND(ISNUMBER(E29),ISNUMBER(F29)),E29*F29,"")</f>
        <v>14.2</v>
      </c>
      <c r="N29" s="17">
        <v>57970</v>
      </c>
      <c r="P29" s="18">
        <f>IFERROR(IF(OR(O29&gt;=Q29,E29&gt;=Q29),LOOKUP(IF(O29="",E29,O29),{0,1,50,100,500,4000},{0.0,0.18,0.165,0.142,0.123,0.1365}),"MOQ="&amp;Q29),"")</f>
        <v>0.142</v>
      </c>
      <c r="Q29" s="17">
        <v>1</v>
      </c>
      <c r="R29" s="19">
        <f>IFERROR(IF(O29="",E29,O29)*P29,"")</f>
        <v>14.2</v>
      </c>
      <c r="S29" s="20" t="s">
        <v>215</v>
      </c>
      <c r="T29" s="17">
        <v>7700</v>
      </c>
      <c r="V29" s="18">
        <f>IFERROR(IF(OR(U29&gt;=W29,E29&gt;=W29),USD_GBP*LOOKUP(IF(U29="",E29,U29),{0,1,5,10,100,150,500,1000},{0.0,0.174,0.174,0.152,0.125,0.125,0.107,0.105}),"MOQ="&amp;W29),"")</f>
        <v>0.17710204554673464</v>
      </c>
      <c r="W29" s="17">
        <v>5</v>
      </c>
      <c r="X29" s="19">
        <f>IFERROR(IF(U29="",E29,U29)*V29,"")</f>
        <v>17.7102</v>
      </c>
      <c r="Y29" s="20" t="s">
        <v>253</v>
      </c>
      <c r="AF29" s="17">
        <v>25898</v>
      </c>
      <c r="AH29" s="18">
        <f>IFERROR(IF(OR(AG29&gt;=AI29,E29&gt;=AI29),LOOKUP(IF(AG29="",E29,AG29),{0,1,10,50,100,1000,10000},{0.0,0.18,0.18,0.171,0.147,0.13,0.13}),"MOQ="&amp;AI29),"")</f>
        <v>0.147</v>
      </c>
      <c r="AI29" s="17">
        <v>1</v>
      </c>
      <c r="AJ29" s="19">
        <f>IFERROR(IF(AG29="",E29,AG29)*AH29,"")</f>
        <v>14.7</v>
      </c>
      <c r="AK29" s="20" t="s">
        <v>293</v>
      </c>
      <c r="AL29" s="17">
        <v>7700</v>
      </c>
      <c r="AN29" s="18">
        <f>IFERROR(IF(OR(AM29&gt;=AO29,E29&gt;=AO29),LOOKUP(IF(AM29="",E29,AM29),{0,1,5,10,25,50,100,500},{0.0,0.224,0.224,0.214,0.208,0.202,0.175,0.154}),"MOQ="&amp;AO29),"")</f>
        <v>0.175</v>
      </c>
      <c r="AO29" s="17">
        <v>5</v>
      </c>
      <c r="AP29" s="19">
        <f>IFERROR(IF(AM29="",E29,AM29)*AN29,"")</f>
        <v>17.5</v>
      </c>
      <c r="AQ29" s="20" t="s">
        <v>335</v>
      </c>
      <c r="AR29" s="17">
        <v>6400</v>
      </c>
      <c r="AT29" s="18">
        <f>IFERROR(IF(OR(AS29&gt;=AU29,E29&gt;=AU29),USD_GBP*LOOKUP(IF(AS29="",E29,AS29),{0,1,50,500,1000,2000,4000},{0.0,0.145,0.145,0.096,0.092,0.087,0.084}),"MOQ="&amp;AU29),"")</f>
        <v>0.20543837283421218</v>
      </c>
      <c r="AU29" s="17">
        <v>50</v>
      </c>
      <c r="AV29" s="19">
        <f>IFERROR(IF(AS29="",E29,AS29)*AT29,"")</f>
        <v>20.5438</v>
      </c>
      <c r="AW29" s="20" t="s">
        <v>365</v>
      </c>
    </row>
    <row r="30" spans="1:55">
      <c r="A30" s="17" t="s">
        <v>88</v>
      </c>
      <c r="B30" s="17" t="s">
        <v>89</v>
      </c>
      <c r="C30" s="17" t="s">
        <v>89</v>
      </c>
      <c r="D30" s="17" t="s">
        <v>89</v>
      </c>
      <c r="E30" s="17">
        <f>CEILING(BoardQty*1.0,1)</f>
        <v>100</v>
      </c>
      <c r="F30" s="18">
        <f>IF(MIN(J30,P30,V30,AB30,AH30,AN30,AT30,AZ30)&lt;&gt;0,MIN(J30,P30,V30,AB30,AH30,AN30,AT30,AZ30),"")</f>
        <v>12.29</v>
      </c>
      <c r="G30" s="19">
        <f>IF(AND(ISNUMBER(E30),ISNUMBER(F30)),E30*F30,"")</f>
        <v>1229.0</v>
      </c>
      <c r="H30" s="17">
        <v>19</v>
      </c>
      <c r="J30" s="18">
        <f>IFERROR(IF(OR(I30&gt;=K30,E30&gt;=K30),LOOKUP(IF(I30="",E30,I30),{0,1,5,10,25,50,100},{0.0,13.08,13.01,12.88,12.85,12.55,12.29}),"MOQ="&amp;K30),"")</f>
        <v>12.29</v>
      </c>
      <c r="K30" s="17">
        <v>1</v>
      </c>
      <c r="L30" s="19">
        <f>IFERROR(IF(I30="",E30,I30)*J30,"")</f>
        <v>1229.0</v>
      </c>
      <c r="M30" s="20" t="s">
        <v>181</v>
      </c>
      <c r="N30" s="21" t="s">
        <v>174</v>
      </c>
      <c r="P30" s="18">
        <f>IFERROR(IF(OR(O30&gt;=Q30,E30&gt;=Q30),LOOKUP(IF(O30="",E30,O30),{0,1,5,10,25,50,100,250,500},{0.0,15.25,15.13,15.015,14.784,14.322,12.936,12.705,12.474}),"MOQ="&amp;Q30),"")</f>
        <v>12.936</v>
      </c>
      <c r="Q30" s="17">
        <v>1</v>
      </c>
      <c r="R30" s="19">
        <f>IFERROR(IF(O30="",E30,O30)*P30,"")</f>
        <v>1293.6</v>
      </c>
      <c r="S30" s="20" t="s">
        <v>216</v>
      </c>
      <c r="T30" s="17">
        <v>19</v>
      </c>
      <c r="V30" s="18">
        <f>IFERROR(IF(OR(U30&gt;=W30,E30&gt;=W30),USD_GBP*LOOKUP(IF(U30="",E30,U30),{0,1,5,10,20,50},{0.0,18.23,15.68,14.99,13.49,13.22}),"MOQ="&amp;W30),"")</f>
        <v>18.730312337022657</v>
      </c>
      <c r="W30" s="17">
        <v>1</v>
      </c>
      <c r="X30" s="19">
        <f>IFERROR(IF(U30="",E30,U30)*V30,"")</f>
        <v>1873.0312</v>
      </c>
      <c r="Y30" s="20" t="s">
        <v>254</v>
      </c>
      <c r="AF30" s="17">
        <v>13</v>
      </c>
      <c r="AH30" s="18">
        <f>IFERROR(IF(OR(AG30&gt;=AI30,E30&gt;=AI30),LOOKUP(IF(AG30="",E30,AG30),{0,1,10,50,100,1000,10000},{0.0,15.14,15.03,14.33,12.95,12.49,12.49}),"MOQ="&amp;AI30),"")</f>
        <v>12.95</v>
      </c>
      <c r="AI30" s="17">
        <v>1</v>
      </c>
      <c r="AJ30" s="19">
        <f>IFERROR(IF(AG30="",E30,AG30)*AH30,"")</f>
        <v>1295.0</v>
      </c>
      <c r="AK30" s="20" t="s">
        <v>294</v>
      </c>
      <c r="AL30" s="17">
        <v>19</v>
      </c>
      <c r="AN30" s="18">
        <f>IFERROR(IF(OR(AM30&gt;=AO30,E30&gt;=AO30),LOOKUP(IF(AM30="",E30,AM30),{0,1,5,10,25,50,100},{0.0,17.25,17.2,17.14,16.92,16.45,15.09}),"MOQ="&amp;AO30),"")</f>
        <v>15.09</v>
      </c>
      <c r="AO30" s="17">
        <v>1</v>
      </c>
      <c r="AP30" s="19">
        <f>IFERROR(IF(AM30="",E30,AM30)*AN30,"")</f>
        <v>1509.0</v>
      </c>
      <c r="AQ30" s="20" t="s">
        <v>336</v>
      </c>
    </row>
    <row r="31" spans="1:55">
      <c r="A31" s="17" t="s">
        <v>90</v>
      </c>
      <c r="B31" s="17" t="s">
        <v>91</v>
      </c>
      <c r="C31" s="17" t="s">
        <v>92</v>
      </c>
      <c r="D31" s="17" t="s">
        <v>93</v>
      </c>
      <c r="E31" s="17">
        <f>CEILING(BoardQty*1.0,1)</f>
        <v>100</v>
      </c>
      <c r="F31" s="18">
        <f>IF(MIN(J31,P31,V31,AB31,AH31,AN31,AT31,AZ31)&lt;&gt;0,MIN(J31,P31,V31,AB31,AH31,AN31,AT31,AZ31),"")</f>
        <v>2.2785</v>
      </c>
      <c r="G31" s="19">
        <f>IF(AND(ISNUMBER(E31),ISNUMBER(F31)),E31*F31,"")</f>
        <v>227.85</v>
      </c>
      <c r="H31" s="21" t="s">
        <v>174</v>
      </c>
      <c r="M31" s="20" t="s">
        <v>182</v>
      </c>
      <c r="N31" s="17">
        <v>1361</v>
      </c>
      <c r="P31" s="18">
        <f>IFERROR(IF(OR(O31&gt;=Q31,E31&gt;=Q31),LOOKUP(IF(O31="",E31,O31),{0,1,5,10,25,50,100,250,750},{0.0,2.57,2.536,2.499,2.4256,2.352,2.2785,2.205,2.058}),"MOQ="&amp;Q31),"")</f>
        <v>2.2785</v>
      </c>
      <c r="Q31" s="17">
        <v>1</v>
      </c>
      <c r="R31" s="19">
        <f>IFERROR(IF(O31="",E31,O31)*P31,"")</f>
        <v>227.85</v>
      </c>
      <c r="S31" s="20" t="s">
        <v>217</v>
      </c>
      <c r="T31" s="17">
        <v>750</v>
      </c>
      <c r="V31" s="18">
        <f>IFERROR(IF(OR(U31&gt;=W31,E31&gt;=W31),USD_GBP*LOOKUP(IF(U31="",E31,U31),{0,1,5,10,20,50},{0.0,3.46,2.9,2.68,2.5,2.38}),"MOQ="&amp;W31),"")</f>
        <v>3.3720229472098273</v>
      </c>
      <c r="W31" s="17">
        <v>1</v>
      </c>
      <c r="X31" s="19">
        <f>IFERROR(IF(U31="",E31,U31)*V31,"")</f>
        <v>337.2023</v>
      </c>
      <c r="Y31" s="20" t="s">
        <v>255</v>
      </c>
      <c r="AF31" s="17">
        <v>989</v>
      </c>
      <c r="AH31" s="18">
        <f>IFERROR(IF(OR(AG31&gt;=AI31,E31&gt;=AI31),LOOKUP(IF(AG31="",E31,AG31),{0,1,10,50,100,1000,10000},{0.0,2.54,2.5,2.36,2.28,1.98,1.95}),"MOQ="&amp;AI31),"")</f>
        <v>2.28</v>
      </c>
      <c r="AI31" s="17">
        <v>1</v>
      </c>
      <c r="AJ31" s="19">
        <f>IFERROR(IF(AG31="",E31,AG31)*AH31,"")</f>
        <v>228.0</v>
      </c>
      <c r="AK31" s="20" t="s">
        <v>295</v>
      </c>
      <c r="AL31" s="17">
        <v>750</v>
      </c>
      <c r="AN31" s="18">
        <f>IFERROR(IF(OR(AM31&gt;=AO31,E31&gt;=AO31),LOOKUP(IF(AM31="",E31,AM31),{0,1,10,25,50,100,250},{0.0,2.87,2.84,2.7,2.66,2.62,2.55}),"MOQ="&amp;AO31),"")</f>
        <v>2.62</v>
      </c>
      <c r="AO31" s="17">
        <v>1</v>
      </c>
      <c r="AP31" s="19">
        <f>IFERROR(IF(AM31="",E31,AM31)*AN31,"")</f>
        <v>262.0</v>
      </c>
      <c r="AQ31" s="20" t="s">
        <v>337</v>
      </c>
    </row>
    <row r="32" spans="1:55">
      <c r="A32" s="17" t="s">
        <v>94</v>
      </c>
      <c r="B32" s="17" t="s">
        <v>95</v>
      </c>
      <c r="C32" s="17" t="s">
        <v>58</v>
      </c>
      <c r="D32" s="17" t="s">
        <v>96</v>
      </c>
      <c r="E32" s="17">
        <f>CEILING(BoardQty*1.0,1)</f>
        <v>100</v>
      </c>
      <c r="F32" s="18">
        <f>IF(MIN(J32,P32,V32,AB32,AH32,AN32,AT32,AZ32)&lt;&gt;0,MIN(J32,P32,V32,AB32,AH32,AN32,AT32,AZ32),"")</f>
        <v>0.0063</v>
      </c>
      <c r="G32" s="19">
        <f>IF(AND(ISNUMBER(E32),ISNUMBER(F32)),E32*F32,"")</f>
        <v>0.63</v>
      </c>
      <c r="H32" s="21" t="s">
        <v>174</v>
      </c>
      <c r="J32" s="18">
        <f>IFERROR(IF(OR(I32&gt;=K32,E32&gt;=K32),LOOKUP(IF(I32="",E32,I32),{0,1,10,25,100,250,500,1000,3000,6000,15000},{0.0,0.0626,0.0107,0.0105,0.0063,0.0062,0.0047,0.0046,0.0043,0.004,0.0038}),"MOQ="&amp;K32),"")</f>
        <v>0.0063</v>
      </c>
      <c r="K32" s="17">
        <v>1</v>
      </c>
      <c r="L32" s="19">
        <f>IFERROR(IF(I32="",E32,I32)*J32,"")</f>
        <v>0.63</v>
      </c>
      <c r="M32" s="20" t="s">
        <v>183</v>
      </c>
      <c r="N32" s="17">
        <v>72</v>
      </c>
      <c r="P32" s="18">
        <f>IFERROR(IF(OR(O32&gt;=Q32,E32&gt;=Q32),LOOKUP(IF(O32="",E32,O32),{0,1,10,100,1000,2500,5000},{0.0,0.1,0.05,0.0204,0.00914,0.00794,0.00656}),"MOQ="&amp;Q32),"")</f>
        <v>0.0204</v>
      </c>
      <c r="Q32" s="17">
        <v>1</v>
      </c>
      <c r="R32" s="19">
        <f>IFERROR(IF(O32="",E32,O32)*P32,"")</f>
        <v>2.04</v>
      </c>
      <c r="S32" s="20" t="s">
        <v>218</v>
      </c>
      <c r="T32" s="17">
        <v>30000</v>
      </c>
      <c r="V32" s="18">
        <f>IFERROR(IF(OR(U32&gt;=W32,E32&gt;=W32),USD_GBP*LOOKUP(IF(U32="",E32,U32),{0,1,10,100,500,1000,2500,5000,25000},{0.0,0.0169,0.0169,0.0112,0.0093,0.0091,0.0089,0.0086,0.0073}),"MOQ="&amp;W32),"")</f>
        <v>0.015868343280987424</v>
      </c>
      <c r="W32" s="17">
        <v>10</v>
      </c>
      <c r="X32" s="19">
        <f>IFERROR(IF(U32="",E32,U32)*V32,"")</f>
        <v>1.5868</v>
      </c>
      <c r="Y32" s="20" t="s">
        <v>256</v>
      </c>
      <c r="AF32" s="17">
        <v>51667</v>
      </c>
      <c r="AH32" s="18">
        <f>IFERROR(IF(OR(AG32&gt;=AI32,E32&gt;=AI32),LOOKUP(IF(AG32="",E32,AG32),{0,1,10,50,100,1000,10000},{0.0,0.1,0.017,0.017,0.01,0.005,0.003}),"MOQ="&amp;AI32),"")</f>
        <v>0.01</v>
      </c>
      <c r="AI32" s="17">
        <v>1</v>
      </c>
      <c r="AJ32" s="19">
        <f>IFERROR(IF(AG32="",E32,AG32)*AH32,"")</f>
        <v>1.0</v>
      </c>
      <c r="AK32" s="20" t="s">
        <v>296</v>
      </c>
      <c r="AL32" s="17">
        <v>30000</v>
      </c>
      <c r="AN32" s="18">
        <f>IFERROR(IF(OR(AM32&gt;=AO32,E32&gt;=AO32),LOOKUP(IF(AM32="",E32,AM32),{0,1,10,25,50,100,500},{0.0,0.017,0.017,0.015,0.012,0.01,0.008}),"MOQ="&amp;AO32),"")</f>
        <v>0.01</v>
      </c>
      <c r="AO32" s="17">
        <v>10</v>
      </c>
      <c r="AP32" s="19">
        <f>IFERROR(IF(AM32="",E32,AM32)*AN32,"")</f>
        <v>1.0</v>
      </c>
      <c r="AQ32" s="20" t="s">
        <v>338</v>
      </c>
    </row>
    <row r="33" spans="1:55">
      <c r="A33" s="17" t="s">
        <v>97</v>
      </c>
      <c r="B33" s="17" t="s">
        <v>98</v>
      </c>
      <c r="C33" s="17" t="s">
        <v>58</v>
      </c>
      <c r="D33" s="17" t="s">
        <v>99</v>
      </c>
      <c r="E33" s="17">
        <f>CEILING(BoardQty*10.0,1)</f>
        <v>1000</v>
      </c>
      <c r="F33" s="18">
        <f>IF(MIN(J33,P33,V33,AB33,AH33,AN33,AT33,AZ33)&lt;&gt;0,MIN(J33,P33,V33,AB33,AH33,AN33,AT33,AZ33),"")</f>
        <v>0.09</v>
      </c>
      <c r="G33" s="19">
        <f>IF(AND(ISNUMBER(E33),ISNUMBER(F33)),E33*F33,"")</f>
        <v>90.0</v>
      </c>
      <c r="H33" s="21" t="s">
        <v>174</v>
      </c>
      <c r="J33" s="18">
        <f>IFERROR(IF(OR(I33&gt;=K33,E33&gt;=K33),LOOKUP(IF(I33="",E33,I33),{0,1,5000,50000,500000},{0.0,0.1671,0.1671,0.0953,0.057}),"MOQ="&amp;K33),"")</f>
        <v/>
      </c>
      <c r="K33" s="17">
        <v>5000</v>
      </c>
      <c r="L33" s="19">
        <f>IFERROR(IF(I33="",E33,I33)*J33,"")</f>
        <v/>
      </c>
      <c r="M33" s="20" t="s">
        <v>184</v>
      </c>
      <c r="AF33" s="17">
        <v>4843</v>
      </c>
      <c r="AH33" s="18">
        <f>IFERROR(IF(OR(AG33&gt;=AI33,E33&gt;=AI33),LOOKUP(IF(AG33="",E33,AG33),{0,1,10,50,100,1000,10000},{0.0,0.16,0.155,0.14,0.13,0.09,0.085}),"MOQ="&amp;AI33),"")</f>
        <v>0.09</v>
      </c>
      <c r="AI33" s="17">
        <v>1</v>
      </c>
      <c r="AJ33" s="19">
        <f>IFERROR(IF(AG33="",E33,AG33)*AH33,"")</f>
        <v>90.0</v>
      </c>
      <c r="AK33" s="20" t="s">
        <v>297</v>
      </c>
    </row>
    <row r="34" spans="1:55">
      <c r="A34" s="17" t="s">
        <v>100</v>
      </c>
      <c r="B34" s="17" t="s">
        <v>101</v>
      </c>
      <c r="C34" s="17" t="s">
        <v>58</v>
      </c>
      <c r="D34" s="17" t="s">
        <v>102</v>
      </c>
      <c r="E34" s="17">
        <f>CEILING(BoardQty*5.0,1)</f>
        <v>500</v>
      </c>
      <c r="F34" s="18">
        <f>IF(MIN(J34,P34,V34,AB34,AH34,AN34,AT34,AZ34)&lt;&gt;0,MIN(J34,P34,V34,AB34,AH34,AN34,AT34,AZ34),"")</f>
        <v>0.023</v>
      </c>
      <c r="G34" s="19">
        <f>IF(AND(ISNUMBER(E34),ISNUMBER(F34)),E34*F34,"")</f>
        <v>11.5</v>
      </c>
      <c r="N34" s="17">
        <v>5768</v>
      </c>
      <c r="P34" s="18">
        <f>IFERROR(IF(OR(O34&gt;=Q34,E34&gt;=Q34),LOOKUP(IF(O34="",E34,O34),{0,1,10,100,1000,2500,5000,10000,25000,50000},{0.0,0.1,0.08,0.031,0.01362,0.01176,0.01052,0.00944,0.00867,0.00842}),"MOQ="&amp;Q34),"")</f>
        <v>0.031</v>
      </c>
      <c r="Q34" s="17">
        <v>1</v>
      </c>
      <c r="R34" s="19">
        <f>IFERROR(IF(O34="",E34,O34)*P34,"")</f>
        <v>15.5</v>
      </c>
      <c r="S34" s="20" t="s">
        <v>219</v>
      </c>
      <c r="AF34" s="17">
        <v>9187</v>
      </c>
      <c r="AH34" s="18">
        <f>IFERROR(IF(OR(AG34&gt;=AI34,E34&gt;=AI34),LOOKUP(IF(AG34="",E34,AG34),{0,1,10,50,100,1000,10000},{0.0,0.12,0.064,0.064,0.023,0.016,0.01}),"MOQ="&amp;AI34),"")</f>
        <v>0.023</v>
      </c>
      <c r="AI34" s="17">
        <v>1</v>
      </c>
      <c r="AJ34" s="19">
        <f>IFERROR(IF(AG34="",E34,AG34)*AH34,"")</f>
        <v>11.5</v>
      </c>
      <c r="AK34" s="20" t="s">
        <v>298</v>
      </c>
    </row>
    <row r="35" spans="1:55">
      <c r="A35" s="17" t="s">
        <v>103</v>
      </c>
      <c r="B35" s="17" t="s">
        <v>104</v>
      </c>
      <c r="C35" s="17" t="s">
        <v>58</v>
      </c>
      <c r="D35" s="17" t="s">
        <v>105</v>
      </c>
      <c r="E35" s="17">
        <f>CEILING(BoardQty*3.0,1)</f>
        <v>300</v>
      </c>
      <c r="F35" s="18">
        <f>IF(MIN(J35,P35,V35,AB35,AH35,AN35,AT35,AZ35)&lt;&gt;0,MIN(J35,P35,V35,AB35,AH35,AN35,AT35,AZ35),"")</f>
        <v>0.024</v>
      </c>
      <c r="G35" s="19">
        <f>IF(AND(ISNUMBER(E35),ISNUMBER(F35)),E35*F35,"")</f>
        <v>7.2</v>
      </c>
      <c r="H35" s="21" t="s">
        <v>174</v>
      </c>
      <c r="J35" s="18">
        <f>IFERROR(IF(OR(I35&gt;=K35,E35&gt;=K35),LOOKUP(IF(I35="",E35,I35),{0,1,5000,25000,50000,100000},{0.0,0.0922,0.0922,0.0875,0.0832,0.079}),"MOQ="&amp;K35),"")</f>
        <v/>
      </c>
      <c r="K35" s="17">
        <v>5000</v>
      </c>
      <c r="L35" s="19">
        <f>IFERROR(IF(I35="",E35,I35)*J35,"")</f>
        <v/>
      </c>
      <c r="M35" s="20" t="s">
        <v>105</v>
      </c>
      <c r="N35" s="21" t="s">
        <v>174</v>
      </c>
      <c r="P35" s="18">
        <f>IFERROR(IF(OR(O35&gt;=Q35,E35&gt;=Q35),LOOKUP(IF(O35="",E35,O35),{0,1,10,100,1000,2500,5000},{0.0,0.1,0.063,0.0254,0.01143,0.00992,0.00819}),"MOQ="&amp;Q35),"")</f>
        <v>0.0254</v>
      </c>
      <c r="Q35" s="17">
        <v>1</v>
      </c>
      <c r="R35" s="19">
        <f>IFERROR(IF(O35="",E35,O35)*P35,"")</f>
        <v>7.62</v>
      </c>
      <c r="S35" s="20" t="s">
        <v>220</v>
      </c>
      <c r="AF35" s="17">
        <v>23923</v>
      </c>
      <c r="AH35" s="18">
        <f>IFERROR(IF(OR(AG35&gt;=AI35,E35&gt;=AI35),LOOKUP(IF(AG35="",E35,AG35),{0,1,10,50,100,1000,10000},{0.0,0.1,0.059,0.059,0.024,0.01,0.006}),"MOQ="&amp;AI35),"")</f>
        <v>0.024</v>
      </c>
      <c r="AI35" s="17">
        <v>1</v>
      </c>
      <c r="AJ35" s="19">
        <f>IFERROR(IF(AG35="",E35,AG35)*AH35,"")</f>
        <v>7.2</v>
      </c>
      <c r="AK35" s="20" t="s">
        <v>299</v>
      </c>
      <c r="AL35" s="21" t="s">
        <v>174</v>
      </c>
      <c r="AN35" s="18">
        <f>IFERROR(IF(OR(AM35&gt;=AO35,E35&gt;=AO35),LOOKUP(IF(AM35="",E35,AM35),{0,1,5000},{0.0,0.01,0.01}),"MOQ="&amp;AO35),"")</f>
        <v/>
      </c>
      <c r="AO35" s="17">
        <v>5000</v>
      </c>
      <c r="AP35" s="19">
        <f>IFERROR(IF(AM35="",E35,AM35)*AN35,"")</f>
        <v/>
      </c>
      <c r="AQ35" s="20" t="s">
        <v>339</v>
      </c>
    </row>
    <row r="36" spans="1:55">
      <c r="A36" s="17" t="s">
        <v>106</v>
      </c>
      <c r="B36" s="17" t="s">
        <v>107</v>
      </c>
      <c r="C36" s="17" t="s">
        <v>58</v>
      </c>
      <c r="D36" s="17" t="s">
        <v>108</v>
      </c>
      <c r="E36" s="17">
        <f>CEILING(BoardQty*2.0,1)</f>
        <v>200</v>
      </c>
      <c r="F36" s="18">
        <f>IF(MIN(J36,P36,V36,AB36,AH36,AN36,AT36,AZ36)&lt;&gt;0,MIN(J36,P36,V36,AB36,AH36,AN36,AT36,AZ36),"")</f>
        <v>0.0139</v>
      </c>
      <c r="G36" s="19">
        <f>IF(AND(ISNUMBER(E36),ISNUMBER(F36)),E36*F36,"")</f>
        <v>2.78</v>
      </c>
      <c r="H36" s="17">
        <v>40122</v>
      </c>
      <c r="J36" s="18">
        <f>IFERROR(IF(OR(I36&gt;=K36,E36&gt;=K36),LOOKUP(IF(I36="",E36,I36),{0,1,5000},{0.0,0.0056,0.0056}),"MOQ="&amp;K36),"")</f>
        <v/>
      </c>
      <c r="K36" s="17">
        <v>5000</v>
      </c>
      <c r="L36" s="19">
        <f>IFERROR(IF(I36="",E36,I36)*J36,"")</f>
        <v/>
      </c>
      <c r="M36" s="20" t="s">
        <v>185</v>
      </c>
      <c r="N36" s="17">
        <v>10319</v>
      </c>
      <c r="P36" s="18">
        <f>IFERROR(IF(OR(O36&gt;=Q36,E36&gt;=Q36),LOOKUP(IF(O36="",E36,O36),{0,1,10,100,1000,2500,5000},{0.0,0.1,0.05,0.0204,0.00914,0.00794,0.00656}),"MOQ="&amp;Q36),"")</f>
        <v>0.0204</v>
      </c>
      <c r="Q36" s="17">
        <v>1</v>
      </c>
      <c r="R36" s="19">
        <f>IFERROR(IF(O36="",E36,O36)*P36,"")</f>
        <v>4.08</v>
      </c>
      <c r="S36" s="20" t="s">
        <v>221</v>
      </c>
      <c r="Z36" s="17">
        <v>450</v>
      </c>
      <c r="AB36" s="18">
        <f>IFERROR(IF(OR(AA36&gt;=AC36,E36&gt;=AC36),LOOKUP(IF(AA36="",E36,AA36),{0,1,50,500,1500,5000,25000,50000},{0.0,0.0139,0.0139,0.0109,0.0103,0.0097,0.0095,0.0094}),"MOQ="&amp;AC36),"")</f>
        <v>0.0139</v>
      </c>
      <c r="AC36" s="17">
        <v>50</v>
      </c>
      <c r="AD36" s="19">
        <f>IFERROR(IF(AA36="",E36,AA36)*AB36,"")</f>
        <v>2.78</v>
      </c>
      <c r="AE36" s="20" t="s">
        <v>269</v>
      </c>
      <c r="AF36" s="17">
        <v>19865</v>
      </c>
      <c r="AH36" s="18">
        <f>IFERROR(IF(OR(AG36&gt;=AI36,E36&gt;=AI36),LOOKUP(IF(AG36="",E36,AG36),{0,1,10,50,100,1000,10000},{0.0,0.1,0.043,0.043,0.018,0.007,0.005}),"MOQ="&amp;AI36),"")</f>
        <v>0.018</v>
      </c>
      <c r="AI36" s="17">
        <v>1</v>
      </c>
      <c r="AJ36" s="19">
        <f>IFERROR(IF(AG36="",E36,AG36)*AH36,"")</f>
        <v>3.6</v>
      </c>
      <c r="AK36" s="20" t="s">
        <v>300</v>
      </c>
      <c r="AL36" s="21" t="s">
        <v>174</v>
      </c>
      <c r="AN36" s="18">
        <f>IFERROR(IF(OR(AM36&gt;=AO36,E36&gt;=AO36),LOOKUP(IF(AM36="",E36,AM36),{0,1,25000},{0.0,0.005,0.005}),"MOQ="&amp;AO36),"")</f>
        <v/>
      </c>
      <c r="AO36" s="17">
        <v>25000</v>
      </c>
      <c r="AP36" s="19">
        <f>IFERROR(IF(AM36="",E36,AM36)*AN36,"")</f>
        <v/>
      </c>
      <c r="AQ36" s="20" t="s">
        <v>340</v>
      </c>
      <c r="AR36" s="17">
        <v>1800</v>
      </c>
      <c r="AT36" s="18">
        <f>IFERROR(IF(OR(AS36&gt;=AU36,E36&gt;=AU36),USD_GBP*LOOKUP(IF(AS36="",E36,AS36),{0,1,50,500,2500,5000,12500},{0.0,0.059,0.059,0.021,0.011,0.01,0.009}),"MOQ="&amp;AU36),"")</f>
        <v>0.08359216549805874</v>
      </c>
      <c r="AU36" s="17">
        <v>50</v>
      </c>
      <c r="AV36" s="19">
        <f>IFERROR(IF(AS36="",E36,AS36)*AT36,"")</f>
        <v>16.7184</v>
      </c>
      <c r="AW36" s="20" t="s">
        <v>366</v>
      </c>
    </row>
    <row r="37" spans="1:55">
      <c r="A37" s="17" t="s">
        <v>109</v>
      </c>
      <c r="B37" s="17" t="s">
        <v>110</v>
      </c>
      <c r="C37" s="17" t="s">
        <v>58</v>
      </c>
      <c r="D37" s="17" t="s">
        <v>111</v>
      </c>
      <c r="E37" s="17">
        <f>CEILING(BoardQty*2.0,1)</f>
        <v>200</v>
      </c>
      <c r="F37" s="18">
        <f>IF(MIN(J37,P37,V37,AB37,AH37,AN37,AT37,AZ37)&lt;&gt;0,MIN(J37,P37,V37,AB37,AH37,AN37,AT37,AZ37),"")</f>
        <v>0.008</v>
      </c>
      <c r="G37" s="19">
        <f>IF(AND(ISNUMBER(E37),ISNUMBER(F37)),E37*F37,"")</f>
        <v>1.6</v>
      </c>
      <c r="H37" s="21" t="s">
        <v>174</v>
      </c>
      <c r="M37" s="20" t="s">
        <v>186</v>
      </c>
      <c r="N37" s="17">
        <v>3842</v>
      </c>
      <c r="P37" s="18">
        <f>IFERROR(IF(OR(O37&gt;=Q37,E37&gt;=Q37),LOOKUP(IF(O37="",E37,O37),{0,1,10,100,1000,2500,5000},{0.0,0.1,0.073,0.0299,0.01341,0.01164,0.00961}),"MOQ="&amp;Q37),"")</f>
        <v>0.0299</v>
      </c>
      <c r="Q37" s="17">
        <v>1</v>
      </c>
      <c r="R37" s="19">
        <f>IFERROR(IF(O37="",E37,O37)*P37,"")</f>
        <v>5.98</v>
      </c>
      <c r="S37" s="20" t="s">
        <v>222</v>
      </c>
      <c r="T37" s="17">
        <v>5000</v>
      </c>
      <c r="V37" s="18">
        <f>IFERROR(IF(OR(U37&gt;=W37,E37&gt;=W37),USD_GBP*LOOKUP(IF(U37="",E37,U37),{0,1,10,25,50,100,150,250,500,1000,2500,5000,25000},{0.0,0.0797,0.0477,0.0553,0.0382,0.0293,0.0308,0.0228,0.0217,0.0125,0.0093,0.0091,0.0089}),"MOQ="&amp;W37),"")</f>
        <v>0.04363794402271542</v>
      </c>
      <c r="W37" s="17">
        <v>1</v>
      </c>
      <c r="X37" s="19">
        <f>IFERROR(IF(U37="",E37,U37)*V37,"")</f>
        <v>8.7276</v>
      </c>
      <c r="Y37" s="20" t="s">
        <v>257</v>
      </c>
      <c r="AF37" s="17">
        <v>13656</v>
      </c>
      <c r="AH37" s="18">
        <f>IFERROR(IF(OR(AG37&gt;=AI37,E37&gt;=AI37),LOOKUP(IF(AG37="",E37,AG37),{0,1,10,50,100,1000,10000},{0.0,0.1,0.051,0.051,0.026,0.011,0.009}),"MOQ="&amp;AI37),"")</f>
        <v>0.026</v>
      </c>
      <c r="AI37" s="17">
        <v>1</v>
      </c>
      <c r="AJ37" s="19">
        <f>IFERROR(IF(AG37="",E37,AG37)*AH37,"")</f>
        <v>5.2</v>
      </c>
      <c r="AK37" s="20" t="s">
        <v>301</v>
      </c>
      <c r="AL37" s="17">
        <v>5000</v>
      </c>
      <c r="AN37" s="18">
        <f>IFERROR(IF(OR(AM37&gt;=AO37,E37&gt;=AO37),LOOKUP(IF(AM37="",E37,AM37),{0,1,25,50,100,250,500,5000,10000},{0.0,0.008,0.008,0.008,0.008,0.008,0.008,0.01,0.009}),"MOQ="&amp;AO37),"")</f>
        <v>0.008</v>
      </c>
      <c r="AO37" s="17">
        <v>1</v>
      </c>
      <c r="AP37" s="19">
        <f>IFERROR(IF(AM37="",E37,AM37)*AN37,"")</f>
        <v>1.6</v>
      </c>
      <c r="AQ37" s="20" t="s">
        <v>341</v>
      </c>
    </row>
    <row r="38" spans="1:55">
      <c r="A38" s="17" t="s">
        <v>112</v>
      </c>
      <c r="B38" s="17" t="s">
        <v>113</v>
      </c>
      <c r="C38" s="17" t="s">
        <v>58</v>
      </c>
      <c r="D38" s="17" t="s">
        <v>114</v>
      </c>
      <c r="E38" s="17">
        <f>CEILING(BoardQty*1.0,1)</f>
        <v>100</v>
      </c>
      <c r="F38" s="18">
        <f>IF(MIN(J38,P38,V38,AB38,AH38,AN38,AT38,AZ38)&lt;&gt;0,MIN(J38,P38,V38,AB38,AH38,AN38,AT38,AZ38),"")</f>
        <v>0.011</v>
      </c>
      <c r="G38" s="19">
        <f>IF(AND(ISNUMBER(E38),ISNUMBER(F38)),E38*F38,"")</f>
        <v>1.1</v>
      </c>
      <c r="H38" s="17">
        <v>7</v>
      </c>
      <c r="J38" s="18">
        <f>IFERROR(IF(OR(I38&gt;=K38,E38&gt;=K38),LOOKUP(IF(I38="",E38,I38),{0,1,5000},{0.0,0.0048,0.0048}),"MOQ="&amp;K38),"")</f>
        <v/>
      </c>
      <c r="K38" s="17">
        <v>5000</v>
      </c>
      <c r="L38" s="19">
        <f>IFERROR(IF(I38="",E38,I38)*J38,"")</f>
        <v/>
      </c>
      <c r="M38" s="20" t="s">
        <v>187</v>
      </c>
      <c r="N38" s="17">
        <v>9191898</v>
      </c>
      <c r="P38" s="18">
        <f>IFERROR(IF(OR(O38&gt;=Q38,E38&gt;=Q38),LOOKUP(IF(O38="",E38,O38),{0,1,10,100,1000,2500,5000},{0.0,0.1,0.042,0.0169,0.00759,0.00659,0.00544}),"MOQ="&amp;Q38),"")</f>
        <v>0.0169</v>
      </c>
      <c r="Q38" s="17">
        <v>1</v>
      </c>
      <c r="R38" s="19">
        <f>IFERROR(IF(O38="",E38,O38)*P38,"")</f>
        <v>1.69</v>
      </c>
      <c r="S38" s="20" t="s">
        <v>223</v>
      </c>
      <c r="T38" s="17">
        <v>344810</v>
      </c>
      <c r="V38" s="18">
        <f>IFERROR(IF(OR(U38&gt;=W38,E38&gt;=W38),USD_GBP*LOOKUP(IF(U38="",E38,U38),{0,1,10,100,150,500,1000,2500,5000,25000},{0.0,0.0356,0.0356,0.013,0.013,0.0123,0.008,0.0073,0.0072,0.0053}),"MOQ="&amp;W38),"")</f>
        <v>0.018418612736860403</v>
      </c>
      <c r="W38" s="17">
        <v>10</v>
      </c>
      <c r="X38" s="19">
        <f>IFERROR(IF(U38="",E38,U38)*V38,"")</f>
        <v>1.8419</v>
      </c>
      <c r="Y38" s="20" t="s">
        <v>258</v>
      </c>
      <c r="AF38" s="17">
        <v>524512</v>
      </c>
      <c r="AH38" s="18">
        <f>IFERROR(IF(OR(AG38&gt;=AI38,E38&gt;=AI38),LOOKUP(IF(AG38="",E38,AG38),{0,1,10,50,100,1000,10000},{0.0,0.1,0.036,0.036,0.012,0.007,0.004}),"MOQ="&amp;AI38),"")</f>
        <v>0.012</v>
      </c>
      <c r="AI38" s="17">
        <v>1</v>
      </c>
      <c r="AJ38" s="19">
        <f>IFERROR(IF(AG38="",E38,AG38)*AH38,"")</f>
        <v>1.2</v>
      </c>
      <c r="AK38" s="20" t="s">
        <v>302</v>
      </c>
      <c r="AL38" s="17">
        <v>315640</v>
      </c>
      <c r="AN38" s="18">
        <f>IFERROR(IF(OR(AM38&gt;=AO38,E38&gt;=AO38),LOOKUP(IF(AM38="",E38,AM38),{0,1,10,25,50,100,5000,10000},{0.0,0.031,0.031,0.024,0.018,0.011,0.01,0.007}),"MOQ="&amp;AO38),"")</f>
        <v>0.011</v>
      </c>
      <c r="AO38" s="17">
        <v>10</v>
      </c>
      <c r="AP38" s="19">
        <f>IFERROR(IF(AM38="",E38,AM38)*AN38,"")</f>
        <v>1.1</v>
      </c>
      <c r="AQ38" s="20" t="s">
        <v>342</v>
      </c>
      <c r="AR38" s="17">
        <v>750000</v>
      </c>
      <c r="AT38" s="18">
        <f>IFERROR(IF(OR(AS38&gt;=AU38,E38&gt;=AU38),USD_GBP*LOOKUP(IF(AS38="",E38,AS38),{0,1,5000},{0.0,0.01,0.01}),"MOQ="&amp;AU38),"")</f>
        <v/>
      </c>
      <c r="AU38" s="17">
        <v>5000</v>
      </c>
      <c r="AV38" s="19">
        <f>IFERROR(IF(AS38="",E38,AS38)*AT38,"")</f>
        <v/>
      </c>
      <c r="AW38" s="20" t="s">
        <v>367</v>
      </c>
      <c r="AX38" s="17">
        <v>191300</v>
      </c>
      <c r="AZ38" s="18">
        <f>IFERROR(IF(OR(AY38&gt;=BA38,E38&gt;=BA38),USD_GBP*LOOKUP(IF(AY38="",E38,AY38),{0,1,100,1000,5000,15000,50000},{0.0,0.0117,0.0117,0.00275,0.00193,0.00183,0.00177}),"MOQ="&amp;BA38),"")</f>
        <v>0.016576751463174364</v>
      </c>
      <c r="BA38" s="17">
        <v>100</v>
      </c>
      <c r="BB38" s="19">
        <f>IFERROR(IF(AY38="",E38,AY38)*AZ38,"")</f>
        <v>1.6577</v>
      </c>
      <c r="BC38" s="20" t="s">
        <v>375</v>
      </c>
    </row>
    <row r="39" spans="1:55">
      <c r="A39" s="17" t="s">
        <v>115</v>
      </c>
      <c r="B39" s="17" t="s">
        <v>116</v>
      </c>
      <c r="C39" s="17" t="s">
        <v>58</v>
      </c>
      <c r="D39" s="17" t="s">
        <v>117</v>
      </c>
      <c r="E39" s="17">
        <f>CEILING(BoardQty*1.0,1)</f>
        <v>100</v>
      </c>
      <c r="F39" s="18">
        <f>IF(MIN(J39,P39,V39,AB39,AH39,AN39,AT39,AZ39)&lt;&gt;0,MIN(J39,P39,V39,AB39,AH39,AN39,AT39,AZ39),"")</f>
        <v>0.024</v>
      </c>
      <c r="G39" s="19">
        <f>IF(AND(ISNUMBER(E39),ISNUMBER(F39)),E39*F39,"")</f>
        <v>2.4</v>
      </c>
      <c r="H39" s="21" t="s">
        <v>174</v>
      </c>
      <c r="J39" s="18">
        <f>IFERROR(IF(OR(I39&gt;=K39,E39&gt;=K39),LOOKUP(IF(I39="",E39,I39),{0,1,5000,25000,50000,100000},{0.0,0.0922,0.0922,0.0875,0.0832,0.079}),"MOQ="&amp;K39),"")</f>
        <v/>
      </c>
      <c r="K39" s="17">
        <v>5000</v>
      </c>
      <c r="L39" s="19">
        <f>IFERROR(IF(I39="",E39,I39)*J39,"")</f>
        <v/>
      </c>
      <c r="M39" s="20" t="s">
        <v>117</v>
      </c>
      <c r="N39" s="17">
        <v>43233</v>
      </c>
      <c r="P39" s="18">
        <f>IFERROR(IF(OR(O39&gt;=Q39,E39&gt;=Q39),LOOKUP(IF(O39="",E39,O39),{0,1,10,100,1000,2500,5000},{0.0,0.1,0.063,0.0254,0.01143,0.00992,0.00819}),"MOQ="&amp;Q39),"")</f>
        <v>0.0254</v>
      </c>
      <c r="Q39" s="17">
        <v>1</v>
      </c>
      <c r="R39" s="19">
        <f>IFERROR(IF(O39="",E39,O39)*P39,"")</f>
        <v>2.54</v>
      </c>
      <c r="S39" s="20" t="s">
        <v>224</v>
      </c>
      <c r="AF39" s="17">
        <v>35763</v>
      </c>
      <c r="AH39" s="18">
        <f>IFERROR(IF(OR(AG39&gt;=AI39,E39&gt;=AI39),LOOKUP(IF(AG39="",E39,AG39),{0,1,10,50,100,1000,10000},{0.0,0.1,0.059,0.059,0.024,0.01,0.007}),"MOQ="&amp;AI39),"")</f>
        <v>0.024</v>
      </c>
      <c r="AI39" s="17">
        <v>1</v>
      </c>
      <c r="AJ39" s="19">
        <f>IFERROR(IF(AG39="",E39,AG39)*AH39,"")</f>
        <v>2.4</v>
      </c>
      <c r="AK39" s="20" t="s">
        <v>303</v>
      </c>
      <c r="AL39" s="21" t="s">
        <v>174</v>
      </c>
      <c r="AN39" s="18">
        <f>IFERROR(IF(OR(AM39&gt;=AO39,E39&gt;=AO39),LOOKUP(IF(AM39="",E39,AM39),{0,1,40000},{0.0,0.005,0.005}),"MOQ="&amp;AO39),"")</f>
        <v/>
      </c>
      <c r="AO39" s="17">
        <v>40000</v>
      </c>
      <c r="AP39" s="19">
        <f>IFERROR(IF(AM39="",E39,AM39)*AN39,"")</f>
        <v/>
      </c>
      <c r="AQ39" s="20" t="s">
        <v>343</v>
      </c>
    </row>
    <row r="40" spans="1:55">
      <c r="A40" s="17" t="s">
        <v>118</v>
      </c>
      <c r="B40" s="17" t="s">
        <v>119</v>
      </c>
      <c r="C40" s="17" t="s">
        <v>58</v>
      </c>
      <c r="D40" s="17" t="s">
        <v>120</v>
      </c>
      <c r="E40" s="17">
        <f>CEILING(BoardQty*1.0,1)</f>
        <v>100</v>
      </c>
      <c r="F40" s="18">
        <f>IF(MIN(J40,P40,V40,AB40,AH40,AN40,AT40,AZ40)&lt;&gt;0,MIN(J40,P40,V40,AB40,AH40,AN40,AT40,AZ40),"")</f>
        <v>0.008</v>
      </c>
      <c r="G40" s="19">
        <f>IF(AND(ISNUMBER(E40),ISNUMBER(F40)),E40*F40,"")</f>
        <v>0.8</v>
      </c>
      <c r="H40" s="17">
        <v>25000</v>
      </c>
      <c r="J40" s="18">
        <f>IFERROR(IF(OR(I40&gt;=K40,E40&gt;=K40),LOOKUP(IF(I40="",E40,I40),{0,1,25000,250000,2500000},{0.0,0.0142,0.0142,0.0131,0.0072}),"MOQ="&amp;K40),"")</f>
        <v/>
      </c>
      <c r="K40" s="17">
        <v>25000</v>
      </c>
      <c r="L40" s="19">
        <f>IFERROR(IF(I40="",E40,I40)*J40,"")</f>
        <v/>
      </c>
      <c r="M40" s="20" t="s">
        <v>188</v>
      </c>
      <c r="N40" s="17">
        <v>87179</v>
      </c>
      <c r="P40" s="18">
        <f>IFERROR(IF(OR(O40&gt;=Q40,E40&gt;=Q40),LOOKUP(IF(O40="",E40,O40),{0,1,10,100,1000,2500,5000},{0.0,0.1,0.027,0.0109,0.00488,0.00423,0.0035}),"MOQ="&amp;Q40),"")</f>
        <v>0.0109</v>
      </c>
      <c r="Q40" s="17">
        <v>1</v>
      </c>
      <c r="R40" s="19">
        <f>IFERROR(IF(O40="",E40,O40)*P40,"")</f>
        <v>1.09</v>
      </c>
      <c r="S40" s="20" t="s">
        <v>225</v>
      </c>
      <c r="T40" s="17">
        <v>31763</v>
      </c>
      <c r="V40" s="18">
        <f>IFERROR(IF(OR(U40&gt;=W40,E40&gt;=W40),USD_GBP*LOOKUP(IF(U40="",E40,U40),{0,1,10,25,50,100,150,250,500,1000,2500,5000,10000,25000},{0.0,0.0216,0.0147,0.0116,0.0091,0.0108,0.0108,0.0058,0.009,0.0089,0.0087,0.0083,0.0024,0.0071}),"MOQ="&amp;W40),"")</f>
        <v>0.015301616735237875</v>
      </c>
      <c r="W40" s="17">
        <v>1</v>
      </c>
      <c r="X40" s="19">
        <f>IFERROR(IF(U40="",E40,U40)*V40,"")</f>
        <v>1.5302</v>
      </c>
      <c r="Y40" s="20" t="s">
        <v>259</v>
      </c>
      <c r="AF40" s="17">
        <v>110</v>
      </c>
      <c r="AH40" s="18">
        <f>IFERROR(IF(OR(AG40&gt;=AI40,E40&gt;=AI40),LOOKUP(IF(AG40="",E40,AG40),{0,1,10,50,100,1000,10000},{0.0,0.1,0.017,0.017,0.01,0.004,0.002}),"MOQ="&amp;AI40),"")</f>
        <v>0.01</v>
      </c>
      <c r="AI40" s="17">
        <v>1</v>
      </c>
      <c r="AJ40" s="19">
        <f>IFERROR(IF(AG40="",E40,AG40)*AH40,"")</f>
        <v>1.0</v>
      </c>
      <c r="AK40" s="20" t="s">
        <v>304</v>
      </c>
      <c r="AL40" s="17">
        <v>50000</v>
      </c>
      <c r="AN40" s="18">
        <f>IFERROR(IF(OR(AM40&gt;=AO40,E40&gt;=AO40),LOOKUP(IF(AM40="",E40,AM40),{0,1,10,25,50,100,250,500,5000,10000},{0.0,0.1,0.1,0.014,0.011,0.008,0.007,0.006,0.003,0.002}),"MOQ="&amp;AO40),"")</f>
        <v>0.008</v>
      </c>
      <c r="AO40" s="17">
        <v>1</v>
      </c>
      <c r="AP40" s="19">
        <f>IFERROR(IF(AM40="",E40,AM40)*AN40,"")</f>
        <v>0.8</v>
      </c>
      <c r="AQ40" s="20" t="s">
        <v>344</v>
      </c>
      <c r="AR40" s="17">
        <v>9350</v>
      </c>
      <c r="AT40" s="18">
        <f>IFERROR(IF(OR(AS40&gt;=AU40,E40&gt;=AU40),USD_GBP*LOOKUP(IF(AS40="",E40,AS40),{0,1,50,500,2500,5000,12500},{0.0,0.011,0.011,0.008,0.005,0.005,0.004}),"MOQ="&amp;AU40),"")</f>
        <v>0.015584980008112648</v>
      </c>
      <c r="AU40" s="17">
        <v>50</v>
      </c>
      <c r="AV40" s="19">
        <f>IFERROR(IF(AS40="",E40,AS40)*AT40,"")</f>
        <v>1.5585</v>
      </c>
      <c r="AW40" s="20" t="s">
        <v>368</v>
      </c>
    </row>
    <row r="41" spans="1:55">
      <c r="A41" s="17" t="s">
        <v>121</v>
      </c>
      <c r="B41" s="17" t="s">
        <v>122</v>
      </c>
      <c r="C41" s="17" t="s">
        <v>58</v>
      </c>
      <c r="D41" s="17" t="s">
        <v>123</v>
      </c>
      <c r="E41" s="17">
        <f>CEILING(BoardQty*2.0,1)</f>
        <v>200</v>
      </c>
      <c r="F41" s="18">
        <f>IF(MIN(J41,P41,V41,AB41,AH41,AN41,AT41,AZ41)&lt;&gt;0,MIN(J41,P41,V41,AB41,AH41,AN41,AT41,AZ41),"")</f>
        <v>0.088</v>
      </c>
      <c r="G41" s="19">
        <f>IF(AND(ISNUMBER(E41),ISNUMBER(F41)),E41*F41,"")</f>
        <v>17.6</v>
      </c>
      <c r="AF41" s="17">
        <v>998</v>
      </c>
      <c r="AH41" s="18">
        <f>IFERROR(IF(OR(AG41&gt;=AI41,E41&gt;=AI41),LOOKUP(IF(AG41="",E41,AG41),{0,1,10,50,100,1000,10000},{0.0,0.13,0.126,0.101,0.088,0.052,0.048}),"MOQ="&amp;AI41),"")</f>
        <v>0.088</v>
      </c>
      <c r="AI41" s="17">
        <v>1</v>
      </c>
      <c r="AJ41" s="19">
        <f>IFERROR(IF(AG41="",E41,AG41)*AH41,"")</f>
        <v>17.6</v>
      </c>
      <c r="AK41" s="20" t="s">
        <v>305</v>
      </c>
      <c r="AL41" s="21" t="s">
        <v>174</v>
      </c>
      <c r="AN41" s="18">
        <f>IFERROR(IF(OR(AM41&gt;=AO41,E41&gt;=AO41),LOOKUP(IF(AM41="",E41,AM41),{0,1,5000},{0.0,0.101,0.101}),"MOQ="&amp;AO41),"")</f>
        <v/>
      </c>
      <c r="AO41" s="17">
        <v>5000</v>
      </c>
      <c r="AP41" s="19">
        <f>IFERROR(IF(AM41="",E41,AM41)*AN41,"")</f>
        <v/>
      </c>
      <c r="AQ41" s="20" t="s">
        <v>345</v>
      </c>
    </row>
    <row r="42" spans="1:55">
      <c r="A42" s="17" t="s">
        <v>124</v>
      </c>
      <c r="B42" s="17" t="s">
        <v>125</v>
      </c>
      <c r="C42" s="17" t="s">
        <v>126</v>
      </c>
      <c r="D42" s="17" t="s">
        <v>127</v>
      </c>
      <c r="E42" s="17">
        <f>CEILING(BoardQty*1.0,1)</f>
        <v>100</v>
      </c>
      <c r="F42" s="18">
        <f>IF(MIN(J42,P42,V42,AB42,AH42,AN42,AT42,AZ42)&lt;&gt;0,MIN(J42,P42,V42,AB42,AH42,AN42,AT42,AZ42),"")</f>
        <v>0.4478</v>
      </c>
      <c r="G42" s="19">
        <f>IF(AND(ISNUMBER(E42),ISNUMBER(F42)),E42*F42,"")</f>
        <v>44.78</v>
      </c>
      <c r="H42" s="17">
        <v>3</v>
      </c>
      <c r="J42" s="18">
        <f>IFERROR(IF(OR(I42&gt;=K42,E42&gt;=K42),LOOKUP(IF(I42="",E42,I42),{0,1,7000,14000,21000,28000},{0.0,0.356,0.356,0.3524,0.3489,0.3453}),"MOQ="&amp;K42),"")</f>
        <v/>
      </c>
      <c r="K42" s="17">
        <v>7000</v>
      </c>
      <c r="L42" s="19">
        <f>IFERROR(IF(I42="",E42,I42)*J42,"")</f>
        <v/>
      </c>
      <c r="M42" s="20" t="s">
        <v>189</v>
      </c>
      <c r="N42" s="17">
        <v>20740</v>
      </c>
      <c r="P42" s="18">
        <f>IFERROR(IF(OR(O42&gt;=Q42,E42&gt;=Q42),LOOKUP(IF(O42="",E42,O42),{0,1,10,25,100,250,500,1000,2500,7000,14000},{0.0,0.56,0.537,0.5176,0.4478,0.408,0.37814,0.33833,0.32042,0.29654,0.27664}),"MOQ="&amp;Q42),"")</f>
        <v>0.4478</v>
      </c>
      <c r="Q42" s="17">
        <v>1</v>
      </c>
      <c r="R42" s="19">
        <f>IFERROR(IF(O42="",E42,O42)*P42,"")</f>
        <v>44.78</v>
      </c>
      <c r="S42" s="20" t="s">
        <v>226</v>
      </c>
      <c r="AF42" s="17">
        <v>9028</v>
      </c>
      <c r="AH42" s="18">
        <f>IFERROR(IF(OR(AG42&gt;=AI42,E42&gt;=AI42),LOOKUP(IF(AG42="",E42,AG42),{0,1,10,50,100,1000,10000},{0.0,0.56,0.538,0.502,0.449,0.402,0.402}),"MOQ="&amp;AI42),"")</f>
        <v>0.449</v>
      </c>
      <c r="AI42" s="17">
        <v>1</v>
      </c>
      <c r="AJ42" s="19">
        <f>IFERROR(IF(AG42="",E42,AG42)*AH42,"")</f>
        <v>44.9</v>
      </c>
      <c r="AK42" s="20" t="s">
        <v>306</v>
      </c>
      <c r="AL42" s="21" t="s">
        <v>174</v>
      </c>
      <c r="AN42" s="18">
        <f>IFERROR(IF(OR(AM42&gt;=AO42,E42&gt;=AO42),LOOKUP(IF(AM42="",E42,AM42),{0,1,7000,42000,100000},{0.0,0.54,0.54,0.36,0.324}),"MOQ="&amp;AO42),"")</f>
        <v/>
      </c>
      <c r="AO42" s="17">
        <v>7000</v>
      </c>
      <c r="AP42" s="19">
        <f>IFERROR(IF(AM42="",E42,AM42)*AN42,"")</f>
        <v/>
      </c>
      <c r="AQ42" s="20" t="s">
        <v>346</v>
      </c>
    </row>
    <row r="43" spans="1:55">
      <c r="A43" s="17" t="s">
        <v>128</v>
      </c>
      <c r="B43" s="17" t="s">
        <v>129</v>
      </c>
      <c r="C43" s="17" t="s">
        <v>130</v>
      </c>
      <c r="D43" s="17" t="s">
        <v>131</v>
      </c>
      <c r="E43" s="17">
        <f>CEILING(BoardQty*1.0,1)</f>
        <v>100</v>
      </c>
      <c r="F43" s="18">
        <f>IF(MIN(J43,P43,V43,AB43,AH43,AN43,AT43,AZ43)&lt;&gt;0,MIN(J43,P43,V43,AB43,AH43,AN43,AT43,AZ43),"")</f>
        <v>0.266</v>
      </c>
      <c r="G43" s="19">
        <f>IF(AND(ISNUMBER(E43),ISNUMBER(F43)),E43*F43,"")</f>
        <v>26.6</v>
      </c>
      <c r="H43" s="17">
        <v>4328</v>
      </c>
      <c r="J43" s="18">
        <f>IFERROR(IF(OR(I43&gt;=K43,E43&gt;=K43),LOOKUP(IF(I43="",E43,I43),{0,1,50,100},{0.0,0.43,0.33,0.27}),"MOQ="&amp;K43),"")</f>
        <v>0.27</v>
      </c>
      <c r="K43" s="17">
        <v>1</v>
      </c>
      <c r="L43" s="19">
        <f>IFERROR(IF(I43="",E43,I43)*J43,"")</f>
        <v>27.0</v>
      </c>
      <c r="M43" s="20" t="s">
        <v>190</v>
      </c>
      <c r="N43" s="17">
        <v>2270</v>
      </c>
      <c r="P43" s="18">
        <f>IFERROR(IF(OR(O43&gt;=Q43,E43&gt;=Q43),LOOKUP(IF(O43="",E43,O43),{0,1,10,25,50,100,250,500},{0.0,0.45,0.423,0.3628,0.3084,0.2964,0.26612,0.25402}),"MOQ="&amp;Q43),"")</f>
        <v>0.2964</v>
      </c>
      <c r="Q43" s="17">
        <v>1</v>
      </c>
      <c r="R43" s="19">
        <f>IFERROR(IF(O43="",E43,O43)*P43,"")</f>
        <v>29.64</v>
      </c>
      <c r="S43" s="20" t="s">
        <v>227</v>
      </c>
      <c r="T43" s="17">
        <v>1171</v>
      </c>
      <c r="V43" s="18">
        <f>IFERROR(IF(OR(U43&gt;=W43,E43&gt;=W43),USD_GBP*LOOKUP(IF(U43="",E43,U43),{0,1,10,100,500,1000,2500,5000},{0.0,0.242,0.242,0.193,0.185,0.154,0.132,0.13}),"MOQ="&amp;W43),"")</f>
        <v>0.2734455583241583</v>
      </c>
      <c r="W43" s="17">
        <v>10</v>
      </c>
      <c r="X43" s="19">
        <f>IFERROR(IF(U43="",E43,U43)*V43,"")</f>
        <v>27.3446</v>
      </c>
      <c r="Y43" s="20" t="s">
        <v>260</v>
      </c>
      <c r="AF43" s="17">
        <v>7815</v>
      </c>
      <c r="AH43" s="18">
        <f>IFERROR(IF(OR(AG43&gt;=AI43,E43&gt;=AI43),LOOKUP(IF(AG43="",E43,AG43),{0,1,10,50,100,1000,10000},{0.0,0.44,0.308,0.308,0.266,0.214,0.175}),"MOQ="&amp;AI43),"")</f>
        <v>0.266</v>
      </c>
      <c r="AI43" s="17">
        <v>1</v>
      </c>
      <c r="AJ43" s="19">
        <f>IFERROR(IF(AG43="",E43,AG43)*AH43,"")</f>
        <v>26.6</v>
      </c>
      <c r="AK43" s="20" t="s">
        <v>307</v>
      </c>
      <c r="AL43" s="17">
        <v>330</v>
      </c>
      <c r="AN43" s="18">
        <f>IFERROR(IF(OR(AM43&gt;=AO43,E43&gt;=AO43),LOOKUP(IF(AM43="",E43,AM43),{0,1,10,25,30,50,100,250,500},{0.0,0.441,0.414,0.462,0.355,0.301,0.289,0.259,0.247}),"MOQ="&amp;AO43),"")</f>
        <v>0.289</v>
      </c>
      <c r="AO43" s="17">
        <v>1</v>
      </c>
      <c r="AP43" s="19">
        <f>IFERROR(IF(AM43="",E43,AM43)*AN43,"")</f>
        <v>28.9</v>
      </c>
      <c r="AQ43" s="20" t="s">
        <v>347</v>
      </c>
      <c r="AR43" s="17">
        <v>40</v>
      </c>
      <c r="AT43" s="18">
        <f>IFERROR(IF(OR(AS43&gt;=AU43,E43&gt;=AU43),USD_GBP*LOOKUP(IF(AS43="",E43,AS43),{0,1,2550},{0.0,0.141,0.141}),"MOQ="&amp;AU43),"")</f>
        <v/>
      </c>
      <c r="AU43" s="17">
        <v>2550</v>
      </c>
      <c r="AV43" s="19">
        <f>IFERROR(IF(AS43="",E43,AS43)*AT43,"")</f>
        <v/>
      </c>
      <c r="AW43" s="20" t="s">
        <v>369</v>
      </c>
    </row>
    <row r="44" spans="1:55" ht="30" customHeight="1">
      <c r="A44" s="17" t="s">
        <v>132</v>
      </c>
      <c r="B44" s="17" t="s">
        <v>133</v>
      </c>
      <c r="C44" s="17" t="s">
        <v>134</v>
      </c>
      <c r="D44" s="17" t="s">
        <v>133</v>
      </c>
      <c r="E44" s="17">
        <f>CEILING(BoardQty*1.0,1)</f>
        <v>100</v>
      </c>
      <c r="F44" s="18">
        <f>IF(MIN(J44,P44,V44,AB44,AH44,AN44,AT44,AZ44)&lt;&gt;0,MIN(J44,P44,V44,AB44,AH44,AN44,AT44,AZ44),"")</f>
        <v>0.42362809294778925</v>
      </c>
      <c r="G44" s="19">
        <f>IF(AND(ISNUMBER(E44),ISNUMBER(F44)),E44*F44,"")</f>
        <v>42.3628</v>
      </c>
      <c r="H44" s="21" t="s">
        <v>174</v>
      </c>
      <c r="J44" s="18">
        <f>IFERROR(IF(OR(I44&gt;=K44,E44&gt;=K44),LOOKUP(IF(I44="",E44,I44),{0,1,1000,10000,100000,500000,1000000},{0.0,0.3407,0.3407,0.3389,0.3275,0.3198,0.3196}),"MOQ="&amp;K44),"")</f>
        <v/>
      </c>
      <c r="K44" s="17">
        <v>1000</v>
      </c>
      <c r="L44" s="19">
        <f>IFERROR(IF(I44="",E44,I44)*J44,"")</f>
        <v/>
      </c>
      <c r="M44" s="20" t="s">
        <v>133</v>
      </c>
      <c r="N44" s="21" t="s">
        <v>174</v>
      </c>
      <c r="P44" s="18">
        <f>IFERROR(IF(OR(O44&gt;=Q44,E44&gt;=Q44),LOOKUP(IF(O44="",E44,O44),{0,1,5,10,25,50,100,500,1000,5000},{0.0,1.05,0.996,0.867,0.7616,0.6328,0.5391,0.4688,0.4102,0.36332}),"MOQ="&amp;Q44),"")</f>
        <v>0.5391</v>
      </c>
      <c r="Q44" s="17">
        <v>1</v>
      </c>
      <c r="R44" s="19">
        <f>IFERROR(IF(O44="",E44,O44)*P44,"")</f>
        <v>53.91</v>
      </c>
      <c r="S44" s="20" t="s">
        <v>228</v>
      </c>
      <c r="T44" s="21" t="s">
        <v>174</v>
      </c>
      <c r="V44" s="18">
        <f>IFERROR(IF(OR(U44&gt;=W44,E44&gt;=W44),USD_GBP*LOOKUP(IF(U44="",E44,U44),{0,1,50,100,250,500,1000,5000},{0.0,0.329,0.314,0.299,0.284,0.252,0.203,0.199}),"MOQ="&amp;W44),"")</f>
        <v>0.42362809294778925</v>
      </c>
      <c r="W44" s="17">
        <v>1</v>
      </c>
      <c r="X44" s="19">
        <f>IFERROR(IF(U44="",E44,U44)*V44,"")</f>
        <v>42.3628</v>
      </c>
      <c r="Y44" s="20" t="s">
        <v>261</v>
      </c>
      <c r="AF44" s="17">
        <v>427</v>
      </c>
      <c r="AH44" s="18">
        <f>IFERROR(IF(OR(AG44&gt;=AI44,E44&gt;=AI44),LOOKUP(IF(AG44="",E44,AG44),{0,1,10,50,100,1000,10000},{0.0,0.99,0.84,0.561,0.485,0.382,0.336}),"MOQ="&amp;AI44),"")</f>
        <v>0.485</v>
      </c>
      <c r="AI44" s="17">
        <v>1</v>
      </c>
      <c r="AJ44" s="19">
        <f>IFERROR(IF(AG44="",E44,AG44)*AH44,"")</f>
        <v>48.5</v>
      </c>
      <c r="AK44" s="20" t="s">
        <v>308</v>
      </c>
      <c r="AL44" s="21" t="s">
        <v>174</v>
      </c>
      <c r="AN44" s="18">
        <f>IFERROR(IF(OR(AM44&gt;=AO44,E44&gt;=AO44),LOOKUP(IF(AM44="",E44,AM44),{0,1,10,25,50,100,500},{0.0,0.91,0.752,0.661,0.549,0.468,0.407}),"MOQ="&amp;AO44),"")</f>
        <v>0.468</v>
      </c>
      <c r="AO44" s="17">
        <v>1</v>
      </c>
      <c r="AP44" s="19">
        <f>IFERROR(IF(AM44="",E44,AM44)*AN44,"")</f>
        <v>46.8</v>
      </c>
      <c r="AQ44" s="20" t="s">
        <v>348</v>
      </c>
    </row>
    <row r="45" spans="1:55" ht="30" customHeight="1">
      <c r="A45" s="17" t="s">
        <v>135</v>
      </c>
      <c r="B45" s="17" t="s">
        <v>136</v>
      </c>
      <c r="C45" s="17" t="s">
        <v>137</v>
      </c>
      <c r="D45" s="17" t="s">
        <v>138</v>
      </c>
      <c r="E45" s="17">
        <f>CEILING(BoardQty*14.0,1)</f>
        <v>1400</v>
      </c>
      <c r="F45" s="18">
        <f>IF(MIN(J45,P45,V45,AB45,AH45,AN45,AT45,AZ45)&lt;&gt;0,MIN(J45,P45,V45,AB45,AH45,AN45,AT45,AZ45),"")</f>
        <v>0.141</v>
      </c>
      <c r="G45" s="19">
        <f>IF(AND(ISNUMBER(E45),ISNUMBER(F45)),E45*F45,"")</f>
        <v>197.4</v>
      </c>
      <c r="H45" s="17">
        <v>8</v>
      </c>
      <c r="J45" s="18">
        <f>IFERROR(IF(OR(I45&gt;=K45,E45&gt;=K45),LOOKUP(IF(I45="",E45,I45),{0,1,5,10,25,50,100,500,1000,2500},{0.0,0.2158,0.2137,0.2116,0.2094,0.1997,0.1729,0.1569,0.1457,0.1291}),"MOQ="&amp;K45),"")</f>
        <v>0.1457</v>
      </c>
      <c r="K45" s="17">
        <v>1</v>
      </c>
      <c r="L45" s="19">
        <f>IFERROR(IF(I45="",E45,I45)*J45,"")</f>
        <v>203.98</v>
      </c>
      <c r="M45" s="20" t="s">
        <v>138</v>
      </c>
      <c r="N45" s="17">
        <v>394054</v>
      </c>
      <c r="P45" s="18">
        <f>IFERROR(IF(OR(O45&gt;=Q45,E45&gt;=Q45),LOOKUP(IF(O45="",E45,O45),{0,1,25,100,250,500,1000,2500,5000},{0.0,0.42,0.3408,0.3015,0.28304,0.2523,0.19884,0.1818,0.17044}),"MOQ="&amp;Q45),"")</f>
        <v>0.19884</v>
      </c>
      <c r="Q45" s="17">
        <v>1</v>
      </c>
      <c r="R45" s="19">
        <f>IFERROR(IF(O45="",E45,O45)*P45,"")</f>
        <v>278.376</v>
      </c>
      <c r="S45" s="20" t="s">
        <v>229</v>
      </c>
      <c r="T45" s="17">
        <v>75644</v>
      </c>
      <c r="V45" s="18">
        <f>IFERROR(IF(OR(U45&gt;=W45,E45&gt;=W45),USD_GBP*LOOKUP(IF(U45="",E45,U45),{0,1,5,10,20,100,500,1000,2500,10000},{0.0,0.186,15.06,0.179,13.72,0.158,0.125,0.106,0.0878,0.0784}),"MOQ="&amp;W45),"")</f>
        <v>0.150182534623631</v>
      </c>
      <c r="W45" s="17">
        <v>1</v>
      </c>
      <c r="X45" s="19">
        <f>IFERROR(IF(U45="",E45,U45)*V45,"")</f>
        <v>210.2555</v>
      </c>
      <c r="Y45" s="20" t="s">
        <v>262</v>
      </c>
      <c r="Z45" s="17">
        <v>31615</v>
      </c>
      <c r="AB45" s="18">
        <f>IFERROR(IF(OR(AA45&gt;=AC45,E45&gt;=AC45),LOOKUP(IF(AA45="",E45,AA45),{0,1,10,30,100,500,1000},{0.0,0.2447,0.1891,0.1789,0.1687,0.1642,0.1619}),"MOQ="&amp;AC45),"")</f>
        <v>0.1619</v>
      </c>
      <c r="AC45" s="17">
        <v>1</v>
      </c>
      <c r="AD45" s="19">
        <f>IFERROR(IF(AA45="",E45,AA45)*AB45,"")</f>
        <v>226.66</v>
      </c>
      <c r="AE45" s="20" t="s">
        <v>270</v>
      </c>
      <c r="AF45" s="17">
        <v>209369</v>
      </c>
      <c r="AH45" s="18">
        <f>IFERROR(IF(OR(AG45&gt;=AI45,E45&gt;=AI45),LOOKUP(IF(AG45="",E45,AG45),{0,1,10,50,100,1000,10000},{0.0,0.35,0.335,0.243,0.226,0.171,0.143}),"MOQ="&amp;AI45),"")</f>
        <v>0.171</v>
      </c>
      <c r="AI45" s="17">
        <v>1</v>
      </c>
      <c r="AJ45" s="19">
        <f>IFERROR(IF(AG45="",E45,AG45)*AH45,"")</f>
        <v>239.4</v>
      </c>
      <c r="AK45" s="20" t="s">
        <v>309</v>
      </c>
      <c r="AL45" s="17">
        <v>75644</v>
      </c>
      <c r="AN45" s="18">
        <f>IFERROR(IF(OR(AM45&gt;=AO45,E45&gt;=AO45),LOOKUP(IF(AM45="",E45,AM45),{0,1,10,100,500,1000,2500,10000},{0.0,0.246,0.237,0.209,0.166,0.141,0.116,0.104}),"MOQ="&amp;AO45),"")</f>
        <v>0.141</v>
      </c>
      <c r="AO45" s="17">
        <v>1</v>
      </c>
      <c r="AP45" s="19">
        <f>IFERROR(IF(AM45="",E45,AM45)*AN45,"")</f>
        <v>197.4</v>
      </c>
      <c r="AQ45" s="20" t="s">
        <v>349</v>
      </c>
    </row>
    <row r="46" spans="1:55">
      <c r="A46" s="17" t="s">
        <v>139</v>
      </c>
      <c r="B46" s="17" t="s">
        <v>140</v>
      </c>
      <c r="C46" s="17" t="s">
        <v>141</v>
      </c>
      <c r="D46" s="17" t="s">
        <v>142</v>
      </c>
      <c r="E46" s="17">
        <f>CEILING(BoardQty*1.0,1)</f>
        <v>100</v>
      </c>
      <c r="F46" s="18">
        <f>IF(MIN(J46,P46,V46,AB46,AH46,AN46,AT46,AZ46)&lt;&gt;0,MIN(J46,P46,V46,AB46,AH46,AN46,AT46,AZ46),"")</f>
        <v>7.21088</v>
      </c>
      <c r="G46" s="19">
        <f>IF(AND(ISNUMBER(E46),ISNUMBER(F46)),E46*F46,"")</f>
        <v>721.088</v>
      </c>
      <c r="H46" s="21" t="s">
        <v>174</v>
      </c>
      <c r="J46" s="18">
        <f>IFERROR(IF(OR(I46&gt;=K46,E46&gt;=K46),LOOKUP(IF(I46="",E46,I46),{0,1,960,9600,96000,480000,960000},{0.0,4.77,4.77,4.689,4.207,3.938,3.935}),"MOQ="&amp;K46),"")</f>
        <v/>
      </c>
      <c r="K46" s="17">
        <v>960</v>
      </c>
      <c r="L46" s="19">
        <f>IFERROR(IF(I46="",E46,I46)*J46,"")</f>
        <v/>
      </c>
      <c r="M46" s="20" t="s">
        <v>142</v>
      </c>
      <c r="N46" s="21" t="s">
        <v>174</v>
      </c>
      <c r="P46" s="18">
        <f>IFERROR(IF(OR(O46&gt;=Q46,E46&gt;=Q46),LOOKUP(IF(O46="",E46,O46),{0,1,10,25,80,230,440,960},{0.0,9.64,8.71,8.3048,7.21088,6.88683,6.27918,5.90782}),"MOQ="&amp;Q46),"")</f>
        <v>7.21088</v>
      </c>
      <c r="Q46" s="17">
        <v>1</v>
      </c>
      <c r="R46" s="19">
        <f>IFERROR(IF(O46="",E46,O46)*P46,"")</f>
        <v>721.088</v>
      </c>
      <c r="S46" s="20" t="s">
        <v>230</v>
      </c>
      <c r="T46" s="21" t="s">
        <v>174</v>
      </c>
      <c r="V46" s="18">
        <f>IFERROR(IF(OR(U46&gt;=W46,E46&gt;=W46),USD_GBP*LOOKUP(IF(U46="",E46,U46),{0,1,10,25,50,100},{0.0,8.43,7.01,6.68,6.24,5.8}),"MOQ="&amp;W46),"")</f>
        <v>8.217534913368487</v>
      </c>
      <c r="W46" s="17">
        <v>1</v>
      </c>
      <c r="X46" s="19">
        <f>IFERROR(IF(U46="",E46,U46)*V46,"")</f>
        <v>821.7535</v>
      </c>
      <c r="Y46" s="20" t="s">
        <v>263</v>
      </c>
      <c r="AF46" s="21" t="s">
        <v>174</v>
      </c>
      <c r="AH46" s="18">
        <f>IFERROR(IF(OR(AG46&gt;=AI46,E46&gt;=AI46),LOOKUP(IF(AG46="",E46,AG46),{0,1,10,50,100,1000,10000},{0.0,9.63,8.72,8.31,7.22,5.4,5.4}),"MOQ="&amp;AI46),"")</f>
        <v>7.22</v>
      </c>
      <c r="AI46" s="17">
        <v>1</v>
      </c>
      <c r="AJ46" s="19">
        <f>IFERROR(IF(AG46="",E46,AG46)*AH46,"")</f>
        <v>722.0</v>
      </c>
      <c r="AK46" s="20" t="s">
        <v>310</v>
      </c>
      <c r="AL46" s="21" t="s">
        <v>174</v>
      </c>
      <c r="AN46" s="18">
        <f>IFERROR(IF(OR(AM46&gt;=AO46,E46&gt;=AO46),LOOKUP(IF(AM46="",E46,AM46),{0,1,10,25,50,100,250},{0.0,9.81,8.94,8.56,8.06,7.55,7.24}),"MOQ="&amp;AO46),"")</f>
        <v>7.55</v>
      </c>
      <c r="AO46" s="17">
        <v>1</v>
      </c>
      <c r="AP46" s="19">
        <f>IFERROR(IF(AM46="",E46,AM46)*AN46,"")</f>
        <v>755.0</v>
      </c>
      <c r="AQ46" s="20" t="s">
        <v>350</v>
      </c>
    </row>
    <row r="47" spans="1:55">
      <c r="A47" s="17" t="s">
        <v>143</v>
      </c>
      <c r="B47" s="17" t="s">
        <v>144</v>
      </c>
      <c r="C47" s="17" t="s">
        <v>145</v>
      </c>
      <c r="D47" s="17" t="s">
        <v>146</v>
      </c>
      <c r="E47" s="17">
        <f>CEILING(BoardQty*1.0,1)</f>
        <v>100</v>
      </c>
      <c r="F47" s="18">
        <f>IF(MIN(J47,P47,V47,AB47,AH47,AN47,AT47,AZ47)&lt;&gt;0,MIN(J47,P47,V47,AB47,AH47,AN47,AT47,AZ47),"")</f>
        <v>1.15</v>
      </c>
      <c r="G47" s="19">
        <f>IF(AND(ISNUMBER(E47),ISNUMBER(F47)),E47*F47,"")</f>
        <v>115.0</v>
      </c>
      <c r="N47" s="21" t="s">
        <v>174</v>
      </c>
      <c r="S47" s="20" t="s">
        <v>231</v>
      </c>
      <c r="AF47" s="17">
        <v>14</v>
      </c>
      <c r="AH47" s="18">
        <f>IFERROR(IF(OR(AG47&gt;=AI47,E47&gt;=AI47),LOOKUP(IF(AG47="",E47,AG47),{0,1,10,50,100,1000,10000},{0.0,1.24,1.24,1.19,1.15,1.15,1.14}),"MOQ="&amp;AI47),"")</f>
        <v>1.15</v>
      </c>
      <c r="AI47" s="17">
        <v>1</v>
      </c>
      <c r="AJ47" s="19">
        <f>IFERROR(IF(AG47="",E47,AG47)*AH47,"")</f>
        <v>115.0</v>
      </c>
      <c r="AK47" s="20" t="s">
        <v>311</v>
      </c>
    </row>
    <row r="48" spans="1:55">
      <c r="A48" s="17" t="s">
        <v>147</v>
      </c>
      <c r="B48" s="17" t="s">
        <v>148</v>
      </c>
      <c r="C48" s="17" t="s">
        <v>145</v>
      </c>
      <c r="D48" s="17" t="s">
        <v>148</v>
      </c>
      <c r="E48" s="17">
        <f>CEILING(BoardQty*1.0,1)</f>
        <v>100</v>
      </c>
      <c r="F48" s="18">
        <f>IF(MIN(J48,P48,V48,AB48,AH48,AN48,AT48,AZ48)&lt;&gt;0,MIN(J48,P48,V48,AB48,AH48,AN48,AT48,AZ48),"")</f>
        <v>2.1249</v>
      </c>
      <c r="G48" s="19">
        <f>IF(AND(ISNUMBER(E48),ISNUMBER(F48)),E48*F48,"")</f>
        <v>212.49</v>
      </c>
      <c r="H48" s="21" t="s">
        <v>174</v>
      </c>
      <c r="J48" s="18">
        <f>IFERROR(IF(OR(I48&gt;=K48,E48&gt;=K48),LOOKUP(IF(I48="",E48,I48),{0,1,2500,25000,250000,1250000,2500000},{0.0,2.76,2.76,2.6,1.676,1.202,1.198}),"MOQ="&amp;K48),"")</f>
        <v/>
      </c>
      <c r="K48" s="17">
        <v>2500</v>
      </c>
      <c r="L48" s="19">
        <f>IFERROR(IF(I48="",E48,I48)*J48,"")</f>
        <v/>
      </c>
      <c r="M48" s="20" t="s">
        <v>148</v>
      </c>
      <c r="N48" s="17">
        <v>4646</v>
      </c>
      <c r="P48" s="18">
        <f>IFERROR(IF(OR(O48&gt;=Q48,E48&gt;=Q48),LOOKUP(IF(O48="",E48,O48),{0,1,10,25,100,250,500,1000,2500},{0.0,2.89,2.593,2.4516,2.1249,2.01592,1.80886,1.71676,1.71676}),"MOQ="&amp;Q48),"")</f>
        <v>2.1249</v>
      </c>
      <c r="Q48" s="17">
        <v>1</v>
      </c>
      <c r="R48" s="19">
        <f>IFERROR(IF(O48="",E48,O48)*P48,"")</f>
        <v>212.49</v>
      </c>
      <c r="S48" s="20" t="s">
        <v>232</v>
      </c>
      <c r="Z48" s="17">
        <v>67</v>
      </c>
      <c r="AB48" s="18">
        <f>IFERROR(IF(OR(AA48&gt;=AC48,E48&gt;=AC48),LOOKUP(IF(AA48="",E48,AA48),{0,1,10,30,100,500,1000},{0.0,3.2081,2.7248,2.6364,2.5481,2.5084,2.4597}),"MOQ="&amp;AC48),"")</f>
        <v>2.5481</v>
      </c>
      <c r="AC48" s="17">
        <v>1</v>
      </c>
      <c r="AD48" s="19">
        <f>IFERROR(IF(AA48="",E48,AA48)*AB48,"")</f>
        <v>254.81</v>
      </c>
      <c r="AE48" s="20" t="s">
        <v>271</v>
      </c>
      <c r="AF48" s="17">
        <v>1454</v>
      </c>
      <c r="AH48" s="18">
        <f>IFERROR(IF(OR(AG48&gt;=AI48,E48&gt;=AI48),LOOKUP(IF(AG48="",E48,AG48),{0,1,10,50,100,1000,10000},{0.0,2.89,2.6,2.46,2.13,1.55,1.43}),"MOQ="&amp;AI48),"")</f>
        <v>2.13</v>
      </c>
      <c r="AI48" s="17">
        <v>1</v>
      </c>
      <c r="AJ48" s="19">
        <f>IFERROR(IF(AG48="",E48,AG48)*AH48,"")</f>
        <v>213.0</v>
      </c>
      <c r="AK48" s="20" t="s">
        <v>312</v>
      </c>
    </row>
    <row r="49" spans="1:55">
      <c r="A49" s="17" t="s">
        <v>149</v>
      </c>
      <c r="B49" s="17" t="s">
        <v>150</v>
      </c>
      <c r="C49" s="17" t="s">
        <v>151</v>
      </c>
      <c r="D49" s="17" t="s">
        <v>152</v>
      </c>
      <c r="E49" s="17">
        <f>CEILING(BoardQty*1.0,1)</f>
        <v>100</v>
      </c>
      <c r="F49" s="18">
        <f>IF(MIN(J49,P49,V49,AB49,AH49,AN49,AT49,AZ49)&lt;&gt;0,MIN(J49,P49,V49,AB49,AH49,AN49,AT49,AZ49),"")</f>
        <v>0.08407388306194587</v>
      </c>
      <c r="G49" s="19">
        <f>IF(AND(ISNUMBER(E49),ISNUMBER(F49)),E49*F49,"")</f>
        <v>8.4074</v>
      </c>
      <c r="H49" s="21" t="s">
        <v>174</v>
      </c>
      <c r="M49" s="20" t="s">
        <v>191</v>
      </c>
      <c r="T49" s="17">
        <v>4255</v>
      </c>
      <c r="V49" s="18">
        <f>IFERROR(IF(OR(U49&gt;=W49,E49&gt;=W49),USD_GBP*LOOKUP(IF(U49="",E49,U49),{0,1,5,10,100,150,500,1000},{0.0,0.553,0.553,0.396,0.183,0.183,0.157,0.131}),"MOQ="&amp;W49),"")</f>
        <v>0.2592773946804195</v>
      </c>
      <c r="W49" s="17">
        <v>5</v>
      </c>
      <c r="X49" s="19">
        <f>IFERROR(IF(U49="",E49,U49)*V49,"")</f>
        <v>25.9277</v>
      </c>
      <c r="Y49" s="20" t="s">
        <v>264</v>
      </c>
      <c r="AF49" s="17">
        <v>12314</v>
      </c>
      <c r="AH49" s="18">
        <f>IFERROR(IF(OR(AG49&gt;=AI49,E49&gt;=AI49),LOOKUP(IF(AG49="",E49,AG49),{0,1,10,50,100,1000,10000},{0.0,0.48,0.389,0.389,0.24,0.149,0.119}),"MOQ="&amp;AI49),"")</f>
        <v>0.24</v>
      </c>
      <c r="AI49" s="17">
        <v>1</v>
      </c>
      <c r="AJ49" s="19">
        <f>IFERROR(IF(AG49="",E49,AG49)*AH49,"")</f>
        <v>24.0</v>
      </c>
      <c r="AK49" s="20" t="s">
        <v>313</v>
      </c>
      <c r="AL49" s="17">
        <v>4255</v>
      </c>
      <c r="AN49" s="18">
        <f>IFERROR(IF(OR(AM49&gt;=AO49,E49&gt;=AO49),LOOKUP(IF(AM49="",E49,AM49),{0,1,5,10,25,50,100,250,500,1000,2500,5000,10000,15000,25000},{0.0,0.472,0.472,0.357,0.304,0.252,0.199,0.184,0.168,0.153,0.068,0.065,0.063,0.06,0.059}),"MOQ="&amp;AO49),"")</f>
        <v>0.199</v>
      </c>
      <c r="AO49" s="17">
        <v>5</v>
      </c>
      <c r="AP49" s="19">
        <f>IFERROR(IF(AM49="",E49,AM49)*AN49,"")</f>
        <v>19.9</v>
      </c>
      <c r="AQ49" s="20" t="s">
        <v>351</v>
      </c>
      <c r="AR49" s="17">
        <v>2300</v>
      </c>
      <c r="AT49" s="18">
        <f>IFERROR(IF(OR(AS49&gt;=AU49,E49&gt;=AU49),USD_GBP*LOOKUP(IF(AS49="",E49,AS49),{0,1,50,500,1250},{0.0,0.256,0.256,0.138,0.117}),"MOQ="&amp;AU49),"")</f>
        <v>0.36270498927971256</v>
      </c>
      <c r="AU49" s="17">
        <v>50</v>
      </c>
      <c r="AV49" s="19">
        <f>IFERROR(IF(AS49="",E49,AS49)*AT49,"")</f>
        <v>36.2705</v>
      </c>
      <c r="AW49" s="20" t="s">
        <v>370</v>
      </c>
      <c r="AX49" s="17">
        <v>139</v>
      </c>
      <c r="AZ49" s="18">
        <f>IFERROR(IF(OR(AY49&gt;=BA49,E49&gt;=BA49),USD_GBP*LOOKUP(IF(AY49="",E49,AY49),{0,1,5,25,100,500,2500},{0.0,0.12129,0.12129,0.06714,0.05934,0.05328,0.04973}),"MOQ="&amp;BA49),"")</f>
        <v>0.08407388306194587</v>
      </c>
      <c r="BA49" s="17">
        <v>5</v>
      </c>
      <c r="BB49" s="19">
        <f>IFERROR(IF(AY49="",E49,AY49)*AZ49,"")</f>
        <v>8.4074</v>
      </c>
      <c r="BC49" s="20" t="s">
        <v>191</v>
      </c>
    </row>
    <row r="50" spans="1:55">
      <c r="A50" s="17" t="s">
        <v>153</v>
      </c>
      <c r="B50" s="17" t="s">
        <v>154</v>
      </c>
      <c r="C50" s="17" t="s">
        <v>155</v>
      </c>
      <c r="D50" s="17" t="s">
        <v>154</v>
      </c>
      <c r="E50" s="17">
        <f>CEILING(BoardQty*2.0,1)</f>
        <v>200</v>
      </c>
      <c r="F50" s="18">
        <f>IF(MIN(J50,P50,V50,AB50,AH50,AN50,AT50,AZ50)&lt;&gt;0,MIN(J50,P50,V50,AB50,AH50,AN50,AT50,AZ50),"")</f>
        <v>2.1704</v>
      </c>
      <c r="G50" s="19">
        <f>IF(AND(ISNUMBER(E50),ISNUMBER(F50)),E50*F50,"")</f>
        <v>434.08</v>
      </c>
      <c r="H50" s="21" t="s">
        <v>174</v>
      </c>
      <c r="J50" s="18">
        <f>IFERROR(IF(OR(I50&gt;=K50,E50&gt;=K50),LOOKUP(IF(I50="",E50,I50),{0,1,2500,25000,250000,1250000,2500000},{0.0,2.95,2.95,2.772,1.746,1.228,1.224}),"MOQ="&amp;K50),"")</f>
        <v/>
      </c>
      <c r="K50" s="17">
        <v>2500</v>
      </c>
      <c r="L50" s="19">
        <f>IFERROR(IF(I50="",E50,I50)*J50,"")</f>
        <v/>
      </c>
      <c r="M50" s="20" t="s">
        <v>154</v>
      </c>
      <c r="N50" s="21" t="s">
        <v>174</v>
      </c>
      <c r="P50" s="18">
        <f>IFERROR(IF(OR(O50&gt;=Q50,E50&gt;=Q50),LOOKUP(IF(O50="",E50,O50),{0,1,10,25,100,250,500,1000,2500},{0.0,2.95,2.649,2.5044,2.1704,2.05904,1.84758,1.7535,1.7535}),"MOQ="&amp;Q50),"")</f>
        <v>2.1704</v>
      </c>
      <c r="Q50" s="17">
        <v>1</v>
      </c>
      <c r="R50" s="19">
        <f>IFERROR(IF(O50="",E50,O50)*P50,"")</f>
        <v>434.08</v>
      </c>
      <c r="S50" s="20" t="s">
        <v>233</v>
      </c>
      <c r="AF50" s="21" t="s">
        <v>174</v>
      </c>
      <c r="AH50" s="18">
        <f>IFERROR(IF(OR(AG50&gt;=AI50,E50&gt;=AI50),LOOKUP(IF(AG50="",E50,AG50),{0,1,10,50,100,1000,10000},{0.0,2.95,2.65,2.51,2.18,1.58,1.52}),"MOQ="&amp;AI50),"")</f>
        <v>2.18</v>
      </c>
      <c r="AI50" s="17">
        <v>1</v>
      </c>
      <c r="AJ50" s="19">
        <f>IFERROR(IF(AG50="",E50,AG50)*AH50,"")</f>
        <v>436.0</v>
      </c>
      <c r="AK50" s="20" t="s">
        <v>314</v>
      </c>
    </row>
    <row r="51" spans="1:55">
      <c r="A51" s="17" t="s">
        <v>156</v>
      </c>
      <c r="B51" s="17" t="s">
        <v>157</v>
      </c>
      <c r="C51" s="17" t="s">
        <v>158</v>
      </c>
      <c r="D51" s="17" t="s">
        <v>157</v>
      </c>
      <c r="E51" s="17">
        <f>CEILING(BoardQty*1.0,1)</f>
        <v>100</v>
      </c>
      <c r="F51" s="18">
        <f>IF(MIN(J51,P51,V51,AB51,AH51,AN51,AT51,AZ51)&lt;&gt;0,MIN(J51,P51,V51,AB51,AH51,AN51,AT51,AZ51),"")</f>
        <v>0.1902784377354117</v>
      </c>
      <c r="G51" s="19">
        <f>IF(AND(ISNUMBER(E51),ISNUMBER(F51)),E51*F51,"")</f>
        <v>19.0278</v>
      </c>
      <c r="H51" s="17">
        <v>113</v>
      </c>
      <c r="J51" s="18">
        <f>IFERROR(IF(OR(I51&gt;=K51,E51&gt;=K51),LOOKUP(IF(I51="",E51,I51),{0,1,1000,10000,100000,500000,1000000},{0.0,0.3566,0.3566,0.3547,0.3424,0.3342,0.3341}),"MOQ="&amp;K51),"")</f>
        <v/>
      </c>
      <c r="K51" s="17">
        <v>1000</v>
      </c>
      <c r="L51" s="19">
        <f>IFERROR(IF(I51="",E51,I51)*J51,"")</f>
        <v/>
      </c>
      <c r="M51" s="20" t="s">
        <v>192</v>
      </c>
      <c r="N51" s="17">
        <v>1000</v>
      </c>
      <c r="P51" s="18">
        <f>IFERROR(IF(OR(O51&gt;=Q51,E51&gt;=Q51),LOOKUP(IF(O51="",E51,O51),{0,1,10,100,500,1000,2000,5000},{0.0,0.97,0.857,0.657,0.5194,0.41552,0.37657,0.3675}),"MOQ="&amp;Q51),"")</f>
        <v>0.657</v>
      </c>
      <c r="Q51" s="17">
        <v>1</v>
      </c>
      <c r="R51" s="19">
        <f>IFERROR(IF(O51="",E51,O51)*P51,"")</f>
        <v>65.7</v>
      </c>
      <c r="S51" s="20" t="s">
        <v>234</v>
      </c>
      <c r="AF51" s="17">
        <v>3376</v>
      </c>
      <c r="AH51" s="18">
        <f>IFERROR(IF(OR(AG51&gt;=AI51,E51&gt;=AI51),LOOKUP(IF(AG51="",E51,AG51),{0,1,10,50,100,1000,10000},{0.0,0.97,0.857,0.857,0.635,0.415,0.371}),"MOQ="&amp;AI51),"")</f>
        <v>0.635</v>
      </c>
      <c r="AI51" s="17">
        <v>1</v>
      </c>
      <c r="AJ51" s="19">
        <f>IFERROR(IF(AG51="",E51,AG51)*AH51,"")</f>
        <v>63.5</v>
      </c>
      <c r="AK51" s="20" t="s">
        <v>315</v>
      </c>
      <c r="AX51" s="17">
        <v>302</v>
      </c>
      <c r="AZ51" s="18">
        <f>IFERROR(IF(OR(AY51&gt;=BA51,E51&gt;=BA51),USD_GBP*LOOKUP(IF(AY51="",E51,AY51),{0,1,2,10,50,250,1000},{0.0,0.3032,0.3032,0.1629,0.1343,0.1178,0.11}),"MOQ="&amp;BA51),"")</f>
        <v>0.1902784377354117</v>
      </c>
      <c r="BA51" s="17">
        <v>2</v>
      </c>
      <c r="BB51" s="19">
        <f>IFERROR(IF(AY51="",E51,AY51)*AZ51,"")</f>
        <v>19.0278</v>
      </c>
      <c r="BC51" s="20" t="s">
        <v>192</v>
      </c>
    </row>
    <row r="52" spans="1:55" ht="30" customHeight="1">
      <c r="A52" s="17" t="s">
        <v>159</v>
      </c>
      <c r="B52" s="17" t="s">
        <v>160</v>
      </c>
      <c r="C52" s="17" t="s">
        <v>161</v>
      </c>
      <c r="D52" s="17" t="s">
        <v>162</v>
      </c>
      <c r="E52" s="17">
        <f>CEILING(BoardQty*1.0,1)</f>
        <v>100</v>
      </c>
      <c r="F52" s="18">
        <f>IF(MIN(J52,P52,V52,AB52,AH52,AN52,AT52,AZ52)&lt;&gt;0,MIN(J52,P52,V52,AB52,AH52,AN52,AT52,AZ52),"")</f>
        <v>2.34</v>
      </c>
      <c r="G52" s="19">
        <f>IF(AND(ISNUMBER(E52),ISNUMBER(F52)),E52*F52,"")</f>
        <v>234.0</v>
      </c>
      <c r="H52" s="17">
        <v>1720</v>
      </c>
      <c r="J52" s="18">
        <f>IFERROR(IF(OR(I52&gt;=K52,E52&gt;=K52),LOOKUP(IF(I52="",E52,I52),{0,1,42,50,100,250,500,1000},{0.0,2.629,2.629,2.535,2.392,2.281,2.11,2.034}),"MOQ="&amp;K52),"")</f>
        <v>2.392</v>
      </c>
      <c r="K52" s="17">
        <v>42</v>
      </c>
      <c r="L52" s="19">
        <f>IFERROR(IF(I52="",E52,I52)*J52,"")</f>
        <v>239.2</v>
      </c>
      <c r="M52" s="20" t="s">
        <v>162</v>
      </c>
      <c r="N52" s="17">
        <v>7512</v>
      </c>
      <c r="P52" s="18">
        <f>IFERROR(IF(OR(O52&gt;=Q52,E52&gt;=Q52),LOOKUP(IF(O52="",E52,O52),{0,1,5,10,25,50,100,250,500},{0.0,2.86,2.822,2.782,2.6996,2.618,2.5361,2.45432,2.29068}),"MOQ="&amp;Q52),"")</f>
        <v>2.5361</v>
      </c>
      <c r="Q52" s="17">
        <v>1</v>
      </c>
      <c r="R52" s="19">
        <f>IFERROR(IF(O52="",E52,O52)*P52,"")</f>
        <v>253.61</v>
      </c>
      <c r="S52" s="20" t="s">
        <v>235</v>
      </c>
      <c r="T52" s="17">
        <v>4090</v>
      </c>
      <c r="V52" s="18">
        <f>IFERROR(IF(OR(U52&gt;=W52,E52&gt;=W52),USD_GBP*LOOKUP(IF(U52="",E52,U52),{0,1,5,10,20,50},{0.0,2.29,2.2,2.15,2.09,2.06}),"MOQ="&amp;W52),"")</f>
        <v>2.918641710610187</v>
      </c>
      <c r="W52" s="17">
        <v>1</v>
      </c>
      <c r="X52" s="19">
        <f>IFERROR(IF(U52="",E52,U52)*V52,"")</f>
        <v>291.8642</v>
      </c>
      <c r="Y52" s="20" t="s">
        <v>265</v>
      </c>
      <c r="AF52" s="17">
        <v>6</v>
      </c>
      <c r="AH52" s="18">
        <f>IFERROR(IF(OR(AG52&gt;=AI52,E52&gt;=AI52),LOOKUP(IF(AG52="",E52,AG52),{0,1,10,50,100,1000,10000},{0.0,2.79,2.76,2.59,2.51,2.18,2.02}),"MOQ="&amp;AI52),"")</f>
        <v>2.51</v>
      </c>
      <c r="AI52" s="17">
        <v>1</v>
      </c>
      <c r="AJ52" s="19">
        <f>IFERROR(IF(AG52="",E52,AG52)*AH52,"")</f>
        <v>251.0</v>
      </c>
      <c r="AK52" s="20" t="s">
        <v>316</v>
      </c>
      <c r="AL52" s="17">
        <v>483</v>
      </c>
      <c r="AN52" s="18">
        <f>IFERROR(IF(OR(AM52&gt;=AO52,E52&gt;=AO52),LOOKUP(IF(AM52="",E52,AM52),{0,1,10,25,50,100,250},{0.0,2.6,2.57,2.5,2.41,2.34,2.26}),"MOQ="&amp;AO52),"")</f>
        <v>2.34</v>
      </c>
      <c r="AO52" s="17">
        <v>1</v>
      </c>
      <c r="AP52" s="19">
        <f>IFERROR(IF(AM52="",E52,AM52)*AN52,"")</f>
        <v>234.0</v>
      </c>
      <c r="AQ52" s="20" t="s">
        <v>352</v>
      </c>
      <c r="AR52" s="17">
        <v>115</v>
      </c>
      <c r="AT52" s="18">
        <f>IFERROR(IF(OR(AS52&gt;=AU52,E52&gt;=AU52),USD_GBP*LOOKUP(IF(AS52="",E52,AS52),{0,1,5,10,25,50},{0.0,2.16,2.08,2.03,1.98,1.94}),"MOQ="&amp;AU52),"")</f>
        <v>2.7486237468853214</v>
      </c>
      <c r="AU52" s="17">
        <v>1</v>
      </c>
      <c r="AV52" s="19">
        <f>IFERROR(IF(AS52="",E52,AS52)*AT52,"")</f>
        <v>274.8624</v>
      </c>
      <c r="AW52" s="20" t="s">
        <v>371</v>
      </c>
      <c r="AX52" s="17">
        <v>7</v>
      </c>
      <c r="AZ52" s="18">
        <f>IFERROR(IF(OR(AY52&gt;=BA52,E52&gt;=BA52),USD_GBP*LOOKUP(IF(AY52="",E52,AY52),{0,1,42,126},{0.0,1.98,1.78,1.7}),"MOQ="&amp;BA52),"")</f>
        <v>2.5219331285855016</v>
      </c>
      <c r="BA52" s="17">
        <v>1</v>
      </c>
      <c r="BB52" s="19">
        <f>IFERROR(IF(AY52="",E52,AY52)*AZ52,"")</f>
        <v>252.1933</v>
      </c>
      <c r="BC52" s="20" t="s">
        <v>162</v>
      </c>
    </row>
    <row r="53" spans="1:55" ht="30" customHeight="1">
      <c r="A53" s="17" t="s">
        <v>163</v>
      </c>
      <c r="B53" s="17" t="s">
        <v>164</v>
      </c>
      <c r="C53" s="17" t="s">
        <v>161</v>
      </c>
      <c r="D53" s="17" t="s">
        <v>164</v>
      </c>
      <c r="E53" s="17">
        <f>CEILING(BoardQty*1.0,1)</f>
        <v>100</v>
      </c>
      <c r="F53" s="18">
        <f>IF(MIN(J53,P53,V53,AB53,AH53,AN53,AT53,AZ53)&lt;&gt;0,MIN(J53,P53,V53,AB53,AH53,AN53,AT53,AZ53),"")</f>
        <v>2.92</v>
      </c>
      <c r="G53" s="19">
        <f>IF(AND(ISNUMBER(E53),ISNUMBER(F53)),E53*F53,"")</f>
        <v>292.0</v>
      </c>
      <c r="H53" s="21" t="s">
        <v>174</v>
      </c>
      <c r="J53" s="18">
        <f>IFERROR(IF(OR(I53&gt;=K53,E53&gt;=K53),LOOKUP(IF(I53="",E53,I53),{0,1,40,400,4000,20000,40000},{0.0,3.57,3.57,3.442,2.691,2.297,2.293}),"MOQ="&amp;K53),"")</f>
        <v>3.57</v>
      </c>
      <c r="K53" s="17">
        <v>40</v>
      </c>
      <c r="L53" s="19">
        <f>IFERROR(IF(I53="",E53,I53)*J53,"")</f>
        <v>357.0</v>
      </c>
      <c r="M53" s="20" t="s">
        <v>164</v>
      </c>
      <c r="N53" s="17">
        <v>44</v>
      </c>
      <c r="P53" s="18">
        <f>IFERROR(IF(OR(O53&gt;=Q53,E53&gt;=Q53),LOOKUP(IF(O53="",E53,O53),{0,1,5,10,25,50,100,250,500,1000},{0.0,3.81,3.79,3.76,3.72,3.63,3.45,3.23,3.01,2.82001}),"MOQ="&amp;Q53),"")</f>
        <v>3.45</v>
      </c>
      <c r="Q53" s="17">
        <v>1</v>
      </c>
      <c r="R53" s="19">
        <f>IFERROR(IF(O53="",E53,O53)*P53,"")</f>
        <v>345.0</v>
      </c>
      <c r="S53" s="20" t="s">
        <v>236</v>
      </c>
      <c r="T53" s="17">
        <v>92</v>
      </c>
      <c r="V53" s="18">
        <f>IFERROR(IF(OR(U53&gt;=W53,E53&gt;=W53),USD_GBP*LOOKUP(IF(U53="",E53,U53),{0,1,5,10,20,50},{0.0,2.82,2.81,2.79,2.74,2.69}),"MOQ="&amp;W53),"")</f>
        <v>3.8112360201657296</v>
      </c>
      <c r="W53" s="17">
        <v>1</v>
      </c>
      <c r="X53" s="19">
        <f>IFERROR(IF(U53="",E53,U53)*V53,"")</f>
        <v>381.1236</v>
      </c>
      <c r="Y53" s="20" t="s">
        <v>266</v>
      </c>
      <c r="AF53" s="17">
        <v>241</v>
      </c>
      <c r="AH53" s="18">
        <f>IFERROR(IF(OR(AG53&gt;=AI53,E53&gt;=AI53),LOOKUP(IF(AG53="",E53,AG53),{0,1,10,50,100,1000,10000},{0.0,3.49,3.29,3.08,2.92,2.52,2.52}),"MOQ="&amp;AI53),"")</f>
        <v>2.92</v>
      </c>
      <c r="AI53" s="17">
        <v>1</v>
      </c>
      <c r="AJ53" s="19">
        <f>IFERROR(IF(AG53="",E53,AG53)*AH53,"")</f>
        <v>292.0</v>
      </c>
      <c r="AK53" s="20" t="s">
        <v>317</v>
      </c>
      <c r="AL53" s="17">
        <v>91</v>
      </c>
      <c r="AN53" s="18">
        <f>IFERROR(IF(OR(AM53&gt;=AO53,E53&gt;=AO53),LOOKUP(IF(AM53="",E53,AM53),{0,1,10,25,50,100,250},{0.0,4.23,4.18,4.14,4.05,3.87,3.65}),"MOQ="&amp;AO53),"")</f>
        <v>3.87</v>
      </c>
      <c r="AO53" s="17">
        <v>1</v>
      </c>
      <c r="AP53" s="19">
        <f>IFERROR(IF(AM53="",E53,AM53)*AN53,"")</f>
        <v>387.0</v>
      </c>
      <c r="AQ53" s="20" t="s">
        <v>353</v>
      </c>
      <c r="AR53" s="17">
        <v>98</v>
      </c>
      <c r="AT53" s="18">
        <f>IFERROR(IF(OR(AS53&gt;=AU53,E53&gt;=AU53),USD_GBP*LOOKUP(IF(AS53="",E53,AS53),{0,1,5,10,25,50},{0.0,3.12,3.0,2.94,2.87,2.81}),"MOQ="&amp;AU53),"")</f>
        <v>3.981253983890595</v>
      </c>
      <c r="AU53" s="17">
        <v>1</v>
      </c>
      <c r="AV53" s="19">
        <f>IFERROR(IF(AS53="",E53,AS53)*AT53,"")</f>
        <v>398.1254</v>
      </c>
      <c r="AW53" s="20" t="s">
        <v>372</v>
      </c>
    </row>
    <row r="54" spans="1:55">
      <c r="A54" s="17" t="s">
        <v>165</v>
      </c>
      <c r="B54" s="17" t="s">
        <v>166</v>
      </c>
      <c r="C54" s="17" t="s">
        <v>167</v>
      </c>
      <c r="D54" s="17" t="s">
        <v>168</v>
      </c>
      <c r="E54" s="17">
        <f>CEILING(BoardQty*1.0,1)</f>
        <v>100</v>
      </c>
      <c r="F54" s="18">
        <f>IF(MIN(J54,P54,V54,AB54,AH54,AN54,AT54,AZ54)&lt;&gt;0,MIN(J54,P54,V54,AB54,AH54,AN54,AT54,AZ54),"")</f>
        <v>0.338</v>
      </c>
      <c r="G54" s="19">
        <f>IF(AND(ISNUMBER(E54),ISNUMBER(F54)),E54*F54,"")</f>
        <v>33.8</v>
      </c>
      <c r="N54" s="17">
        <v>852</v>
      </c>
      <c r="P54" s="18">
        <f>IFERROR(IF(OR(O54&gt;=Q54,E54&gt;=Q54),LOOKUP(IF(O54="",E54,O54),{0,1,10,50,100,500,1000},{0.0,0.51,0.422,0.3802,0.338,0.3211,0.2704}),"MOQ="&amp;Q54),"")</f>
        <v>0.338</v>
      </c>
      <c r="Q54" s="17">
        <v>1</v>
      </c>
      <c r="R54" s="19">
        <f>IFERROR(IF(O54="",E54,O54)*P54,"")</f>
        <v>33.8</v>
      </c>
      <c r="S54" s="20" t="s">
        <v>237</v>
      </c>
      <c r="AF54" s="17">
        <v>1000</v>
      </c>
      <c r="AH54" s="18">
        <f>IFERROR(IF(OR(AG54&gt;=AI54,E54&gt;=AI54),LOOKUP(IF(AG54="",E54,AG54),{0,1,10,50,100,1000,10000},{0.0,0.51,0.422,0.381,0.338,0.283,0.169}),"MOQ="&amp;AI54),"")</f>
        <v>0.338</v>
      </c>
      <c r="AI54" s="17">
        <v>1</v>
      </c>
      <c r="AJ54" s="19">
        <f>IFERROR(IF(AG54="",E54,AG54)*AH54,"")</f>
        <v>33.8</v>
      </c>
      <c r="AK54" s="20" t="s">
        <v>318</v>
      </c>
    </row>
    <row r="56" spans="1:55">
      <c r="B56" s="22" t="s">
        <v>378</v>
      </c>
      <c r="F56" s="1" t="s">
        <v>376</v>
      </c>
      <c r="G56" s="5">
        <f>SUM(K56,Q56,W56,AC56,AI56,AO56,AU56,BA56)</f>
        <v>0</v>
      </c>
      <c r="H56" s="20" t="s">
        <v>193</v>
      </c>
      <c r="I56" s="6">
        <f>IFERROR(IF(COUNTIF(I7:I54,"&gt;0")&gt;0,COUNTIF(I7:I54,"&gt;0")&amp;" of "&amp;(ROWS(K7:K54)-COUNTBLANK(K7:K54))&amp;" parts purchased",""),"")</f>
        <v/>
      </c>
      <c r="L56" s="5">
        <f>SUMIF(I7:I54,"&gt;0",L7:L54)</f>
        <v>0</v>
      </c>
      <c r="N56" s="20" t="s">
        <v>193</v>
      </c>
      <c r="O56" s="6">
        <f>IFERROR(IF(COUNTIF(O7:O54,"&gt;0")&gt;0,COUNTIF(O7:O54,"&gt;0")&amp;" of "&amp;(ROWS(Q7:Q54)-COUNTBLANK(Q7:Q54))&amp;" parts purchased",""),"")</f>
        <v/>
      </c>
      <c r="R56" s="5">
        <f>SUMIF(O7:O54,"&gt;0",R7:R54)</f>
        <v>0</v>
      </c>
      <c r="T56" s="20" t="s">
        <v>193</v>
      </c>
      <c r="U56" s="6">
        <f>IFERROR(IF(COUNTIF(U7:U54,"&gt;0")&gt;0,COUNTIF(U7:U54,"&gt;0")&amp;" of "&amp;(ROWS(W7:W54)-COUNTBLANK(W7:W54))&amp;" parts purchased",""),"")</f>
        <v/>
      </c>
      <c r="X56" s="5">
        <f>SUMIF(U7:U54,"&gt;0",X7:X54)</f>
        <v>0</v>
      </c>
      <c r="Z56" s="20" t="s">
        <v>193</v>
      </c>
      <c r="AA56" s="6">
        <f>IFERROR(IF(COUNTIF(AA7:AA54,"&gt;0")&gt;0,COUNTIF(AA7:AA54,"&gt;0")&amp;" of "&amp;(ROWS(AC7:AC54)-COUNTBLANK(AC7:AC54))&amp;" parts purchased",""),"")</f>
        <v/>
      </c>
      <c r="AD56" s="5">
        <f>SUMIF(AA7:AA54,"&gt;0",AD7:AD54)</f>
        <v>0</v>
      </c>
      <c r="AF56" s="20" t="s">
        <v>193</v>
      </c>
      <c r="AG56" s="6">
        <f>IFERROR(IF(COUNTIF(AG7:AG54,"&gt;0")&gt;0,COUNTIF(AG7:AG54,"&gt;0")&amp;" of "&amp;(ROWS(AI7:AI54)-COUNTBLANK(AI7:AI54))&amp;" parts purchased",""),"")</f>
        <v/>
      </c>
      <c r="AJ56" s="5">
        <f>SUMIF(AG7:AG54,"&gt;0",AJ7:AJ54)</f>
        <v>0</v>
      </c>
      <c r="AL56" s="20" t="s">
        <v>193</v>
      </c>
      <c r="AM56" s="6">
        <f>IFERROR(IF(COUNTIF(AM7:AM54,"&gt;0")&gt;0,COUNTIF(AM7:AM54,"&gt;0")&amp;" of "&amp;(ROWS(AO7:AO54)-COUNTBLANK(AO7:AO54))&amp;" parts purchased",""),"")</f>
        <v/>
      </c>
      <c r="AP56" s="5">
        <f>SUMIF(AM7:AM54,"&gt;0",AP7:AP54)</f>
        <v>0</v>
      </c>
      <c r="AR56" s="20" t="s">
        <v>193</v>
      </c>
      <c r="AS56" s="6">
        <f>IFERROR(IF(COUNTIF(AS7:AS54,"&gt;0")&gt;0,COUNTIF(AS7:AS54,"&gt;0")&amp;" of "&amp;(ROWS(AU7:AU54)-COUNTBLANK(AU7:AU54))&amp;" parts purchased",""),"")</f>
        <v/>
      </c>
      <c r="AV56" s="5">
        <f>SUMIF(AS7:AS54,"&gt;0",AV7:AV54)</f>
        <v>0</v>
      </c>
      <c r="AX56" s="20" t="s">
        <v>193</v>
      </c>
      <c r="AY56" s="6">
        <f>IFERROR(IF(COUNTIF(AY7:AY54,"&gt;0")&gt;0,COUNTIF(AY7:AY54,"&gt;0")&amp;" of "&amp;(ROWS(BA7:BA54)-COUNTBLANK(BA7:BA54))&amp;" parts purchased",""),"")</f>
        <v/>
      </c>
      <c r="BB56" s="5">
        <f>SUMIF(AY7:AY54,"&gt;0",BB7:BB54)</f>
        <v>0</v>
      </c>
    </row>
    <row r="57" spans="1:55">
      <c r="B57" s="22" t="s">
        <v>379</v>
      </c>
      <c r="C57">
        <v>1.416816364373877</v>
      </c>
      <c r="F57" s="22" t="s">
        <v>377</v>
      </c>
      <c r="I57" s="23">
        <f>CONCATENATE(I106,I107,I108,I109,I110,I111,I112,I113,I114,I115,I116,I117,I118,I119,I120,I121,I122,I123,I124,I125,I126,I127,I128,I129,I130,I131,I132,I133,I134,I135,I136,I137,I138,I139,I140,I141,I142,I143,I144,I145,I146,I147,I148,I149,I150,I151,I152,I153)</f>
        <v/>
      </c>
      <c r="O57" s="23">
        <f>CONCATENATE(O106,O107,O108,O109,O110,O111,O112,O113,O114,O115,O116,O117,O118,O119,O120,O121,O122,O123,O124,O125,O126,O127,O128,O129,O130,O131,O132,O133,O134,O135,O136,O137,O138,O139,O140,O141,O142,O143,O144,O145,O146,O147,O148,O149,O150,O151,O152,O153)</f>
        <v/>
      </c>
      <c r="U57" s="23">
        <f>CONCATENATE(U106,U107,U108,U109,U110,U111,U112,U113,U114,U115,U116,U117,U118,U119,U120,U121,U122,U123,U124,U125,U126,U127,U128,U129,U130,U131,U132,U133,U134,U135,U136,U137,U138,U139,U140,U141,U142,U143,U144,U145,U146,U147,U148,U149,U150,U151,U152,U153)</f>
        <v/>
      </c>
      <c r="AA57" s="23" t="str">
        <f>CONCATENATE(AA154,AA106,AA107,AA108,AA109,AA110,AA111,AA112,AA113,AA114,AA115,AA116,AA117,AA118,AA119,AA120,AA121,AA122,AA123,AA124,AA125,AA126,AA127,AA128,AA129,AA130,AA131,AA132,AA133,AA134,AA135,AA136,AA137,AA138,AA139,AA140,AA141,AA142,AA143,AA144,AA145,AA146,AA147,AA148,AA149,AA150,AA151,AA152,AA153)</f>
        <v>Copy this header and order to a CSV
file and use it for JLCPCB 
manufacturer PCB house.
The multipart components that use
"#" symbol are not allowed by JLCPCB.</v>
      </c>
      <c r="AG57" s="23">
        <f>CONCATENATE(AG106,AG107,AG108,AG109,AG110,AG111,AG112,AG113,AG114,AG115,AG116,AG117,AG118,AG119,AG120,AG121,AG122,AG123,AG124,AG125,AG126,AG127,AG128,AG129,AG130,AG131,AG132,AG133,AG134,AG135,AG136,AG137,AG138,AG139,AG140,AG141,AG142,AG143,AG144,AG145,AG146,AG147,AG148,AG149,AG150,AG151,AG152,AG153)</f>
        <v/>
      </c>
      <c r="AM57" s="23">
        <f>CONCATENATE(AM106,AM107,AM108,AM109,AM110,AM111,AM112,AM113,AM114,AM115,AM116,AM117,AM118,AM119,AM120,AM121,AM122,AM123,AM124,AM125,AM126,AM127,AM128,AM129,AM130,AM131,AM132,AM133,AM134,AM135,AM136,AM137,AM138,AM139,AM140,AM141,AM142,AM143,AM144,AM145,AM146,AM147,AM148,AM149,AM150,AM151,AM152,AM153)</f>
        <v/>
      </c>
      <c r="AS57" s="23">
        <f>CONCATENATE(AS106,AS107,AS108,AS109,AS110,AS111,AS112,AS113,AS114,AS115,AS116,AS117,AS118,AS119,AS120,AS121,AS122,AS123,AS124,AS125,AS126,AS127,AS128,AS129,AS130,AS131,AS132,AS133,AS134,AS135,AS136,AS137,AS138,AS139,AS140,AS141,AS142,AS143,AS144,AS145,AS146,AS147,AS148,AS149,AS150,AS151,AS152,AS153)</f>
        <v/>
      </c>
      <c r="AY57" s="23">
        <f>CONCATENATE(AY106,AY107,AY108,AY109,AY110,AY111,AY112,AY113,AY114,AY115,AY116,AY117,AY118,AY119,AY120,AY121,AY122,AY123,AY124,AY125,AY126,AY127,AY128,AY129,AY130,AY131,AY132,AY133,AY134,AY135,AY136,AY137,AY138,AY139,AY140,AY141,AY142,AY143,AY144,AY145,AY146,AY147,AY148,AY149,AY150,AY151,AY152,AY153)</f>
        <v/>
      </c>
    </row>
    <row r="59" spans="1:55">
      <c r="A59" s="2" t="s">
        <v>390</v>
      </c>
    </row>
    <row r="106" spans="9:51" ht="30" hidden="1" customHeight="1">
      <c r="I106" t="str">
        <f t="array" ref="I106:I153">IF(ISNUMBER(I7:I54)*(I7:I54&gt;=K7:K54)*(M7:M54&lt;&gt;""),M7:M54&amp;","&amp;TEXT(ROUNDUP(I7:I54/IF(ISNUMBER(K7:K54),K7:K54,1))*K7:K54,"##0")&amp;","&amp;SUBSTITUTE(IF(PURCHASE_DESCRIPTION&lt;&gt;"",PURCHASE_DESCRIPTION&amp;":","")&amp;A7:A54,",",";")&amp;CHAR(10),"")</f>
        <v/>
      </c>
      <c r="O106" t="str">
        <f t="array" ref="O106:O153">IF(ISNUMBER(O7:O54)*(O7:O54&gt;=Q7:Q54)*(S7:S54&lt;&gt;""),TEXT(ROUNDUP(O7:O54/IF(ISNUMBER(Q7:Q54),Q7:Q54,1))*Q7:Q54,"##0")&amp;","&amp;S7:S54&amp;","&amp;SUBSTITUTE(IF(PURCHASE_DESCRIPTION&lt;&gt;"",PURCHASE_DESCRIPTION&amp;":","")&amp;A7:A54,",",";")&amp;CHAR(10),"")</f>
        <v/>
      </c>
      <c r="U106" t="str">
        <f t="array" ref="U106:U153">IF(ISNUMBER(U7:U54)*(U7:U54&gt;=W7:W54)*(Y7:Y54&lt;&gt;""),Y7:Y54&amp;","&amp;TEXT(ROUNDUP(U7:U54/IF(ISNUMBER(W7:W54),W7:W54,1))*W7:W54,"##0")&amp;","&amp;""&amp;","&amp;LEFT(SUBSTITUTE(SUBSTITUTE(IF(PURCHASE_DESCRIPTION&lt;&gt;"",PURCHASE_DESCRIPTION&amp;":","")&amp;A7:A54,",",";"),"
",";"),30)&amp;CHAR(10),"")</f>
        <v/>
      </c>
      <c r="AA106" t="str">
        <f t="array" ref="AA106:AA153">IF(ISNUMBER(AA7:AA54)*(AA7:AA54&gt;=AC7:AC54)*(AE7:AE54&lt;&gt;""),TEXT(ROUNDUP(AA7:AA54/IF(ISNUMBER(AC7:AC54),AC7:AC54,1))*AC7:AC54,"##0")&amp;","&amp;SUBSTITUTE(IF(PURCHASE_DESCRIPTION&lt;&gt;"",PURCHASE_DESCRIPTION&amp;":","")&amp;A7:A54,",",";")&amp;","&amp;SUBSTITUTE(IF(PURCHASE_DESCRIPTION&lt;&gt;"",PURCHASE_DESCRIPTION&amp;":","")&amp;C7:C54,",",";")&amp;","&amp;AE7:AE54&amp;CHAR(10),"")</f>
        <v/>
      </c>
      <c r="AG106" t="str">
        <f t="array" ref="AG106:AG153">IF(ISNUMBER(AG7:AG54)*(AG7:AG54&gt;=AI7:AI54)*(AK7:AK54&lt;&gt;""),AK7:AK54&amp;"|"&amp;TEXT(ROUNDUP(AG7:AG54/IF(ISNUMBER(AI7:AI54),AI7:AI54,1))*AI7:AI54,"##0")&amp;"|"&amp;SUBSTITUTE(SUBSTITUTE(IF(PURCHASE_DESCRIPTION&lt;&gt;"",PURCHASE_DESCRIPTION&amp;":","")&amp;A7:A54,"|",";")," ","_")&amp;CHAR(10),"")</f>
        <v/>
      </c>
      <c r="AM106" t="str">
        <f t="array" ref="AM106:AM153">IF(ISNUMBER(AM7:AM54)*(AM7:AM54&gt;=AO7:AO54)*(AQ7:AQ54&lt;&gt;""),AQ7:AQ54&amp;","&amp;TEXT(ROUNDUP(AM7:AM54/IF(ISNUMBER(AO7:AO54),AO7:AO54,1))*AO7:AO54,"##0")&amp;","&amp;SUBSTITUTE(SUBSTITUTE(IF(PURCHASE_DESCRIPTION&lt;&gt;"",PURCHASE_DESCRIPTION&amp;":","")&amp;A7:A54,",",";"),"
",";")&amp;","&amp;""&amp;CHAR(10),"")</f>
        <v/>
      </c>
      <c r="AS106" t="str">
        <f t="array" ref="AS106:AS153">IF(ISNUMBER(AS7:AS54)*(AS7:AS54&gt;=AU7:AU54)*(AW7:AW54&lt;&gt;""),AW7:AW54&amp;","&amp;TEXT(ROUNDUP(AS7:AS54/IF(ISNUMBER(AU7:AU54),AU7:AU54,1))*AU7:AU54,"##0")&amp;","&amp;""&amp;","&amp;""&amp;","&amp;""&amp;","&amp;D7:D54&amp;","&amp;SUBSTITUTE(IF(PURCHASE_DESCRIPTION&lt;&gt;"",PURCHASE_DESCRIPTION&amp;":","")&amp;A7:A54,",",";")&amp;CHAR(10),"")</f>
        <v/>
      </c>
      <c r="AY106" t="str">
        <f t="array" ref="AY106:AY153">IF(ISNUMBER(AY7:AY54)*(AY7:AY54&gt;=BA7:BA54)*(BC7:BC54&lt;&gt;""),BC7:BC54&amp;" "&amp;TEXT(ROUNDUP(AY7:AY54/IF(ISNUMBER(BA7:BA54),BA7:BA54,1))*BA7:BA54,"##0")&amp;" "&amp;SUBSTITUTE(IF(PURCHASE_DESCRIPTION&lt;&gt;"",PURCHASE_DESCRIPTION&amp;":","")&amp;A7:A54," ",";")&amp;CHAR(10),"")</f>
        <v/>
      </c>
    </row>
    <row r="107" spans="9:51" ht="30" hidden="1" customHeight="1">
      <c r="I107">
        <v>0</v>
      </c>
      <c r="O107">
        <v>0</v>
      </c>
      <c r="U107">
        <v>0</v>
      </c>
      <c r="AA107">
        <v>0</v>
      </c>
      <c r="AG107">
        <v>0</v>
      </c>
      <c r="AM107">
        <v>0</v>
      </c>
      <c r="AS107">
        <v>0</v>
      </c>
      <c r="AY107">
        <v>0</v>
      </c>
    </row>
    <row r="108" spans="9:51" ht="30" hidden="1" customHeight="1">
      <c r="I108">
        <v>0</v>
      </c>
      <c r="O108">
        <v>0</v>
      </c>
      <c r="U108">
        <v>0</v>
      </c>
      <c r="AA108">
        <v>0</v>
      </c>
      <c r="AG108">
        <v>0</v>
      </c>
      <c r="AM108">
        <v>0</v>
      </c>
      <c r="AS108">
        <v>0</v>
      </c>
      <c r="AY108">
        <v>0</v>
      </c>
    </row>
    <row r="109" spans="9:51" ht="30" hidden="1" customHeight="1">
      <c r="I109">
        <v>0</v>
      </c>
      <c r="O109">
        <v>0</v>
      </c>
      <c r="U109">
        <v>0</v>
      </c>
      <c r="AA109">
        <v>0</v>
      </c>
      <c r="AG109">
        <v>0</v>
      </c>
      <c r="AM109">
        <v>0</v>
      </c>
      <c r="AS109">
        <v>0</v>
      </c>
      <c r="AY109">
        <v>0</v>
      </c>
    </row>
    <row r="110" spans="9:51" ht="30" hidden="1" customHeight="1">
      <c r="I110">
        <v>0</v>
      </c>
      <c r="O110">
        <v>0</v>
      </c>
      <c r="U110">
        <v>0</v>
      </c>
      <c r="AA110">
        <v>0</v>
      </c>
      <c r="AG110">
        <v>0</v>
      </c>
      <c r="AM110">
        <v>0</v>
      </c>
      <c r="AS110">
        <v>0</v>
      </c>
      <c r="AY110">
        <v>0</v>
      </c>
    </row>
    <row r="111" spans="9:51" ht="30" hidden="1" customHeight="1">
      <c r="I111">
        <v>0</v>
      </c>
      <c r="O111">
        <v>0</v>
      </c>
      <c r="U111">
        <v>0</v>
      </c>
      <c r="AA111">
        <v>0</v>
      </c>
      <c r="AG111">
        <v>0</v>
      </c>
      <c r="AM111">
        <v>0</v>
      </c>
      <c r="AS111">
        <v>0</v>
      </c>
      <c r="AY111">
        <v>0</v>
      </c>
    </row>
    <row r="112" spans="9:51" ht="30" hidden="1" customHeight="1">
      <c r="I112">
        <v>0</v>
      </c>
      <c r="O112">
        <v>0</v>
      </c>
      <c r="U112">
        <v>0</v>
      </c>
      <c r="AA112">
        <v>0</v>
      </c>
      <c r="AG112">
        <v>0</v>
      </c>
      <c r="AM112">
        <v>0</v>
      </c>
      <c r="AS112">
        <v>0</v>
      </c>
      <c r="AY112">
        <v>0</v>
      </c>
    </row>
    <row r="113" spans="9:51" ht="30" hidden="1" customHeight="1">
      <c r="I113">
        <v>0</v>
      </c>
      <c r="O113">
        <v>0</v>
      </c>
      <c r="U113">
        <v>0</v>
      </c>
      <c r="AA113">
        <v>0</v>
      </c>
      <c r="AG113">
        <v>0</v>
      </c>
      <c r="AM113">
        <v>0</v>
      </c>
      <c r="AS113">
        <v>0</v>
      </c>
      <c r="AY113">
        <v>0</v>
      </c>
    </row>
    <row r="114" spans="9:51" ht="30" hidden="1" customHeight="1">
      <c r="I114">
        <v>0</v>
      </c>
      <c r="O114">
        <v>0</v>
      </c>
      <c r="U114">
        <v>0</v>
      </c>
      <c r="AA114">
        <v>0</v>
      </c>
      <c r="AG114">
        <v>0</v>
      </c>
      <c r="AM114">
        <v>0</v>
      </c>
      <c r="AS114">
        <v>0</v>
      </c>
      <c r="AY114">
        <v>0</v>
      </c>
    </row>
    <row r="115" spans="9:51" ht="30" hidden="1" customHeight="1">
      <c r="I115">
        <v>0</v>
      </c>
      <c r="O115">
        <v>0</v>
      </c>
      <c r="U115">
        <v>0</v>
      </c>
      <c r="AA115">
        <v>0</v>
      </c>
      <c r="AG115">
        <v>0</v>
      </c>
      <c r="AM115">
        <v>0</v>
      </c>
      <c r="AS115">
        <v>0</v>
      </c>
      <c r="AY115">
        <v>0</v>
      </c>
    </row>
    <row r="116" spans="9:51" ht="30" hidden="1" customHeight="1">
      <c r="I116">
        <v>0</v>
      </c>
      <c r="O116">
        <v>0</v>
      </c>
      <c r="U116">
        <v>0</v>
      </c>
      <c r="AA116">
        <v>0</v>
      </c>
      <c r="AG116">
        <v>0</v>
      </c>
      <c r="AM116">
        <v>0</v>
      </c>
      <c r="AS116">
        <v>0</v>
      </c>
      <c r="AY116">
        <v>0</v>
      </c>
    </row>
    <row r="117" spans="9:51" ht="30" hidden="1" customHeight="1">
      <c r="I117">
        <v>0</v>
      </c>
      <c r="O117">
        <v>0</v>
      </c>
      <c r="U117">
        <v>0</v>
      </c>
      <c r="AA117">
        <v>0</v>
      </c>
      <c r="AG117">
        <v>0</v>
      </c>
      <c r="AM117">
        <v>0</v>
      </c>
      <c r="AS117">
        <v>0</v>
      </c>
      <c r="AY117">
        <v>0</v>
      </c>
    </row>
    <row r="118" spans="9:51" ht="30" hidden="1" customHeight="1">
      <c r="I118">
        <v>0</v>
      </c>
      <c r="O118">
        <v>0</v>
      </c>
      <c r="U118">
        <v>0</v>
      </c>
      <c r="AA118">
        <v>0</v>
      </c>
      <c r="AG118">
        <v>0</v>
      </c>
      <c r="AM118">
        <v>0</v>
      </c>
      <c r="AS118">
        <v>0</v>
      </c>
      <c r="AY118">
        <v>0</v>
      </c>
    </row>
    <row r="119" spans="9:51" ht="30" hidden="1" customHeight="1">
      <c r="I119">
        <v>0</v>
      </c>
      <c r="O119">
        <v>0</v>
      </c>
      <c r="U119">
        <v>0</v>
      </c>
      <c r="AA119">
        <v>0</v>
      </c>
      <c r="AG119">
        <v>0</v>
      </c>
      <c r="AM119">
        <v>0</v>
      </c>
      <c r="AS119">
        <v>0</v>
      </c>
      <c r="AY119">
        <v>0</v>
      </c>
    </row>
    <row r="120" spans="9:51" ht="30" hidden="1" customHeight="1">
      <c r="I120">
        <v>0</v>
      </c>
      <c r="O120">
        <v>0</v>
      </c>
      <c r="U120">
        <v>0</v>
      </c>
      <c r="AA120">
        <v>0</v>
      </c>
      <c r="AG120">
        <v>0</v>
      </c>
      <c r="AM120">
        <v>0</v>
      </c>
      <c r="AS120">
        <v>0</v>
      </c>
      <c r="AY120">
        <v>0</v>
      </c>
    </row>
    <row r="121" spans="9:51" ht="30" hidden="1" customHeight="1">
      <c r="I121">
        <v>0</v>
      </c>
      <c r="O121">
        <v>0</v>
      </c>
      <c r="U121">
        <v>0</v>
      </c>
      <c r="AA121">
        <v>0</v>
      </c>
      <c r="AG121">
        <v>0</v>
      </c>
      <c r="AM121">
        <v>0</v>
      </c>
      <c r="AS121">
        <v>0</v>
      </c>
      <c r="AY121">
        <v>0</v>
      </c>
    </row>
    <row r="122" spans="9:51" ht="30" hidden="1" customHeight="1">
      <c r="I122">
        <v>0</v>
      </c>
      <c r="O122">
        <v>0</v>
      </c>
      <c r="U122">
        <v>0</v>
      </c>
      <c r="AA122">
        <v>0</v>
      </c>
      <c r="AG122">
        <v>0</v>
      </c>
      <c r="AM122">
        <v>0</v>
      </c>
      <c r="AS122">
        <v>0</v>
      </c>
      <c r="AY122">
        <v>0</v>
      </c>
    </row>
    <row r="123" spans="9:51" ht="30" hidden="1" customHeight="1">
      <c r="I123">
        <v>0</v>
      </c>
      <c r="O123">
        <v>0</v>
      </c>
      <c r="U123">
        <v>0</v>
      </c>
      <c r="AA123">
        <v>0</v>
      </c>
      <c r="AG123">
        <v>0</v>
      </c>
      <c r="AM123">
        <v>0</v>
      </c>
      <c r="AS123">
        <v>0</v>
      </c>
      <c r="AY123">
        <v>0</v>
      </c>
    </row>
    <row r="124" spans="9:51" ht="30" hidden="1" customHeight="1">
      <c r="I124">
        <v>0</v>
      </c>
      <c r="O124">
        <v>0</v>
      </c>
      <c r="U124">
        <v>0</v>
      </c>
      <c r="AA124">
        <v>0</v>
      </c>
      <c r="AG124">
        <v>0</v>
      </c>
      <c r="AM124">
        <v>0</v>
      </c>
      <c r="AS124">
        <v>0</v>
      </c>
      <c r="AY124">
        <v>0</v>
      </c>
    </row>
    <row r="125" spans="9:51" ht="30" hidden="1" customHeight="1">
      <c r="I125">
        <v>0</v>
      </c>
      <c r="O125">
        <v>0</v>
      </c>
      <c r="U125">
        <v>0</v>
      </c>
      <c r="AA125">
        <v>0</v>
      </c>
      <c r="AG125">
        <v>0</v>
      </c>
      <c r="AM125">
        <v>0</v>
      </c>
      <c r="AS125">
        <v>0</v>
      </c>
      <c r="AY125">
        <v>0</v>
      </c>
    </row>
    <row r="126" spans="9:51" ht="30" hidden="1" customHeight="1">
      <c r="I126">
        <v>0</v>
      </c>
      <c r="O126">
        <v>0</v>
      </c>
      <c r="U126">
        <v>0</v>
      </c>
      <c r="AA126">
        <v>0</v>
      </c>
      <c r="AG126">
        <v>0</v>
      </c>
      <c r="AM126">
        <v>0</v>
      </c>
      <c r="AS126">
        <v>0</v>
      </c>
      <c r="AY126">
        <v>0</v>
      </c>
    </row>
    <row r="127" spans="9:51" ht="30" hidden="1" customHeight="1">
      <c r="I127">
        <v>0</v>
      </c>
      <c r="O127">
        <v>0</v>
      </c>
      <c r="U127">
        <v>0</v>
      </c>
      <c r="AA127">
        <v>0</v>
      </c>
      <c r="AG127">
        <v>0</v>
      </c>
      <c r="AM127">
        <v>0</v>
      </c>
      <c r="AS127">
        <v>0</v>
      </c>
      <c r="AY127">
        <v>0</v>
      </c>
    </row>
    <row r="128" spans="9:51" ht="30" hidden="1" customHeight="1">
      <c r="I128">
        <v>0</v>
      </c>
      <c r="O128">
        <v>0</v>
      </c>
      <c r="U128">
        <v>0</v>
      </c>
      <c r="AA128">
        <v>0</v>
      </c>
      <c r="AG128">
        <v>0</v>
      </c>
      <c r="AM128">
        <v>0</v>
      </c>
      <c r="AS128">
        <v>0</v>
      </c>
      <c r="AY128">
        <v>0</v>
      </c>
    </row>
    <row r="129" spans="9:51" ht="30" hidden="1" customHeight="1">
      <c r="I129">
        <v>0</v>
      </c>
      <c r="O129">
        <v>0</v>
      </c>
      <c r="U129">
        <v>0</v>
      </c>
      <c r="AA129">
        <v>0</v>
      </c>
      <c r="AG129">
        <v>0</v>
      </c>
      <c r="AM129">
        <v>0</v>
      </c>
      <c r="AS129">
        <v>0</v>
      </c>
      <c r="AY129">
        <v>0</v>
      </c>
    </row>
    <row r="130" spans="9:51" ht="30" hidden="1" customHeight="1">
      <c r="I130">
        <v>0</v>
      </c>
      <c r="O130">
        <v>0</v>
      </c>
      <c r="U130">
        <v>0</v>
      </c>
      <c r="AA130">
        <v>0</v>
      </c>
      <c r="AG130">
        <v>0</v>
      </c>
      <c r="AM130">
        <v>0</v>
      </c>
      <c r="AS130">
        <v>0</v>
      </c>
      <c r="AY130">
        <v>0</v>
      </c>
    </row>
    <row r="131" spans="9:51" ht="30" hidden="1" customHeight="1">
      <c r="I131">
        <v>0</v>
      </c>
      <c r="O131">
        <v>0</v>
      </c>
      <c r="U131">
        <v>0</v>
      </c>
      <c r="AA131">
        <v>0</v>
      </c>
      <c r="AG131">
        <v>0</v>
      </c>
      <c r="AM131">
        <v>0</v>
      </c>
      <c r="AS131">
        <v>0</v>
      </c>
      <c r="AY131">
        <v>0</v>
      </c>
    </row>
    <row r="132" spans="9:51" ht="30" hidden="1" customHeight="1">
      <c r="I132">
        <v>0</v>
      </c>
      <c r="O132">
        <v>0</v>
      </c>
      <c r="U132">
        <v>0</v>
      </c>
      <c r="AA132">
        <v>0</v>
      </c>
      <c r="AG132">
        <v>0</v>
      </c>
      <c r="AM132">
        <v>0</v>
      </c>
      <c r="AS132">
        <v>0</v>
      </c>
      <c r="AY132">
        <v>0</v>
      </c>
    </row>
    <row r="133" spans="9:51" ht="30" hidden="1" customHeight="1">
      <c r="I133">
        <v>0</v>
      </c>
      <c r="O133">
        <v>0</v>
      </c>
      <c r="U133">
        <v>0</v>
      </c>
      <c r="AA133">
        <v>0</v>
      </c>
      <c r="AG133">
        <v>0</v>
      </c>
      <c r="AM133">
        <v>0</v>
      </c>
      <c r="AS133">
        <v>0</v>
      </c>
      <c r="AY133">
        <v>0</v>
      </c>
    </row>
    <row r="134" spans="9:51" ht="30" hidden="1" customHeight="1">
      <c r="I134">
        <v>0</v>
      </c>
      <c r="O134">
        <v>0</v>
      </c>
      <c r="U134">
        <v>0</v>
      </c>
      <c r="AA134">
        <v>0</v>
      </c>
      <c r="AG134">
        <v>0</v>
      </c>
      <c r="AM134">
        <v>0</v>
      </c>
      <c r="AS134">
        <v>0</v>
      </c>
      <c r="AY134">
        <v>0</v>
      </c>
    </row>
    <row r="135" spans="9:51" ht="30" hidden="1" customHeight="1">
      <c r="I135">
        <v>0</v>
      </c>
      <c r="O135">
        <v>0</v>
      </c>
      <c r="U135">
        <v>0</v>
      </c>
      <c r="AA135">
        <v>0</v>
      </c>
      <c r="AG135">
        <v>0</v>
      </c>
      <c r="AM135">
        <v>0</v>
      </c>
      <c r="AS135">
        <v>0</v>
      </c>
      <c r="AY135">
        <v>0</v>
      </c>
    </row>
    <row r="136" spans="9:51" ht="30" hidden="1" customHeight="1">
      <c r="I136">
        <v>0</v>
      </c>
      <c r="O136">
        <v>0</v>
      </c>
      <c r="U136">
        <v>0</v>
      </c>
      <c r="AA136">
        <v>0</v>
      </c>
      <c r="AG136">
        <v>0</v>
      </c>
      <c r="AM136">
        <v>0</v>
      </c>
      <c r="AS136">
        <v>0</v>
      </c>
      <c r="AY136">
        <v>0</v>
      </c>
    </row>
    <row r="137" spans="9:51" ht="30" hidden="1" customHeight="1">
      <c r="I137">
        <v>0</v>
      </c>
      <c r="O137">
        <v>0</v>
      </c>
      <c r="U137">
        <v>0</v>
      </c>
      <c r="AA137">
        <v>0</v>
      </c>
      <c r="AG137">
        <v>0</v>
      </c>
      <c r="AM137">
        <v>0</v>
      </c>
      <c r="AS137">
        <v>0</v>
      </c>
      <c r="AY137">
        <v>0</v>
      </c>
    </row>
    <row r="138" spans="9:51" ht="30" hidden="1" customHeight="1">
      <c r="I138">
        <v>0</v>
      </c>
      <c r="O138">
        <v>0</v>
      </c>
      <c r="U138">
        <v>0</v>
      </c>
      <c r="AA138">
        <v>0</v>
      </c>
      <c r="AG138">
        <v>0</v>
      </c>
      <c r="AM138">
        <v>0</v>
      </c>
      <c r="AS138">
        <v>0</v>
      </c>
      <c r="AY138">
        <v>0</v>
      </c>
    </row>
    <row r="139" spans="9:51" ht="30" hidden="1" customHeight="1">
      <c r="I139">
        <v>0</v>
      </c>
      <c r="O139">
        <v>0</v>
      </c>
      <c r="U139">
        <v>0</v>
      </c>
      <c r="AA139">
        <v>0</v>
      </c>
      <c r="AG139">
        <v>0</v>
      </c>
      <c r="AM139">
        <v>0</v>
      </c>
      <c r="AS139">
        <v>0</v>
      </c>
      <c r="AY139">
        <v>0</v>
      </c>
    </row>
    <row r="140" spans="9:51" ht="30" hidden="1" customHeight="1">
      <c r="I140">
        <v>0</v>
      </c>
      <c r="O140">
        <v>0</v>
      </c>
      <c r="U140">
        <v>0</v>
      </c>
      <c r="AA140">
        <v>0</v>
      </c>
      <c r="AG140">
        <v>0</v>
      </c>
      <c r="AM140">
        <v>0</v>
      </c>
      <c r="AS140">
        <v>0</v>
      </c>
      <c r="AY140">
        <v>0</v>
      </c>
    </row>
    <row r="141" spans="9:51" ht="30" hidden="1" customHeight="1">
      <c r="I141">
        <v>0</v>
      </c>
      <c r="O141">
        <v>0</v>
      </c>
      <c r="U141">
        <v>0</v>
      </c>
      <c r="AA141">
        <v>0</v>
      </c>
      <c r="AG141">
        <v>0</v>
      </c>
      <c r="AM141">
        <v>0</v>
      </c>
      <c r="AS141">
        <v>0</v>
      </c>
      <c r="AY141">
        <v>0</v>
      </c>
    </row>
    <row r="142" spans="9:51" ht="30" hidden="1" customHeight="1">
      <c r="I142">
        <v>0</v>
      </c>
      <c r="O142">
        <v>0</v>
      </c>
      <c r="U142">
        <v>0</v>
      </c>
      <c r="AA142">
        <v>0</v>
      </c>
      <c r="AG142">
        <v>0</v>
      </c>
      <c r="AM142">
        <v>0</v>
      </c>
      <c r="AS142">
        <v>0</v>
      </c>
      <c r="AY142">
        <v>0</v>
      </c>
    </row>
    <row r="143" spans="9:51" ht="30" hidden="1" customHeight="1">
      <c r="I143">
        <v>0</v>
      </c>
      <c r="O143">
        <v>0</v>
      </c>
      <c r="U143">
        <v>0</v>
      </c>
      <c r="AA143">
        <v>0</v>
      </c>
      <c r="AG143">
        <v>0</v>
      </c>
      <c r="AM143">
        <v>0</v>
      </c>
      <c r="AS143">
        <v>0</v>
      </c>
      <c r="AY143">
        <v>0</v>
      </c>
    </row>
    <row r="144" spans="9:51" ht="30" hidden="1" customHeight="1">
      <c r="I144">
        <v>0</v>
      </c>
      <c r="O144">
        <v>0</v>
      </c>
      <c r="U144">
        <v>0</v>
      </c>
      <c r="AA144">
        <v>0</v>
      </c>
      <c r="AG144">
        <v>0</v>
      </c>
      <c r="AM144">
        <v>0</v>
      </c>
      <c r="AS144">
        <v>0</v>
      </c>
      <c r="AY144">
        <v>0</v>
      </c>
    </row>
    <row r="145" spans="9:51" ht="30" hidden="1" customHeight="1">
      <c r="I145">
        <v>0</v>
      </c>
      <c r="O145">
        <v>0</v>
      </c>
      <c r="U145">
        <v>0</v>
      </c>
      <c r="AA145">
        <v>0</v>
      </c>
      <c r="AG145">
        <v>0</v>
      </c>
      <c r="AM145">
        <v>0</v>
      </c>
      <c r="AS145">
        <v>0</v>
      </c>
      <c r="AY145">
        <v>0</v>
      </c>
    </row>
    <row r="146" spans="9:51" ht="30" hidden="1" customHeight="1">
      <c r="I146">
        <v>0</v>
      </c>
      <c r="O146">
        <v>0</v>
      </c>
      <c r="U146">
        <v>0</v>
      </c>
      <c r="AA146">
        <v>0</v>
      </c>
      <c r="AG146">
        <v>0</v>
      </c>
      <c r="AM146">
        <v>0</v>
      </c>
      <c r="AS146">
        <v>0</v>
      </c>
      <c r="AY146">
        <v>0</v>
      </c>
    </row>
    <row r="147" spans="9:51" ht="30" hidden="1" customHeight="1">
      <c r="I147">
        <v>0</v>
      </c>
      <c r="O147">
        <v>0</v>
      </c>
      <c r="U147">
        <v>0</v>
      </c>
      <c r="AA147">
        <v>0</v>
      </c>
      <c r="AG147">
        <v>0</v>
      </c>
      <c r="AM147">
        <v>0</v>
      </c>
      <c r="AS147">
        <v>0</v>
      </c>
      <c r="AY147">
        <v>0</v>
      </c>
    </row>
    <row r="148" spans="9:51" ht="30" hidden="1" customHeight="1">
      <c r="I148">
        <v>0</v>
      </c>
      <c r="O148">
        <v>0</v>
      </c>
      <c r="U148">
        <v>0</v>
      </c>
      <c r="AA148">
        <v>0</v>
      </c>
      <c r="AG148">
        <v>0</v>
      </c>
      <c r="AM148">
        <v>0</v>
      </c>
      <c r="AS148">
        <v>0</v>
      </c>
      <c r="AY148">
        <v>0</v>
      </c>
    </row>
    <row r="149" spans="9:51" ht="30" hidden="1" customHeight="1">
      <c r="I149">
        <v>0</v>
      </c>
      <c r="O149">
        <v>0</v>
      </c>
      <c r="U149">
        <v>0</v>
      </c>
      <c r="AA149">
        <v>0</v>
      </c>
      <c r="AG149">
        <v>0</v>
      </c>
      <c r="AM149">
        <v>0</v>
      </c>
      <c r="AS149">
        <v>0</v>
      </c>
      <c r="AY149">
        <v>0</v>
      </c>
    </row>
    <row r="150" spans="9:51" ht="30" hidden="1" customHeight="1">
      <c r="I150">
        <v>0</v>
      </c>
      <c r="O150">
        <v>0</v>
      </c>
      <c r="U150">
        <v>0</v>
      </c>
      <c r="AA150">
        <v>0</v>
      </c>
      <c r="AG150">
        <v>0</v>
      </c>
      <c r="AM150">
        <v>0</v>
      </c>
      <c r="AS150">
        <v>0</v>
      </c>
      <c r="AY150">
        <v>0</v>
      </c>
    </row>
    <row r="151" spans="9:51" ht="30" hidden="1" customHeight="1">
      <c r="I151">
        <v>0</v>
      </c>
      <c r="O151">
        <v>0</v>
      </c>
      <c r="U151">
        <v>0</v>
      </c>
      <c r="AA151">
        <v>0</v>
      </c>
      <c r="AG151">
        <v>0</v>
      </c>
      <c r="AM151">
        <v>0</v>
      </c>
      <c r="AS151">
        <v>0</v>
      </c>
      <c r="AY151">
        <v>0</v>
      </c>
    </row>
    <row r="152" spans="9:51" ht="30" hidden="1" customHeight="1">
      <c r="I152">
        <v>0</v>
      </c>
      <c r="O152">
        <v>0</v>
      </c>
      <c r="U152">
        <v>0</v>
      </c>
      <c r="AA152">
        <v>0</v>
      </c>
      <c r="AG152">
        <v>0</v>
      </c>
      <c r="AM152">
        <v>0</v>
      </c>
      <c r="AS152">
        <v>0</v>
      </c>
      <c r="AY152">
        <v>0</v>
      </c>
    </row>
    <row r="153" spans="9:51" ht="30" hidden="1" customHeight="1">
      <c r="I153">
        <v>0</v>
      </c>
      <c r="O153">
        <v>0</v>
      </c>
      <c r="U153">
        <v>0</v>
      </c>
      <c r="AA153">
        <v>0</v>
      </c>
      <c r="AG153">
        <v>0</v>
      </c>
      <c r="AM153">
        <v>0</v>
      </c>
      <c r="AS153">
        <v>0</v>
      </c>
      <c r="AY153">
        <v>0</v>
      </c>
    </row>
    <row r="154" spans="9:51" ht="30" hidden="1" customHeight="1">
      <c r="AA154">
        <f>IFERROR(IF(COUNTIFS(AA7:AA54,"&gt;0",AD7:AD54,"&lt;&gt;")&gt;0,"Quantity,Comment,Designator,Footprint,LCSC Part #(optional)"&amp;CHAR(10),""),"")</f>
        <v/>
      </c>
    </row>
  </sheetData>
  <mergeCells count="17">
    <mergeCell ref="A5:G5"/>
    <mergeCell ref="H5:M5"/>
    <mergeCell ref="I57:L105"/>
    <mergeCell ref="N5:S5"/>
    <mergeCell ref="O57:R105"/>
    <mergeCell ref="T5:Y5"/>
    <mergeCell ref="U57:X105"/>
    <mergeCell ref="Z5:AE5"/>
    <mergeCell ref="AA57:AD105"/>
    <mergeCell ref="AF5:AK5"/>
    <mergeCell ref="AG57:AJ105"/>
    <mergeCell ref="AL5:AQ5"/>
    <mergeCell ref="AM57:AP105"/>
    <mergeCell ref="AR5:AW5"/>
    <mergeCell ref="AS57:AV105"/>
    <mergeCell ref="AX5:BC5"/>
    <mergeCell ref="AY57:BB105"/>
  </mergeCells>
  <conditionalFormatting sqref="AA17">
    <cfRule type="cellIs" dxfId="0" priority="618" operator="greaterThan">
      <formula>Z17</formula>
    </cfRule>
  </conditionalFormatting>
  <conditionalFormatting sqref="AA36">
    <cfRule type="expression" dxfId="3" priority="623">
      <formula>AND(AA36&gt;0,MOD(AA36,AC36)&lt;&gt;0)</formula>
    </cfRule>
    <cfRule type="cellIs" dxfId="0" priority="624" operator="greaterThan">
      <formula>Z36</formula>
    </cfRule>
  </conditionalFormatting>
  <conditionalFormatting sqref="AA45">
    <cfRule type="cellIs" dxfId="0" priority="629" operator="greaterThan">
      <formula>Z45</formula>
    </cfRule>
  </conditionalFormatting>
  <conditionalFormatting sqref="AA48">
    <cfRule type="cellIs" dxfId="0" priority="634" operator="greaterThan">
      <formula>Z48</formula>
    </cfRule>
  </conditionalFormatting>
  <conditionalFormatting sqref="AB17">
    <cfRule type="cellIs" dxfId="2" priority="620" operator="lessThanOrEqual">
      <formula>F17</formula>
    </cfRule>
  </conditionalFormatting>
  <conditionalFormatting sqref="AB36">
    <cfRule type="cellIs" dxfId="2" priority="626" operator="lessThanOrEqual">
      <formula>F36</formula>
    </cfRule>
  </conditionalFormatting>
  <conditionalFormatting sqref="AB45">
    <cfRule type="cellIs" dxfId="2" priority="631" operator="lessThanOrEqual">
      <formula>F45</formula>
    </cfRule>
  </conditionalFormatting>
  <conditionalFormatting sqref="AB48">
    <cfRule type="cellIs" dxfId="2" priority="636" operator="lessThanOrEqual">
      <formula>F48</formula>
    </cfRule>
  </conditionalFormatting>
  <conditionalFormatting sqref="AD17">
    <cfRule type="cellIs" dxfId="2" priority="619" operator="lessThanOrEqual">
      <formula>G17</formula>
    </cfRule>
  </conditionalFormatting>
  <conditionalFormatting sqref="AD36">
    <cfRule type="cellIs" dxfId="2" priority="625" operator="lessThanOrEqual">
      <formula>G36</formula>
    </cfRule>
  </conditionalFormatting>
  <conditionalFormatting sqref="AD45">
    <cfRule type="cellIs" dxfId="2" priority="630" operator="lessThanOrEqual">
      <formula>G45</formula>
    </cfRule>
  </conditionalFormatting>
  <conditionalFormatting sqref="AD48">
    <cfRule type="cellIs" dxfId="2" priority="635" operator="lessThanOrEqual">
      <formula>G48</formula>
    </cfRule>
  </conditionalFormatting>
  <conditionalFormatting sqref="AF10">
    <cfRule type="cellIs" dxfId="0" priority="647" operator="equal">
      <formula>0</formula>
    </cfRule>
    <cfRule type="cellIs" dxfId="1" priority="648" operator="lessThan">
      <formula>E10</formula>
    </cfRule>
  </conditionalFormatting>
  <conditionalFormatting sqref="AF11">
    <cfRule type="cellIs" dxfId="0" priority="652" operator="equal">
      <formula>0</formula>
    </cfRule>
    <cfRule type="cellIs" dxfId="1" priority="653" operator="lessThan">
      <formula>E11</formula>
    </cfRule>
  </conditionalFormatting>
  <conditionalFormatting sqref="AF12">
    <cfRule type="cellIs" dxfId="0" priority="657" operator="equal">
      <formula>0</formula>
    </cfRule>
    <cfRule type="cellIs" dxfId="1" priority="658" operator="lessThan">
      <formula>E12</formula>
    </cfRule>
  </conditionalFormatting>
  <conditionalFormatting sqref="AF13">
    <cfRule type="cellIs" dxfId="0" priority="662" operator="equal">
      <formula>0</formula>
    </cfRule>
    <cfRule type="cellIs" dxfId="1" priority="663" operator="lessThan">
      <formula>E13</formula>
    </cfRule>
  </conditionalFormatting>
  <conditionalFormatting sqref="AF14">
    <cfRule type="cellIs" dxfId="0" priority="667" operator="equal">
      <formula>0</formula>
    </cfRule>
    <cfRule type="cellIs" dxfId="1" priority="668" operator="lessThan">
      <formula>E14</formula>
    </cfRule>
  </conditionalFormatting>
  <conditionalFormatting sqref="AF15">
    <cfRule type="cellIs" dxfId="0" priority="672" operator="equal">
      <formula>0</formula>
    </cfRule>
    <cfRule type="cellIs" dxfId="1" priority="673" operator="lessThan">
      <formula>E15</formula>
    </cfRule>
  </conditionalFormatting>
  <conditionalFormatting sqref="AF16">
    <cfRule type="cellIs" dxfId="0" priority="677" operator="equal">
      <formula>0</formula>
    </cfRule>
    <cfRule type="cellIs" dxfId="1" priority="678" operator="lessThan">
      <formula>E16</formula>
    </cfRule>
  </conditionalFormatting>
  <conditionalFormatting sqref="AF17">
    <cfRule type="cellIs" dxfId="0" priority="682" operator="equal">
      <formula>0</formula>
    </cfRule>
    <cfRule type="cellIs" dxfId="1" priority="683" operator="lessThan">
      <formula>E17</formula>
    </cfRule>
  </conditionalFormatting>
  <conditionalFormatting sqref="AF18">
    <cfRule type="cellIs" dxfId="0" priority="687" operator="equal">
      <formula>0</formula>
    </cfRule>
    <cfRule type="cellIs" dxfId="1" priority="688" operator="lessThan">
      <formula>E18</formula>
    </cfRule>
  </conditionalFormatting>
  <conditionalFormatting sqref="AF19">
    <cfRule type="cellIs" dxfId="0" priority="692" operator="equal">
      <formula>0</formula>
    </cfRule>
    <cfRule type="cellIs" dxfId="1" priority="693" operator="lessThan">
      <formula>E19</formula>
    </cfRule>
  </conditionalFormatting>
  <conditionalFormatting sqref="AF20">
    <cfRule type="cellIs" dxfId="0" priority="697" operator="equal">
      <formula>0</formula>
    </cfRule>
    <cfRule type="cellIs" dxfId="1" priority="698" operator="lessThan">
      <formula>E20</formula>
    </cfRule>
  </conditionalFormatting>
  <conditionalFormatting sqref="AF21">
    <cfRule type="cellIs" dxfId="0" priority="702" operator="equal">
      <formula>0</formula>
    </cfRule>
    <cfRule type="cellIs" dxfId="1" priority="703" operator="lessThan">
      <formula>E21</formula>
    </cfRule>
  </conditionalFormatting>
  <conditionalFormatting sqref="AF22">
    <cfRule type="cellIs" dxfId="0" priority="707" operator="equal">
      <formula>0</formula>
    </cfRule>
    <cfRule type="cellIs" dxfId="1" priority="708" operator="lessThan">
      <formula>E22</formula>
    </cfRule>
  </conditionalFormatting>
  <conditionalFormatting sqref="AF23">
    <cfRule type="cellIs" dxfId="0" priority="712" operator="equal">
      <formula>0</formula>
    </cfRule>
    <cfRule type="cellIs" dxfId="1" priority="713" operator="lessThan">
      <formula>E23</formula>
    </cfRule>
  </conditionalFormatting>
  <conditionalFormatting sqref="AF24">
    <cfRule type="cellIs" dxfId="0" priority="717" operator="equal">
      <formula>0</formula>
    </cfRule>
    <cfRule type="cellIs" dxfId="1" priority="718" operator="lessThan">
      <formula>E24</formula>
    </cfRule>
  </conditionalFormatting>
  <conditionalFormatting sqref="AF25">
    <cfRule type="cellIs" dxfId="0" priority="722" operator="equal">
      <formula>0</formula>
    </cfRule>
    <cfRule type="cellIs" dxfId="1" priority="723" operator="lessThan">
      <formula>E25</formula>
    </cfRule>
  </conditionalFormatting>
  <conditionalFormatting sqref="AF26">
    <cfRule type="cellIs" dxfId="0" priority="727" operator="equal">
      <formula>0</formula>
    </cfRule>
    <cfRule type="cellIs" dxfId="1" priority="728" operator="lessThan">
      <formula>E26</formula>
    </cfRule>
  </conditionalFormatting>
  <conditionalFormatting sqref="AF27">
    <cfRule type="cellIs" dxfId="0" priority="732" operator="equal">
      <formula>0</formula>
    </cfRule>
    <cfRule type="cellIs" dxfId="1" priority="733" operator="lessThan">
      <formula>E27</formula>
    </cfRule>
  </conditionalFormatting>
  <conditionalFormatting sqref="AF28">
    <cfRule type="cellIs" dxfId="0" priority="737" operator="equal">
      <formula>0</formula>
    </cfRule>
    <cfRule type="cellIs" dxfId="1" priority="738" operator="lessThan">
      <formula>E28</formula>
    </cfRule>
  </conditionalFormatting>
  <conditionalFormatting sqref="AF29">
    <cfRule type="cellIs" dxfId="0" priority="742" operator="equal">
      <formula>0</formula>
    </cfRule>
    <cfRule type="cellIs" dxfId="1" priority="743" operator="lessThan">
      <formula>E29</formula>
    </cfRule>
  </conditionalFormatting>
  <conditionalFormatting sqref="AF30">
    <cfRule type="cellIs" dxfId="0" priority="747" operator="equal">
      <formula>0</formula>
    </cfRule>
    <cfRule type="cellIs" dxfId="1" priority="748" operator="lessThan">
      <formula>E30</formula>
    </cfRule>
  </conditionalFormatting>
  <conditionalFormatting sqref="AF31">
    <cfRule type="cellIs" dxfId="0" priority="752" operator="equal">
      <formula>0</formula>
    </cfRule>
    <cfRule type="cellIs" dxfId="1" priority="753" operator="lessThan">
      <formula>E31</formula>
    </cfRule>
  </conditionalFormatting>
  <conditionalFormatting sqref="AF32">
    <cfRule type="cellIs" dxfId="0" priority="757" operator="equal">
      <formula>0</formula>
    </cfRule>
    <cfRule type="cellIs" dxfId="1" priority="758" operator="lessThan">
      <formula>E32</formula>
    </cfRule>
  </conditionalFormatting>
  <conditionalFormatting sqref="AF33">
    <cfRule type="cellIs" dxfId="0" priority="762" operator="equal">
      <formula>0</formula>
    </cfRule>
    <cfRule type="cellIs" dxfId="1" priority="763" operator="lessThan">
      <formula>E33</formula>
    </cfRule>
  </conditionalFormatting>
  <conditionalFormatting sqref="AF34">
    <cfRule type="cellIs" dxfId="0" priority="767" operator="equal">
      <formula>0</formula>
    </cfRule>
    <cfRule type="cellIs" dxfId="1" priority="768" operator="lessThan">
      <formula>E34</formula>
    </cfRule>
  </conditionalFormatting>
  <conditionalFormatting sqref="AF35">
    <cfRule type="cellIs" dxfId="0" priority="772" operator="equal">
      <formula>0</formula>
    </cfRule>
    <cfRule type="cellIs" dxfId="1" priority="773" operator="lessThan">
      <formula>E35</formula>
    </cfRule>
  </conditionalFormatting>
  <conditionalFormatting sqref="AF36">
    <cfRule type="cellIs" dxfId="0" priority="777" operator="equal">
      <formula>0</formula>
    </cfRule>
    <cfRule type="cellIs" dxfId="1" priority="778" operator="lessThan">
      <formula>E36</formula>
    </cfRule>
  </conditionalFormatting>
  <conditionalFormatting sqref="AF37">
    <cfRule type="cellIs" dxfId="0" priority="782" operator="equal">
      <formula>0</formula>
    </cfRule>
    <cfRule type="cellIs" dxfId="1" priority="783" operator="lessThan">
      <formula>E37</formula>
    </cfRule>
  </conditionalFormatting>
  <conditionalFormatting sqref="AF38">
    <cfRule type="cellIs" dxfId="0" priority="787" operator="equal">
      <formula>0</formula>
    </cfRule>
    <cfRule type="cellIs" dxfId="1" priority="788" operator="lessThan">
      <formula>E38</formula>
    </cfRule>
  </conditionalFormatting>
  <conditionalFormatting sqref="AF39">
    <cfRule type="cellIs" dxfId="0" priority="792" operator="equal">
      <formula>0</formula>
    </cfRule>
    <cfRule type="cellIs" dxfId="1" priority="793" operator="lessThan">
      <formula>E39</formula>
    </cfRule>
  </conditionalFormatting>
  <conditionalFormatting sqref="AF40">
    <cfRule type="cellIs" dxfId="0" priority="797" operator="equal">
      <formula>0</formula>
    </cfRule>
    <cfRule type="cellIs" dxfId="1" priority="798" operator="lessThan">
      <formula>E40</formula>
    </cfRule>
  </conditionalFormatting>
  <conditionalFormatting sqref="AF41">
    <cfRule type="cellIs" dxfId="0" priority="802" operator="equal">
      <formula>0</formula>
    </cfRule>
    <cfRule type="cellIs" dxfId="1" priority="803" operator="lessThan">
      <formula>E41</formula>
    </cfRule>
  </conditionalFormatting>
  <conditionalFormatting sqref="AF42">
    <cfRule type="cellIs" dxfId="0" priority="807" operator="equal">
      <formula>0</formula>
    </cfRule>
    <cfRule type="cellIs" dxfId="1" priority="808" operator="lessThan">
      <formula>E42</formula>
    </cfRule>
  </conditionalFormatting>
  <conditionalFormatting sqref="AF43">
    <cfRule type="cellIs" dxfId="0" priority="812" operator="equal">
      <formula>0</formula>
    </cfRule>
    <cfRule type="cellIs" dxfId="1" priority="813" operator="lessThan">
      <formula>E43</formula>
    </cfRule>
  </conditionalFormatting>
  <conditionalFormatting sqref="AF44">
    <cfRule type="cellIs" dxfId="0" priority="817" operator="equal">
      <formula>0</formula>
    </cfRule>
    <cfRule type="cellIs" dxfId="1" priority="818" operator="lessThan">
      <formula>E44</formula>
    </cfRule>
  </conditionalFormatting>
  <conditionalFormatting sqref="AF45">
    <cfRule type="cellIs" dxfId="0" priority="822" operator="equal">
      <formula>0</formula>
    </cfRule>
    <cfRule type="cellIs" dxfId="1" priority="823" operator="lessThan">
      <formula>E45</formula>
    </cfRule>
  </conditionalFormatting>
  <conditionalFormatting sqref="AF46">
    <cfRule type="cellIs" dxfId="0" priority="827" operator="equal">
      <formula>0</formula>
    </cfRule>
    <cfRule type="cellIs" dxfId="1" priority="828" operator="lessThan">
      <formula>E46</formula>
    </cfRule>
  </conditionalFormatting>
  <conditionalFormatting sqref="AF47">
    <cfRule type="cellIs" dxfId="0" priority="832" operator="equal">
      <formula>0</formula>
    </cfRule>
    <cfRule type="cellIs" dxfId="1" priority="833" operator="lessThan">
      <formula>E47</formula>
    </cfRule>
  </conditionalFormatting>
  <conditionalFormatting sqref="AF48">
    <cfRule type="cellIs" dxfId="0" priority="837" operator="equal">
      <formula>0</formula>
    </cfRule>
    <cfRule type="cellIs" dxfId="1" priority="838" operator="lessThan">
      <formula>E48</formula>
    </cfRule>
  </conditionalFormatting>
  <conditionalFormatting sqref="AF49">
    <cfRule type="cellIs" dxfId="0" priority="842" operator="equal">
      <formula>0</formula>
    </cfRule>
    <cfRule type="cellIs" dxfId="1" priority="843" operator="lessThan">
      <formula>E49</formula>
    </cfRule>
  </conditionalFormatting>
  <conditionalFormatting sqref="AF50">
    <cfRule type="cellIs" dxfId="0" priority="847" operator="equal">
      <formula>0</formula>
    </cfRule>
    <cfRule type="cellIs" dxfId="1" priority="848" operator="lessThan">
      <formula>E50</formula>
    </cfRule>
  </conditionalFormatting>
  <conditionalFormatting sqref="AF51">
    <cfRule type="cellIs" dxfId="0" priority="852" operator="equal">
      <formula>0</formula>
    </cfRule>
    <cfRule type="cellIs" dxfId="1" priority="853" operator="lessThan">
      <formula>E51</formula>
    </cfRule>
  </conditionalFormatting>
  <conditionalFormatting sqref="AF52">
    <cfRule type="cellIs" dxfId="0" priority="857" operator="equal">
      <formula>0</formula>
    </cfRule>
    <cfRule type="cellIs" dxfId="1" priority="858" operator="lessThan">
      <formula>E52</formula>
    </cfRule>
  </conditionalFormatting>
  <conditionalFormatting sqref="AF53">
    <cfRule type="cellIs" dxfId="0" priority="862" operator="equal">
      <formula>0</formula>
    </cfRule>
    <cfRule type="cellIs" dxfId="1" priority="863" operator="lessThan">
      <formula>E53</formula>
    </cfRule>
  </conditionalFormatting>
  <conditionalFormatting sqref="AF54">
    <cfRule type="cellIs" dxfId="0" priority="867" operator="equal">
      <formula>0</formula>
    </cfRule>
    <cfRule type="cellIs" dxfId="1" priority="868" operator="lessThan">
      <formula>E54</formula>
    </cfRule>
  </conditionalFormatting>
  <conditionalFormatting sqref="AF8">
    <cfRule type="cellIs" dxfId="0" priority="637" operator="equal">
      <formula>0</formula>
    </cfRule>
    <cfRule type="cellIs" dxfId="1" priority="638" operator="lessThan">
      <formula>E8</formula>
    </cfRule>
  </conditionalFormatting>
  <conditionalFormatting sqref="AF9">
    <cfRule type="cellIs" dxfId="0" priority="642" operator="equal">
      <formula>0</formula>
    </cfRule>
    <cfRule type="cellIs" dxfId="1" priority="643" operator="lessThan">
      <formula>E9</formula>
    </cfRule>
  </conditionalFormatting>
  <conditionalFormatting sqref="AG10">
    <cfRule type="cellIs" dxfId="0" priority="649" operator="greaterThan">
      <formula>AF10</formula>
    </cfRule>
  </conditionalFormatting>
  <conditionalFormatting sqref="AG11">
    <cfRule type="cellIs" dxfId="0" priority="654" operator="greaterThan">
      <formula>AF11</formula>
    </cfRule>
  </conditionalFormatting>
  <conditionalFormatting sqref="AG12">
    <cfRule type="cellIs" dxfId="0" priority="659" operator="greaterThan">
      <formula>AF12</formula>
    </cfRule>
  </conditionalFormatting>
  <conditionalFormatting sqref="AG13">
    <cfRule type="cellIs" dxfId="0" priority="664" operator="greaterThan">
      <formula>AF13</formula>
    </cfRule>
  </conditionalFormatting>
  <conditionalFormatting sqref="AG14">
    <cfRule type="cellIs" dxfId="0" priority="669" operator="greaterThan">
      <formula>AF14</formula>
    </cfRule>
  </conditionalFormatting>
  <conditionalFormatting sqref="AG15">
    <cfRule type="cellIs" dxfId="0" priority="674" operator="greaterThan">
      <formula>AF15</formula>
    </cfRule>
  </conditionalFormatting>
  <conditionalFormatting sqref="AG16">
    <cfRule type="cellIs" dxfId="0" priority="679" operator="greaterThan">
      <formula>AF16</formula>
    </cfRule>
  </conditionalFormatting>
  <conditionalFormatting sqref="AG17">
    <cfRule type="cellIs" dxfId="0" priority="684" operator="greaterThan">
      <formula>AF17</formula>
    </cfRule>
  </conditionalFormatting>
  <conditionalFormatting sqref="AG18">
    <cfRule type="cellIs" dxfId="0" priority="689" operator="greaterThan">
      <formula>AF18</formula>
    </cfRule>
  </conditionalFormatting>
  <conditionalFormatting sqref="AG19">
    <cfRule type="cellIs" dxfId="0" priority="694" operator="greaterThan">
      <formula>AF19</formula>
    </cfRule>
  </conditionalFormatting>
  <conditionalFormatting sqref="AG20">
    <cfRule type="cellIs" dxfId="0" priority="699" operator="greaterThan">
      <formula>AF20</formula>
    </cfRule>
  </conditionalFormatting>
  <conditionalFormatting sqref="AG21">
    <cfRule type="cellIs" dxfId="0" priority="704" operator="greaterThan">
      <formula>AF21</formula>
    </cfRule>
  </conditionalFormatting>
  <conditionalFormatting sqref="AG22">
    <cfRule type="cellIs" dxfId="0" priority="709" operator="greaterThan">
      <formula>AF22</formula>
    </cfRule>
  </conditionalFormatting>
  <conditionalFormatting sqref="AG23">
    <cfRule type="cellIs" dxfId="0" priority="714" operator="greaterThan">
      <formula>AF23</formula>
    </cfRule>
  </conditionalFormatting>
  <conditionalFormatting sqref="AG24">
    <cfRule type="cellIs" dxfId="0" priority="719" operator="greaterThan">
      <formula>AF24</formula>
    </cfRule>
  </conditionalFormatting>
  <conditionalFormatting sqref="AG25">
    <cfRule type="cellIs" dxfId="0" priority="724" operator="greaterThan">
      <formula>AF25</formula>
    </cfRule>
  </conditionalFormatting>
  <conditionalFormatting sqref="AG26">
    <cfRule type="cellIs" dxfId="0" priority="729" operator="greaterThan">
      <formula>AF26</formula>
    </cfRule>
  </conditionalFormatting>
  <conditionalFormatting sqref="AG27">
    <cfRule type="cellIs" dxfId="0" priority="734" operator="greaterThan">
      <formula>AF27</formula>
    </cfRule>
  </conditionalFormatting>
  <conditionalFormatting sqref="AG28">
    <cfRule type="cellIs" dxfId="0" priority="739" operator="greaterThan">
      <formula>AF28</formula>
    </cfRule>
  </conditionalFormatting>
  <conditionalFormatting sqref="AG29">
    <cfRule type="cellIs" dxfId="0" priority="744" operator="greaterThan">
      <formula>AF29</formula>
    </cfRule>
  </conditionalFormatting>
  <conditionalFormatting sqref="AG30">
    <cfRule type="cellIs" dxfId="0" priority="749" operator="greaterThan">
      <formula>AF30</formula>
    </cfRule>
  </conditionalFormatting>
  <conditionalFormatting sqref="AG31">
    <cfRule type="cellIs" dxfId="0" priority="754" operator="greaterThan">
      <formula>AF31</formula>
    </cfRule>
  </conditionalFormatting>
  <conditionalFormatting sqref="AG32">
    <cfRule type="cellIs" dxfId="0" priority="759" operator="greaterThan">
      <formula>AF32</formula>
    </cfRule>
  </conditionalFormatting>
  <conditionalFormatting sqref="AG33">
    <cfRule type="cellIs" dxfId="0" priority="764" operator="greaterThan">
      <formula>AF33</formula>
    </cfRule>
  </conditionalFormatting>
  <conditionalFormatting sqref="AG34">
    <cfRule type="cellIs" dxfId="0" priority="769" operator="greaterThan">
      <formula>AF34</formula>
    </cfRule>
  </conditionalFormatting>
  <conditionalFormatting sqref="AG35">
    <cfRule type="cellIs" dxfId="0" priority="774" operator="greaterThan">
      <formula>AF35</formula>
    </cfRule>
  </conditionalFormatting>
  <conditionalFormatting sqref="AG36">
    <cfRule type="cellIs" dxfId="0" priority="779" operator="greaterThan">
      <formula>AF36</formula>
    </cfRule>
  </conditionalFormatting>
  <conditionalFormatting sqref="AG37">
    <cfRule type="cellIs" dxfId="0" priority="784" operator="greaterThan">
      <formula>AF37</formula>
    </cfRule>
  </conditionalFormatting>
  <conditionalFormatting sqref="AG38">
    <cfRule type="cellIs" dxfId="0" priority="789" operator="greaterThan">
      <formula>AF38</formula>
    </cfRule>
  </conditionalFormatting>
  <conditionalFormatting sqref="AG39">
    <cfRule type="cellIs" dxfId="0" priority="794" operator="greaterThan">
      <formula>AF39</formula>
    </cfRule>
  </conditionalFormatting>
  <conditionalFormatting sqref="AG40">
    <cfRule type="cellIs" dxfId="0" priority="799" operator="greaterThan">
      <formula>AF40</formula>
    </cfRule>
  </conditionalFormatting>
  <conditionalFormatting sqref="AG41">
    <cfRule type="cellIs" dxfId="0" priority="804" operator="greaterThan">
      <formula>AF41</formula>
    </cfRule>
  </conditionalFormatting>
  <conditionalFormatting sqref="AG42">
    <cfRule type="cellIs" dxfId="0" priority="809" operator="greaterThan">
      <formula>AF42</formula>
    </cfRule>
  </conditionalFormatting>
  <conditionalFormatting sqref="AG43">
    <cfRule type="cellIs" dxfId="0" priority="814" operator="greaterThan">
      <formula>AF43</formula>
    </cfRule>
  </conditionalFormatting>
  <conditionalFormatting sqref="AG44">
    <cfRule type="cellIs" dxfId="0" priority="819" operator="greaterThan">
      <formula>AF44</formula>
    </cfRule>
  </conditionalFormatting>
  <conditionalFormatting sqref="AG45">
    <cfRule type="cellIs" dxfId="0" priority="824" operator="greaterThan">
      <formula>AF45</formula>
    </cfRule>
  </conditionalFormatting>
  <conditionalFormatting sqref="AG46">
    <cfRule type="cellIs" dxfId="0" priority="829" operator="greaterThan">
      <formula>AF46</formula>
    </cfRule>
  </conditionalFormatting>
  <conditionalFormatting sqref="AG47">
    <cfRule type="cellIs" dxfId="0" priority="834" operator="greaterThan">
      <formula>AF47</formula>
    </cfRule>
  </conditionalFormatting>
  <conditionalFormatting sqref="AG48">
    <cfRule type="cellIs" dxfId="0" priority="839" operator="greaterThan">
      <formula>AF48</formula>
    </cfRule>
  </conditionalFormatting>
  <conditionalFormatting sqref="AG49">
    <cfRule type="cellIs" dxfId="0" priority="844" operator="greaterThan">
      <formula>AF49</formula>
    </cfRule>
  </conditionalFormatting>
  <conditionalFormatting sqref="AG50">
    <cfRule type="cellIs" dxfId="0" priority="849" operator="greaterThan">
      <formula>AF50</formula>
    </cfRule>
  </conditionalFormatting>
  <conditionalFormatting sqref="AG51">
    <cfRule type="cellIs" dxfId="0" priority="854" operator="greaterThan">
      <formula>AF51</formula>
    </cfRule>
  </conditionalFormatting>
  <conditionalFormatting sqref="AG52">
    <cfRule type="cellIs" dxfId="0" priority="859" operator="greaterThan">
      <formula>AF52</formula>
    </cfRule>
  </conditionalFormatting>
  <conditionalFormatting sqref="AG53">
    <cfRule type="cellIs" dxfId="0" priority="864" operator="greaterThan">
      <formula>AF53</formula>
    </cfRule>
  </conditionalFormatting>
  <conditionalFormatting sqref="AG54">
    <cfRule type="cellIs" dxfId="0" priority="869" operator="greaterThan">
      <formula>AF54</formula>
    </cfRule>
  </conditionalFormatting>
  <conditionalFormatting sqref="AG8">
    <cfRule type="cellIs" dxfId="0" priority="639" operator="greaterThan">
      <formula>AF8</formula>
    </cfRule>
  </conditionalFormatting>
  <conditionalFormatting sqref="AG9">
    <cfRule type="cellIs" dxfId="0" priority="644" operator="greaterThan">
      <formula>AF9</formula>
    </cfRule>
  </conditionalFormatting>
  <conditionalFormatting sqref="AH10">
    <cfRule type="cellIs" dxfId="2" priority="651" operator="lessThanOrEqual">
      <formula>F10</formula>
    </cfRule>
  </conditionalFormatting>
  <conditionalFormatting sqref="AH11">
    <cfRule type="cellIs" dxfId="2" priority="656" operator="lessThanOrEqual">
      <formula>F11</formula>
    </cfRule>
  </conditionalFormatting>
  <conditionalFormatting sqref="AH12">
    <cfRule type="cellIs" dxfId="2" priority="661" operator="lessThanOrEqual">
      <formula>F12</formula>
    </cfRule>
  </conditionalFormatting>
  <conditionalFormatting sqref="AH13">
    <cfRule type="cellIs" dxfId="2" priority="666" operator="lessThanOrEqual">
      <formula>F13</formula>
    </cfRule>
  </conditionalFormatting>
  <conditionalFormatting sqref="AH14">
    <cfRule type="cellIs" dxfId="2" priority="671" operator="lessThanOrEqual">
      <formula>F14</formula>
    </cfRule>
  </conditionalFormatting>
  <conditionalFormatting sqref="AH15">
    <cfRule type="cellIs" dxfId="2" priority="676" operator="lessThanOrEqual">
      <formula>F15</formula>
    </cfRule>
  </conditionalFormatting>
  <conditionalFormatting sqref="AH16">
    <cfRule type="cellIs" dxfId="2" priority="681" operator="lessThanOrEqual">
      <formula>F16</formula>
    </cfRule>
  </conditionalFormatting>
  <conditionalFormatting sqref="AH17">
    <cfRule type="cellIs" dxfId="2" priority="686" operator="lessThanOrEqual">
      <formula>F17</formula>
    </cfRule>
  </conditionalFormatting>
  <conditionalFormatting sqref="AH18">
    <cfRule type="cellIs" dxfId="2" priority="691" operator="lessThanOrEqual">
      <formula>F18</formula>
    </cfRule>
  </conditionalFormatting>
  <conditionalFormatting sqref="AH19">
    <cfRule type="cellIs" dxfId="2" priority="696" operator="lessThanOrEqual">
      <formula>F19</formula>
    </cfRule>
  </conditionalFormatting>
  <conditionalFormatting sqref="AH20">
    <cfRule type="cellIs" dxfId="2" priority="701" operator="lessThanOrEqual">
      <formula>F20</formula>
    </cfRule>
  </conditionalFormatting>
  <conditionalFormatting sqref="AH21">
    <cfRule type="cellIs" dxfId="2" priority="706" operator="lessThanOrEqual">
      <formula>F21</formula>
    </cfRule>
  </conditionalFormatting>
  <conditionalFormatting sqref="AH22">
    <cfRule type="cellIs" dxfId="2" priority="711" operator="lessThanOrEqual">
      <formula>F22</formula>
    </cfRule>
  </conditionalFormatting>
  <conditionalFormatting sqref="AH23">
    <cfRule type="cellIs" dxfId="2" priority="716" operator="lessThanOrEqual">
      <formula>F23</formula>
    </cfRule>
  </conditionalFormatting>
  <conditionalFormatting sqref="AH24">
    <cfRule type="cellIs" dxfId="2" priority="721" operator="lessThanOrEqual">
      <formula>F24</formula>
    </cfRule>
  </conditionalFormatting>
  <conditionalFormatting sqref="AH25">
    <cfRule type="cellIs" dxfId="2" priority="726" operator="lessThanOrEqual">
      <formula>F25</formula>
    </cfRule>
  </conditionalFormatting>
  <conditionalFormatting sqref="AH26">
    <cfRule type="cellIs" dxfId="2" priority="731" operator="lessThanOrEqual">
      <formula>F26</formula>
    </cfRule>
  </conditionalFormatting>
  <conditionalFormatting sqref="AH27">
    <cfRule type="cellIs" dxfId="2" priority="736" operator="lessThanOrEqual">
      <formula>F27</formula>
    </cfRule>
  </conditionalFormatting>
  <conditionalFormatting sqref="AH28">
    <cfRule type="cellIs" dxfId="2" priority="741" operator="lessThanOrEqual">
      <formula>F28</formula>
    </cfRule>
  </conditionalFormatting>
  <conditionalFormatting sqref="AH29">
    <cfRule type="cellIs" dxfId="2" priority="746" operator="lessThanOrEqual">
      <formula>F29</formula>
    </cfRule>
  </conditionalFormatting>
  <conditionalFormatting sqref="AH30">
    <cfRule type="cellIs" dxfId="2" priority="751" operator="lessThanOrEqual">
      <formula>F30</formula>
    </cfRule>
  </conditionalFormatting>
  <conditionalFormatting sqref="AH31">
    <cfRule type="cellIs" dxfId="2" priority="756" operator="lessThanOrEqual">
      <formula>F31</formula>
    </cfRule>
  </conditionalFormatting>
  <conditionalFormatting sqref="AH32">
    <cfRule type="cellIs" dxfId="2" priority="761" operator="lessThanOrEqual">
      <formula>F32</formula>
    </cfRule>
  </conditionalFormatting>
  <conditionalFormatting sqref="AH33">
    <cfRule type="cellIs" dxfId="2" priority="766" operator="lessThanOrEqual">
      <formula>F33</formula>
    </cfRule>
  </conditionalFormatting>
  <conditionalFormatting sqref="AH34">
    <cfRule type="cellIs" dxfId="2" priority="771" operator="lessThanOrEqual">
      <formula>F34</formula>
    </cfRule>
  </conditionalFormatting>
  <conditionalFormatting sqref="AH35">
    <cfRule type="cellIs" dxfId="2" priority="776" operator="lessThanOrEqual">
      <formula>F35</formula>
    </cfRule>
  </conditionalFormatting>
  <conditionalFormatting sqref="AH36">
    <cfRule type="cellIs" dxfId="2" priority="781" operator="lessThanOrEqual">
      <formula>F36</formula>
    </cfRule>
  </conditionalFormatting>
  <conditionalFormatting sqref="AH37">
    <cfRule type="cellIs" dxfId="2" priority="786" operator="lessThanOrEqual">
      <formula>F37</formula>
    </cfRule>
  </conditionalFormatting>
  <conditionalFormatting sqref="AH38">
    <cfRule type="cellIs" dxfId="2" priority="791" operator="lessThanOrEqual">
      <formula>F38</formula>
    </cfRule>
  </conditionalFormatting>
  <conditionalFormatting sqref="AH39">
    <cfRule type="cellIs" dxfId="2" priority="796" operator="lessThanOrEqual">
      <formula>F39</formula>
    </cfRule>
  </conditionalFormatting>
  <conditionalFormatting sqref="AH40">
    <cfRule type="cellIs" dxfId="2" priority="801" operator="lessThanOrEqual">
      <formula>F40</formula>
    </cfRule>
  </conditionalFormatting>
  <conditionalFormatting sqref="AH41">
    <cfRule type="cellIs" dxfId="2" priority="806" operator="lessThanOrEqual">
      <formula>F41</formula>
    </cfRule>
  </conditionalFormatting>
  <conditionalFormatting sqref="AH42">
    <cfRule type="cellIs" dxfId="2" priority="811" operator="lessThanOrEqual">
      <formula>F42</formula>
    </cfRule>
  </conditionalFormatting>
  <conditionalFormatting sqref="AH43">
    <cfRule type="cellIs" dxfId="2" priority="816" operator="lessThanOrEqual">
      <formula>F43</formula>
    </cfRule>
  </conditionalFormatting>
  <conditionalFormatting sqref="AH44">
    <cfRule type="cellIs" dxfId="2" priority="821" operator="lessThanOrEqual">
      <formula>F44</formula>
    </cfRule>
  </conditionalFormatting>
  <conditionalFormatting sqref="AH45">
    <cfRule type="cellIs" dxfId="2" priority="826" operator="lessThanOrEqual">
      <formula>F45</formula>
    </cfRule>
  </conditionalFormatting>
  <conditionalFormatting sqref="AH46">
    <cfRule type="cellIs" dxfId="2" priority="831" operator="lessThanOrEqual">
      <formula>F46</formula>
    </cfRule>
  </conditionalFormatting>
  <conditionalFormatting sqref="AH47">
    <cfRule type="cellIs" dxfId="2" priority="836" operator="lessThanOrEqual">
      <formula>F47</formula>
    </cfRule>
  </conditionalFormatting>
  <conditionalFormatting sqref="AH48">
    <cfRule type="cellIs" dxfId="2" priority="841" operator="lessThanOrEqual">
      <formula>F48</formula>
    </cfRule>
  </conditionalFormatting>
  <conditionalFormatting sqref="AH49">
    <cfRule type="cellIs" dxfId="2" priority="846" operator="lessThanOrEqual">
      <formula>F49</formula>
    </cfRule>
  </conditionalFormatting>
  <conditionalFormatting sqref="AH50">
    <cfRule type="cellIs" dxfId="2" priority="851" operator="lessThanOrEqual">
      <formula>F50</formula>
    </cfRule>
  </conditionalFormatting>
  <conditionalFormatting sqref="AH51">
    <cfRule type="cellIs" dxfId="2" priority="856" operator="lessThanOrEqual">
      <formula>F51</formula>
    </cfRule>
  </conditionalFormatting>
  <conditionalFormatting sqref="AH52">
    <cfRule type="cellIs" dxfId="2" priority="861" operator="lessThanOrEqual">
      <formula>F52</formula>
    </cfRule>
  </conditionalFormatting>
  <conditionalFormatting sqref="AH53">
    <cfRule type="cellIs" dxfId="2" priority="866" operator="lessThanOrEqual">
      <formula>F53</formula>
    </cfRule>
  </conditionalFormatting>
  <conditionalFormatting sqref="AH54">
    <cfRule type="cellIs" dxfId="2" priority="871" operator="lessThanOrEqual">
      <formula>F54</formula>
    </cfRule>
  </conditionalFormatting>
  <conditionalFormatting sqref="AH8">
    <cfRule type="cellIs" dxfId="2" priority="641" operator="lessThanOrEqual">
      <formula>F8</formula>
    </cfRule>
  </conditionalFormatting>
  <conditionalFormatting sqref="AH9">
    <cfRule type="cellIs" dxfId="2" priority="646" operator="lessThanOrEqual">
      <formula>F9</formula>
    </cfRule>
  </conditionalFormatting>
  <conditionalFormatting sqref="AJ10">
    <cfRule type="cellIs" dxfId="2" priority="650" operator="lessThanOrEqual">
      <formula>G10</formula>
    </cfRule>
  </conditionalFormatting>
  <conditionalFormatting sqref="AJ11">
    <cfRule type="cellIs" dxfId="2" priority="655" operator="lessThanOrEqual">
      <formula>G11</formula>
    </cfRule>
  </conditionalFormatting>
  <conditionalFormatting sqref="AJ12">
    <cfRule type="cellIs" dxfId="2" priority="660" operator="lessThanOrEqual">
      <formula>G12</formula>
    </cfRule>
  </conditionalFormatting>
  <conditionalFormatting sqref="AJ13">
    <cfRule type="cellIs" dxfId="2" priority="665" operator="lessThanOrEqual">
      <formula>G13</formula>
    </cfRule>
  </conditionalFormatting>
  <conditionalFormatting sqref="AJ14">
    <cfRule type="cellIs" dxfId="2" priority="670" operator="lessThanOrEqual">
      <formula>G14</formula>
    </cfRule>
  </conditionalFormatting>
  <conditionalFormatting sqref="AJ15">
    <cfRule type="cellIs" dxfId="2" priority="675" operator="lessThanOrEqual">
      <formula>G15</formula>
    </cfRule>
  </conditionalFormatting>
  <conditionalFormatting sqref="AJ16">
    <cfRule type="cellIs" dxfId="2" priority="680" operator="lessThanOrEqual">
      <formula>G16</formula>
    </cfRule>
  </conditionalFormatting>
  <conditionalFormatting sqref="AJ17">
    <cfRule type="cellIs" dxfId="2" priority="685" operator="lessThanOrEqual">
      <formula>G17</formula>
    </cfRule>
  </conditionalFormatting>
  <conditionalFormatting sqref="AJ18">
    <cfRule type="cellIs" dxfId="2" priority="690" operator="lessThanOrEqual">
      <formula>G18</formula>
    </cfRule>
  </conditionalFormatting>
  <conditionalFormatting sqref="AJ19">
    <cfRule type="cellIs" dxfId="2" priority="695" operator="lessThanOrEqual">
      <formula>G19</formula>
    </cfRule>
  </conditionalFormatting>
  <conditionalFormatting sqref="AJ20">
    <cfRule type="cellIs" dxfId="2" priority="700" operator="lessThanOrEqual">
      <formula>G20</formula>
    </cfRule>
  </conditionalFormatting>
  <conditionalFormatting sqref="AJ21">
    <cfRule type="cellIs" dxfId="2" priority="705" operator="lessThanOrEqual">
      <formula>G21</formula>
    </cfRule>
  </conditionalFormatting>
  <conditionalFormatting sqref="AJ22">
    <cfRule type="cellIs" dxfId="2" priority="710" operator="lessThanOrEqual">
      <formula>G22</formula>
    </cfRule>
  </conditionalFormatting>
  <conditionalFormatting sqref="AJ23">
    <cfRule type="cellIs" dxfId="2" priority="715" operator="lessThanOrEqual">
      <formula>G23</formula>
    </cfRule>
  </conditionalFormatting>
  <conditionalFormatting sqref="AJ24">
    <cfRule type="cellIs" dxfId="2" priority="720" operator="lessThanOrEqual">
      <formula>G24</formula>
    </cfRule>
  </conditionalFormatting>
  <conditionalFormatting sqref="AJ25">
    <cfRule type="cellIs" dxfId="2" priority="725" operator="lessThanOrEqual">
      <formula>G25</formula>
    </cfRule>
  </conditionalFormatting>
  <conditionalFormatting sqref="AJ26">
    <cfRule type="cellIs" dxfId="2" priority="730" operator="lessThanOrEqual">
      <formula>G26</formula>
    </cfRule>
  </conditionalFormatting>
  <conditionalFormatting sqref="AJ27">
    <cfRule type="cellIs" dxfId="2" priority="735" operator="lessThanOrEqual">
      <formula>G27</formula>
    </cfRule>
  </conditionalFormatting>
  <conditionalFormatting sqref="AJ28">
    <cfRule type="cellIs" dxfId="2" priority="740" operator="lessThanOrEqual">
      <formula>G28</formula>
    </cfRule>
  </conditionalFormatting>
  <conditionalFormatting sqref="AJ29">
    <cfRule type="cellIs" dxfId="2" priority="745" operator="lessThanOrEqual">
      <formula>G29</formula>
    </cfRule>
  </conditionalFormatting>
  <conditionalFormatting sqref="AJ30">
    <cfRule type="cellIs" dxfId="2" priority="750" operator="lessThanOrEqual">
      <formula>G30</formula>
    </cfRule>
  </conditionalFormatting>
  <conditionalFormatting sqref="AJ31">
    <cfRule type="cellIs" dxfId="2" priority="755" operator="lessThanOrEqual">
      <formula>G31</formula>
    </cfRule>
  </conditionalFormatting>
  <conditionalFormatting sqref="AJ32">
    <cfRule type="cellIs" dxfId="2" priority="760" operator="lessThanOrEqual">
      <formula>G32</formula>
    </cfRule>
  </conditionalFormatting>
  <conditionalFormatting sqref="AJ33">
    <cfRule type="cellIs" dxfId="2" priority="765" operator="lessThanOrEqual">
      <formula>G33</formula>
    </cfRule>
  </conditionalFormatting>
  <conditionalFormatting sqref="AJ34">
    <cfRule type="cellIs" dxfId="2" priority="770" operator="lessThanOrEqual">
      <formula>G34</formula>
    </cfRule>
  </conditionalFormatting>
  <conditionalFormatting sqref="AJ35">
    <cfRule type="cellIs" dxfId="2" priority="775" operator="lessThanOrEqual">
      <formula>G35</formula>
    </cfRule>
  </conditionalFormatting>
  <conditionalFormatting sqref="AJ36">
    <cfRule type="cellIs" dxfId="2" priority="780" operator="lessThanOrEqual">
      <formula>G36</formula>
    </cfRule>
  </conditionalFormatting>
  <conditionalFormatting sqref="AJ37">
    <cfRule type="cellIs" dxfId="2" priority="785" operator="lessThanOrEqual">
      <formula>G37</formula>
    </cfRule>
  </conditionalFormatting>
  <conditionalFormatting sqref="AJ38">
    <cfRule type="cellIs" dxfId="2" priority="790" operator="lessThanOrEqual">
      <formula>G38</formula>
    </cfRule>
  </conditionalFormatting>
  <conditionalFormatting sqref="AJ39">
    <cfRule type="cellIs" dxfId="2" priority="795" operator="lessThanOrEqual">
      <formula>G39</formula>
    </cfRule>
  </conditionalFormatting>
  <conditionalFormatting sqref="AJ40">
    <cfRule type="cellIs" dxfId="2" priority="800" operator="lessThanOrEqual">
      <formula>G40</formula>
    </cfRule>
  </conditionalFormatting>
  <conditionalFormatting sqref="AJ41">
    <cfRule type="cellIs" dxfId="2" priority="805" operator="lessThanOrEqual">
      <formula>G41</formula>
    </cfRule>
  </conditionalFormatting>
  <conditionalFormatting sqref="AJ42">
    <cfRule type="cellIs" dxfId="2" priority="810" operator="lessThanOrEqual">
      <formula>G42</formula>
    </cfRule>
  </conditionalFormatting>
  <conditionalFormatting sqref="AJ43">
    <cfRule type="cellIs" dxfId="2" priority="815" operator="lessThanOrEqual">
      <formula>G43</formula>
    </cfRule>
  </conditionalFormatting>
  <conditionalFormatting sqref="AJ44">
    <cfRule type="cellIs" dxfId="2" priority="820" operator="lessThanOrEqual">
      <formula>G44</formula>
    </cfRule>
  </conditionalFormatting>
  <conditionalFormatting sqref="AJ45">
    <cfRule type="cellIs" dxfId="2" priority="825" operator="lessThanOrEqual">
      <formula>G45</formula>
    </cfRule>
  </conditionalFormatting>
  <conditionalFormatting sqref="AJ46">
    <cfRule type="cellIs" dxfId="2" priority="830" operator="lessThanOrEqual">
      <formula>G46</formula>
    </cfRule>
  </conditionalFormatting>
  <conditionalFormatting sqref="AJ47">
    <cfRule type="cellIs" dxfId="2" priority="835" operator="lessThanOrEqual">
      <formula>G47</formula>
    </cfRule>
  </conditionalFormatting>
  <conditionalFormatting sqref="AJ48">
    <cfRule type="cellIs" dxfId="2" priority="840" operator="lessThanOrEqual">
      <formula>G48</formula>
    </cfRule>
  </conditionalFormatting>
  <conditionalFormatting sqref="AJ49">
    <cfRule type="cellIs" dxfId="2" priority="845" operator="lessThanOrEqual">
      <formula>G49</formula>
    </cfRule>
  </conditionalFormatting>
  <conditionalFormatting sqref="AJ50">
    <cfRule type="cellIs" dxfId="2" priority="850" operator="lessThanOrEqual">
      <formula>G50</formula>
    </cfRule>
  </conditionalFormatting>
  <conditionalFormatting sqref="AJ51">
    <cfRule type="cellIs" dxfId="2" priority="855" operator="lessThanOrEqual">
      <formula>G51</formula>
    </cfRule>
  </conditionalFormatting>
  <conditionalFormatting sqref="AJ52">
    <cfRule type="cellIs" dxfId="2" priority="860" operator="lessThanOrEqual">
      <formula>G52</formula>
    </cfRule>
  </conditionalFormatting>
  <conditionalFormatting sqref="AJ53">
    <cfRule type="cellIs" dxfId="2" priority="865" operator="lessThanOrEqual">
      <formula>G53</formula>
    </cfRule>
  </conditionalFormatting>
  <conditionalFormatting sqref="AJ54">
    <cfRule type="cellIs" dxfId="2" priority="870" operator="lessThanOrEqual">
      <formula>G54</formula>
    </cfRule>
  </conditionalFormatting>
  <conditionalFormatting sqref="AJ8">
    <cfRule type="cellIs" dxfId="2" priority="640" operator="lessThanOrEqual">
      <formula>G8</formula>
    </cfRule>
  </conditionalFormatting>
  <conditionalFormatting sqref="AJ9">
    <cfRule type="cellIs" dxfId="2" priority="645" operator="lessThanOrEqual">
      <formula>G9</formula>
    </cfRule>
  </conditionalFormatting>
  <conditionalFormatting sqref="AL10">
    <cfRule type="cellIs" dxfId="0" priority="877" operator="equal">
      <formula>0</formula>
    </cfRule>
    <cfRule type="cellIs" dxfId="1" priority="878" operator="lessThan">
      <formula>E10</formula>
    </cfRule>
  </conditionalFormatting>
  <conditionalFormatting sqref="AL12">
    <cfRule type="cellIs" dxfId="0" priority="883" operator="equal">
      <formula>0</formula>
    </cfRule>
    <cfRule type="cellIs" dxfId="1" priority="884" operator="lessThan">
      <formula>E12</formula>
    </cfRule>
  </conditionalFormatting>
  <conditionalFormatting sqref="AL13">
    <cfRule type="cellIs" dxfId="0" priority="889" operator="equal">
      <formula>0</formula>
    </cfRule>
    <cfRule type="cellIs" dxfId="1" priority="890" operator="lessThan">
      <formula>E13</formula>
    </cfRule>
  </conditionalFormatting>
  <conditionalFormatting sqref="AL14">
    <cfRule type="cellIs" dxfId="0" priority="894" operator="equal">
      <formula>0</formula>
    </cfRule>
    <cfRule type="cellIs" dxfId="1" priority="895" operator="lessThan">
      <formula>E14</formula>
    </cfRule>
  </conditionalFormatting>
  <conditionalFormatting sqref="AL17">
    <cfRule type="cellIs" dxfId="0" priority="899" operator="equal">
      <formula>0</formula>
    </cfRule>
    <cfRule type="cellIs" dxfId="1" priority="900" operator="lessThan">
      <formula>E17</formula>
    </cfRule>
  </conditionalFormatting>
  <conditionalFormatting sqref="AL18">
    <cfRule type="cellIs" dxfId="0" priority="908" operator="equal">
      <formula>0</formula>
    </cfRule>
    <cfRule type="cellIs" dxfId="1" priority="909" operator="lessThan">
      <formula>E18</formula>
    </cfRule>
  </conditionalFormatting>
  <conditionalFormatting sqref="AL20">
    <cfRule type="cellIs" dxfId="0" priority="914" operator="equal">
      <formula>0</formula>
    </cfRule>
    <cfRule type="cellIs" dxfId="1" priority="915" operator="lessThan">
      <formula>E20</formula>
    </cfRule>
  </conditionalFormatting>
  <conditionalFormatting sqref="AL21">
    <cfRule type="cellIs" dxfId="0" priority="919" operator="equal">
      <formula>0</formula>
    </cfRule>
    <cfRule type="cellIs" dxfId="1" priority="920" operator="lessThan">
      <formula>E21</formula>
    </cfRule>
  </conditionalFormatting>
  <conditionalFormatting sqref="AL22">
    <cfRule type="cellIs" dxfId="0" priority="924" operator="equal">
      <formula>0</formula>
    </cfRule>
    <cfRule type="cellIs" dxfId="1" priority="925" operator="lessThan">
      <formula>E22</formula>
    </cfRule>
  </conditionalFormatting>
  <conditionalFormatting sqref="AL24">
    <cfRule type="cellIs" dxfId="0" priority="933" operator="equal">
      <formula>0</formula>
    </cfRule>
    <cfRule type="cellIs" dxfId="1" priority="934" operator="lessThan">
      <formula>E24</formula>
    </cfRule>
  </conditionalFormatting>
  <conditionalFormatting sqref="AL25">
    <cfRule type="cellIs" dxfId="0" priority="938" operator="equal">
      <formula>0</formula>
    </cfRule>
    <cfRule type="cellIs" dxfId="1" priority="939" operator="lessThan">
      <formula>E25</formula>
    </cfRule>
  </conditionalFormatting>
  <conditionalFormatting sqref="AL26">
    <cfRule type="cellIs" dxfId="0" priority="943" operator="equal">
      <formula>0</formula>
    </cfRule>
    <cfRule type="cellIs" dxfId="1" priority="944" operator="lessThan">
      <formula>E26</formula>
    </cfRule>
  </conditionalFormatting>
  <conditionalFormatting sqref="AL27">
    <cfRule type="cellIs" dxfId="0" priority="948" operator="equal">
      <formula>0</formula>
    </cfRule>
    <cfRule type="cellIs" dxfId="1" priority="949" operator="lessThan">
      <formula>E27</formula>
    </cfRule>
  </conditionalFormatting>
  <conditionalFormatting sqref="AL28">
    <cfRule type="cellIs" dxfId="0" priority="953" operator="equal">
      <formula>0</formula>
    </cfRule>
    <cfRule type="cellIs" dxfId="1" priority="954" operator="lessThan">
      <formula>E28</formula>
    </cfRule>
  </conditionalFormatting>
  <conditionalFormatting sqref="AL29">
    <cfRule type="cellIs" dxfId="0" priority="958" operator="equal">
      <formula>0</formula>
    </cfRule>
    <cfRule type="cellIs" dxfId="1" priority="959" operator="lessThan">
      <formula>E29</formula>
    </cfRule>
  </conditionalFormatting>
  <conditionalFormatting sqref="AL30">
    <cfRule type="cellIs" dxfId="0" priority="964" operator="equal">
      <formula>0</formula>
    </cfRule>
    <cfRule type="cellIs" dxfId="1" priority="965" operator="lessThan">
      <formula>E30</formula>
    </cfRule>
  </conditionalFormatting>
  <conditionalFormatting sqref="AL31">
    <cfRule type="cellIs" dxfId="0" priority="969" operator="equal">
      <formula>0</formula>
    </cfRule>
    <cfRule type="cellIs" dxfId="1" priority="970" operator="lessThan">
      <formula>E31</formula>
    </cfRule>
  </conditionalFormatting>
  <conditionalFormatting sqref="AL32">
    <cfRule type="cellIs" dxfId="0" priority="974" operator="equal">
      <formula>0</formula>
    </cfRule>
    <cfRule type="cellIs" dxfId="1" priority="975" operator="lessThan">
      <formula>E32</formula>
    </cfRule>
  </conditionalFormatting>
  <conditionalFormatting sqref="AL35">
    <cfRule type="cellIs" dxfId="0" priority="980" operator="equal">
      <formula>0</formula>
    </cfRule>
    <cfRule type="cellIs" dxfId="1" priority="981" operator="lessThan">
      <formula>E35</formula>
    </cfRule>
  </conditionalFormatting>
  <conditionalFormatting sqref="AL36">
    <cfRule type="cellIs" dxfId="0" priority="989" operator="equal">
      <formula>0</formula>
    </cfRule>
    <cfRule type="cellIs" dxfId="1" priority="990" operator="lessThan">
      <formula>E36</formula>
    </cfRule>
  </conditionalFormatting>
  <conditionalFormatting sqref="AL37">
    <cfRule type="cellIs" dxfId="0" priority="998" operator="equal">
      <formula>0</formula>
    </cfRule>
    <cfRule type="cellIs" dxfId="1" priority="999" operator="lessThan">
      <formula>E37</formula>
    </cfRule>
  </conditionalFormatting>
  <conditionalFormatting sqref="AL38">
    <cfRule type="cellIs" dxfId="0" priority="1003" operator="equal">
      <formula>0</formula>
    </cfRule>
    <cfRule type="cellIs" dxfId="1" priority="1004" operator="lessThan">
      <formula>E38</formula>
    </cfRule>
  </conditionalFormatting>
  <conditionalFormatting sqref="AL39">
    <cfRule type="cellIs" dxfId="0" priority="1009" operator="equal">
      <formula>0</formula>
    </cfRule>
    <cfRule type="cellIs" dxfId="1" priority="1010" operator="lessThan">
      <formula>E39</formula>
    </cfRule>
  </conditionalFormatting>
  <conditionalFormatting sqref="AL40">
    <cfRule type="cellIs" dxfId="0" priority="1018" operator="equal">
      <formula>0</formula>
    </cfRule>
    <cfRule type="cellIs" dxfId="1" priority="1019" operator="lessThan">
      <formula>E40</formula>
    </cfRule>
  </conditionalFormatting>
  <conditionalFormatting sqref="AL41">
    <cfRule type="cellIs" dxfId="0" priority="1023" operator="equal">
      <formula>0</formula>
    </cfRule>
    <cfRule type="cellIs" dxfId="1" priority="1024" operator="lessThan">
      <formula>E41</formula>
    </cfRule>
  </conditionalFormatting>
  <conditionalFormatting sqref="AL42">
    <cfRule type="cellIs" dxfId="0" priority="1032" operator="equal">
      <formula>0</formula>
    </cfRule>
    <cfRule type="cellIs" dxfId="1" priority="1033" operator="lessThan">
      <formula>E42</formula>
    </cfRule>
  </conditionalFormatting>
  <conditionalFormatting sqref="AL43">
    <cfRule type="cellIs" dxfId="0" priority="1041" operator="equal">
      <formula>0</formula>
    </cfRule>
    <cfRule type="cellIs" dxfId="1" priority="1042" operator="lessThan">
      <formula>E43</formula>
    </cfRule>
  </conditionalFormatting>
  <conditionalFormatting sqref="AL44">
    <cfRule type="cellIs" dxfId="0" priority="1046" operator="equal">
      <formula>0</formula>
    </cfRule>
    <cfRule type="cellIs" dxfId="1" priority="1047" operator="lessThan">
      <formula>E44</formula>
    </cfRule>
  </conditionalFormatting>
  <conditionalFormatting sqref="AL45">
    <cfRule type="cellIs" dxfId="0" priority="1051" operator="equal">
      <formula>0</formula>
    </cfRule>
    <cfRule type="cellIs" dxfId="1" priority="1052" operator="lessThan">
      <formula>E45</formula>
    </cfRule>
  </conditionalFormatting>
  <conditionalFormatting sqref="AL46">
    <cfRule type="cellIs" dxfId="0" priority="1056" operator="equal">
      <formula>0</formula>
    </cfRule>
    <cfRule type="cellIs" dxfId="1" priority="1057" operator="lessThan">
      <formula>E46</formula>
    </cfRule>
  </conditionalFormatting>
  <conditionalFormatting sqref="AL49">
    <cfRule type="cellIs" dxfId="0" priority="1061" operator="equal">
      <formula>0</formula>
    </cfRule>
    <cfRule type="cellIs" dxfId="1" priority="1062" operator="lessThan">
      <formula>E49</formula>
    </cfRule>
  </conditionalFormatting>
  <conditionalFormatting sqref="AL52">
    <cfRule type="cellIs" dxfId="0" priority="1067" operator="equal">
      <formula>0</formula>
    </cfRule>
    <cfRule type="cellIs" dxfId="1" priority="1068" operator="lessThan">
      <formula>E52</formula>
    </cfRule>
  </conditionalFormatting>
  <conditionalFormatting sqref="AL53">
    <cfRule type="cellIs" dxfId="0" priority="1072" operator="equal">
      <formula>0</formula>
    </cfRule>
    <cfRule type="cellIs" dxfId="1" priority="1073" operator="lessThan">
      <formula>E53</formula>
    </cfRule>
  </conditionalFormatting>
  <conditionalFormatting sqref="AL8">
    <cfRule type="cellIs" dxfId="0" priority="872" operator="equal">
      <formula>0</formula>
    </cfRule>
    <cfRule type="cellIs" dxfId="1" priority="873" operator="lessThan">
      <formula>E8</formula>
    </cfRule>
  </conditionalFormatting>
  <conditionalFormatting sqref="AM10">
    <cfRule type="expression" dxfId="3" priority="879">
      <formula>AND(AM10&gt;0,MOD(AM10,AO10)&lt;&gt;0)</formula>
    </cfRule>
    <cfRule type="cellIs" dxfId="0" priority="880" operator="greaterThan">
      <formula>AL10</formula>
    </cfRule>
  </conditionalFormatting>
  <conditionalFormatting sqref="AM12">
    <cfRule type="expression" dxfId="3" priority="885">
      <formula>AND(AM12&gt;0,MOD(AM12,AO12)&lt;&gt;0)</formula>
    </cfRule>
    <cfRule type="cellIs" dxfId="0" priority="886" operator="greaterThan">
      <formula>AL12</formula>
    </cfRule>
  </conditionalFormatting>
  <conditionalFormatting sqref="AM13">
    <cfRule type="cellIs" dxfId="0" priority="891" operator="greaterThan">
      <formula>AL13</formula>
    </cfRule>
  </conditionalFormatting>
  <conditionalFormatting sqref="AM14">
    <cfRule type="cellIs" dxfId="0" priority="896" operator="greaterThan">
      <formula>AL14</formula>
    </cfRule>
  </conditionalFormatting>
  <conditionalFormatting sqref="AM17">
    <cfRule type="expression" dxfId="3" priority="901">
      <formula>AND(AM17&gt;0,MOD(AM17,AO17)&lt;&gt;0)</formula>
    </cfRule>
    <cfRule type="cellIs" dxfId="0" priority="902" operator="greaterThan">
      <formula>AL17</formula>
    </cfRule>
  </conditionalFormatting>
  <conditionalFormatting sqref="AM18">
    <cfRule type="expression" dxfId="3" priority="910">
      <formula>AND(AM18&gt;0,MOD(AM18,AO18)&lt;&gt;0)</formula>
    </cfRule>
    <cfRule type="cellIs" dxfId="0" priority="911" operator="greaterThan">
      <formula>AL18</formula>
    </cfRule>
  </conditionalFormatting>
  <conditionalFormatting sqref="AM20">
    <cfRule type="cellIs" dxfId="0" priority="916" operator="greaterThan">
      <formula>AL20</formula>
    </cfRule>
  </conditionalFormatting>
  <conditionalFormatting sqref="AM21">
    <cfRule type="cellIs" dxfId="0" priority="921" operator="greaterThan">
      <formula>AL21</formula>
    </cfRule>
  </conditionalFormatting>
  <conditionalFormatting sqref="AM22">
    <cfRule type="expression" dxfId="3" priority="926">
      <formula>AND(AM22&gt;0,MOD(AM22,AO22)&lt;&gt;0)</formula>
    </cfRule>
    <cfRule type="cellIs" dxfId="0" priority="927" operator="greaterThan">
      <formula>AL22</formula>
    </cfRule>
  </conditionalFormatting>
  <conditionalFormatting sqref="AM24">
    <cfRule type="cellIs" dxfId="0" priority="935" operator="greaterThan">
      <formula>AL24</formula>
    </cfRule>
  </conditionalFormatting>
  <conditionalFormatting sqref="AM25">
    <cfRule type="cellIs" dxfId="0" priority="940" operator="greaterThan">
      <formula>AL25</formula>
    </cfRule>
  </conditionalFormatting>
  <conditionalFormatting sqref="AM26">
    <cfRule type="cellIs" dxfId="0" priority="945" operator="greaterThan">
      <formula>AL26</formula>
    </cfRule>
  </conditionalFormatting>
  <conditionalFormatting sqref="AM27">
    <cfRule type="cellIs" dxfId="0" priority="950" operator="greaterThan">
      <formula>AL27</formula>
    </cfRule>
  </conditionalFormatting>
  <conditionalFormatting sqref="AM28">
    <cfRule type="cellIs" dxfId="0" priority="955" operator="greaterThan">
      <formula>AL28</formula>
    </cfRule>
  </conditionalFormatting>
  <conditionalFormatting sqref="AM29">
    <cfRule type="expression" dxfId="3" priority="960">
      <formula>AND(AM29&gt;0,MOD(AM29,AO29)&lt;&gt;0)</formula>
    </cfRule>
    <cfRule type="cellIs" dxfId="0" priority="961" operator="greaterThan">
      <formula>AL29</formula>
    </cfRule>
  </conditionalFormatting>
  <conditionalFormatting sqref="AM30">
    <cfRule type="cellIs" dxfId="0" priority="966" operator="greaterThan">
      <formula>AL30</formula>
    </cfRule>
  </conditionalFormatting>
  <conditionalFormatting sqref="AM31">
    <cfRule type="cellIs" dxfId="0" priority="971" operator="greaterThan">
      <formula>AL31</formula>
    </cfRule>
  </conditionalFormatting>
  <conditionalFormatting sqref="AM32">
    <cfRule type="expression" dxfId="3" priority="976">
      <formula>AND(AM32&gt;0,MOD(AM32,AO32)&lt;&gt;0)</formula>
    </cfRule>
    <cfRule type="cellIs" dxfId="0" priority="977" operator="greaterThan">
      <formula>AL32</formula>
    </cfRule>
  </conditionalFormatting>
  <conditionalFormatting sqref="AM35">
    <cfRule type="expression" dxfId="3" priority="982">
      <formula>AND(AM35&gt;0,MOD(AM35,AO35)&lt;&gt;0)</formula>
    </cfRule>
    <cfRule type="cellIs" dxfId="0" priority="983" operator="greaterThan">
      <formula>AL35</formula>
    </cfRule>
  </conditionalFormatting>
  <conditionalFormatting sqref="AM36">
    <cfRule type="expression" dxfId="3" priority="991">
      <formula>AND(AM36&gt;0,MOD(AM36,AO36)&lt;&gt;0)</formula>
    </cfRule>
    <cfRule type="cellIs" dxfId="0" priority="992" operator="greaterThan">
      <formula>AL36</formula>
    </cfRule>
  </conditionalFormatting>
  <conditionalFormatting sqref="AM37">
    <cfRule type="cellIs" dxfId="0" priority="1000" operator="greaterThan">
      <formula>AL37</formula>
    </cfRule>
  </conditionalFormatting>
  <conditionalFormatting sqref="AM38">
    <cfRule type="expression" dxfId="3" priority="1005">
      <formula>AND(AM38&gt;0,MOD(AM38,AO38)&lt;&gt;0)</formula>
    </cfRule>
    <cfRule type="cellIs" dxfId="0" priority="1006" operator="greaterThan">
      <formula>AL38</formula>
    </cfRule>
  </conditionalFormatting>
  <conditionalFormatting sqref="AM39">
    <cfRule type="expression" dxfId="3" priority="1011">
      <formula>AND(AM39&gt;0,MOD(AM39,AO39)&lt;&gt;0)</formula>
    </cfRule>
    <cfRule type="cellIs" dxfId="0" priority="1012" operator="greaterThan">
      <formula>AL39</formula>
    </cfRule>
  </conditionalFormatting>
  <conditionalFormatting sqref="AM40">
    <cfRule type="cellIs" dxfId="0" priority="1020" operator="greaterThan">
      <formula>AL40</formula>
    </cfRule>
  </conditionalFormatting>
  <conditionalFormatting sqref="AM41">
    <cfRule type="expression" dxfId="3" priority="1025">
      <formula>AND(AM41&gt;0,MOD(AM41,AO41)&lt;&gt;0)</formula>
    </cfRule>
    <cfRule type="cellIs" dxfId="0" priority="1026" operator="greaterThan">
      <formula>AL41</formula>
    </cfRule>
  </conditionalFormatting>
  <conditionalFormatting sqref="AM42">
    <cfRule type="expression" dxfId="3" priority="1034">
      <formula>AND(AM42&gt;0,MOD(AM42,AO42)&lt;&gt;0)</formula>
    </cfRule>
    <cfRule type="cellIs" dxfId="0" priority="1035" operator="greaterThan">
      <formula>AL42</formula>
    </cfRule>
  </conditionalFormatting>
  <conditionalFormatting sqref="AM43">
    <cfRule type="cellIs" dxfId="0" priority="1043" operator="greaterThan">
      <formula>AL43</formula>
    </cfRule>
  </conditionalFormatting>
  <conditionalFormatting sqref="AM44">
    <cfRule type="cellIs" dxfId="0" priority="1048" operator="greaterThan">
      <formula>AL44</formula>
    </cfRule>
  </conditionalFormatting>
  <conditionalFormatting sqref="AM45">
    <cfRule type="cellIs" dxfId="0" priority="1053" operator="greaterThan">
      <formula>AL45</formula>
    </cfRule>
  </conditionalFormatting>
  <conditionalFormatting sqref="AM46">
    <cfRule type="cellIs" dxfId="0" priority="1058" operator="greaterThan">
      <formula>AL46</formula>
    </cfRule>
  </conditionalFormatting>
  <conditionalFormatting sqref="AM49">
    <cfRule type="expression" dxfId="3" priority="1063">
      <formula>AND(AM49&gt;0,MOD(AM49,AO49)&lt;&gt;0)</formula>
    </cfRule>
    <cfRule type="cellIs" dxfId="0" priority="1064" operator="greaterThan">
      <formula>AL49</formula>
    </cfRule>
  </conditionalFormatting>
  <conditionalFormatting sqref="AM52">
    <cfRule type="cellIs" dxfId="0" priority="1069" operator="greaterThan">
      <formula>AL52</formula>
    </cfRule>
  </conditionalFormatting>
  <conditionalFormatting sqref="AM53">
    <cfRule type="cellIs" dxfId="0" priority="1074" operator="greaterThan">
      <formula>AL53</formula>
    </cfRule>
  </conditionalFormatting>
  <conditionalFormatting sqref="AM8">
    <cfRule type="cellIs" dxfId="0" priority="874" operator="greaterThan">
      <formula>AL8</formula>
    </cfRule>
  </conditionalFormatting>
  <conditionalFormatting sqref="AN10">
    <cfRule type="cellIs" dxfId="2" priority="882" operator="lessThanOrEqual">
      <formula>F10</formula>
    </cfRule>
  </conditionalFormatting>
  <conditionalFormatting sqref="AN12">
    <cfRule type="cellIs" dxfId="2" priority="888" operator="lessThanOrEqual">
      <formula>F12</formula>
    </cfRule>
  </conditionalFormatting>
  <conditionalFormatting sqref="AN13">
    <cfRule type="cellIs" dxfId="2" priority="893" operator="lessThanOrEqual">
      <formula>F13</formula>
    </cfRule>
  </conditionalFormatting>
  <conditionalFormatting sqref="AN14">
    <cfRule type="cellIs" dxfId="2" priority="898" operator="lessThanOrEqual">
      <formula>F14</formula>
    </cfRule>
  </conditionalFormatting>
  <conditionalFormatting sqref="AN17">
    <cfRule type="cellIs" dxfId="2" priority="904" operator="lessThanOrEqual">
      <formula>F17</formula>
    </cfRule>
    <cfRule type="expression" dxfId="3" priority="905">
      <formula>AND(E17&lt;3000,AM17&lt;3000)</formula>
    </cfRule>
  </conditionalFormatting>
  <conditionalFormatting sqref="AN18">
    <cfRule type="cellIs" dxfId="2" priority="913" operator="lessThanOrEqual">
      <formula>F18</formula>
    </cfRule>
  </conditionalFormatting>
  <conditionalFormatting sqref="AN20">
    <cfRule type="cellIs" dxfId="2" priority="918" operator="lessThanOrEqual">
      <formula>F20</formula>
    </cfRule>
  </conditionalFormatting>
  <conditionalFormatting sqref="AN21">
    <cfRule type="cellIs" dxfId="2" priority="923" operator="lessThanOrEqual">
      <formula>F21</formula>
    </cfRule>
  </conditionalFormatting>
  <conditionalFormatting sqref="AN22">
    <cfRule type="cellIs" dxfId="2" priority="929" operator="lessThanOrEqual">
      <formula>F22</formula>
    </cfRule>
    <cfRule type="expression" dxfId="3" priority="930">
      <formula>AND(E22&lt;8000,AM22&lt;8000)</formula>
    </cfRule>
  </conditionalFormatting>
  <conditionalFormatting sqref="AN24">
    <cfRule type="cellIs" dxfId="2" priority="937" operator="lessThanOrEqual">
      <formula>F24</formula>
    </cfRule>
  </conditionalFormatting>
  <conditionalFormatting sqref="AN25">
    <cfRule type="cellIs" dxfId="2" priority="942" operator="lessThanOrEqual">
      <formula>F25</formula>
    </cfRule>
  </conditionalFormatting>
  <conditionalFormatting sqref="AN26">
    <cfRule type="cellIs" dxfId="2" priority="947" operator="lessThanOrEqual">
      <formula>F26</formula>
    </cfRule>
  </conditionalFormatting>
  <conditionalFormatting sqref="AN27">
    <cfRule type="cellIs" dxfId="2" priority="952" operator="lessThanOrEqual">
      <formula>F27</formula>
    </cfRule>
  </conditionalFormatting>
  <conditionalFormatting sqref="AN28">
    <cfRule type="cellIs" dxfId="2" priority="957" operator="lessThanOrEqual">
      <formula>F28</formula>
    </cfRule>
  </conditionalFormatting>
  <conditionalFormatting sqref="AN29">
    <cfRule type="cellIs" dxfId="2" priority="963" operator="lessThanOrEqual">
      <formula>F29</formula>
    </cfRule>
  </conditionalFormatting>
  <conditionalFormatting sqref="AN30">
    <cfRule type="cellIs" dxfId="2" priority="968" operator="lessThanOrEqual">
      <formula>F30</formula>
    </cfRule>
  </conditionalFormatting>
  <conditionalFormatting sqref="AN31">
    <cfRule type="cellIs" dxfId="2" priority="973" operator="lessThanOrEqual">
      <formula>F31</formula>
    </cfRule>
  </conditionalFormatting>
  <conditionalFormatting sqref="AN32">
    <cfRule type="cellIs" dxfId="2" priority="979" operator="lessThanOrEqual">
      <formula>F32</formula>
    </cfRule>
  </conditionalFormatting>
  <conditionalFormatting sqref="AN35">
    <cfRule type="cellIs" dxfId="2" priority="985" operator="lessThanOrEqual">
      <formula>F35</formula>
    </cfRule>
    <cfRule type="expression" dxfId="3" priority="986">
      <formula>AND(E35&lt;5000,AM35&lt;5000)</formula>
    </cfRule>
  </conditionalFormatting>
  <conditionalFormatting sqref="AN36">
    <cfRule type="cellIs" dxfId="2" priority="994" operator="lessThanOrEqual">
      <formula>F36</formula>
    </cfRule>
    <cfRule type="expression" dxfId="3" priority="995">
      <formula>AND(E36&lt;25000,AM36&lt;25000)</formula>
    </cfRule>
  </conditionalFormatting>
  <conditionalFormatting sqref="AN37">
    <cfRule type="cellIs" dxfId="2" priority="1002" operator="lessThanOrEqual">
      <formula>F37</formula>
    </cfRule>
  </conditionalFormatting>
  <conditionalFormatting sqref="AN38">
    <cfRule type="cellIs" dxfId="2" priority="1008" operator="lessThanOrEqual">
      <formula>F38</formula>
    </cfRule>
  </conditionalFormatting>
  <conditionalFormatting sqref="AN39">
    <cfRule type="cellIs" dxfId="2" priority="1014" operator="lessThanOrEqual">
      <formula>F39</formula>
    </cfRule>
    <cfRule type="expression" dxfId="3" priority="1015">
      <formula>AND(E39&lt;40000,AM39&lt;40000)</formula>
    </cfRule>
  </conditionalFormatting>
  <conditionalFormatting sqref="AN40">
    <cfRule type="cellIs" dxfId="2" priority="1022" operator="lessThanOrEqual">
      <formula>F40</formula>
    </cfRule>
  </conditionalFormatting>
  <conditionalFormatting sqref="AN41">
    <cfRule type="cellIs" dxfId="2" priority="1028" operator="lessThanOrEqual">
      <formula>F41</formula>
    </cfRule>
    <cfRule type="expression" dxfId="3" priority="1029">
      <formula>AND(E41&lt;5000,AM41&lt;5000)</formula>
    </cfRule>
  </conditionalFormatting>
  <conditionalFormatting sqref="AN42">
    <cfRule type="cellIs" dxfId="2" priority="1037" operator="lessThanOrEqual">
      <formula>F42</formula>
    </cfRule>
    <cfRule type="expression" dxfId="3" priority="1038">
      <formula>AND(E42&lt;7000,AM42&lt;7000)</formula>
    </cfRule>
  </conditionalFormatting>
  <conditionalFormatting sqref="AN43">
    <cfRule type="cellIs" dxfId="2" priority="1045" operator="lessThanOrEqual">
      <formula>F43</formula>
    </cfRule>
  </conditionalFormatting>
  <conditionalFormatting sqref="AN44">
    <cfRule type="cellIs" dxfId="2" priority="1050" operator="lessThanOrEqual">
      <formula>F44</formula>
    </cfRule>
  </conditionalFormatting>
  <conditionalFormatting sqref="AN45">
    <cfRule type="cellIs" dxfId="2" priority="1055" operator="lessThanOrEqual">
      <formula>F45</formula>
    </cfRule>
  </conditionalFormatting>
  <conditionalFormatting sqref="AN46">
    <cfRule type="cellIs" dxfId="2" priority="1060" operator="lessThanOrEqual">
      <formula>F46</formula>
    </cfRule>
  </conditionalFormatting>
  <conditionalFormatting sqref="AN49">
    <cfRule type="cellIs" dxfId="2" priority="1066" operator="lessThanOrEqual">
      <formula>F49</formula>
    </cfRule>
  </conditionalFormatting>
  <conditionalFormatting sqref="AN52">
    <cfRule type="cellIs" dxfId="2" priority="1071" operator="lessThanOrEqual">
      <formula>F52</formula>
    </cfRule>
  </conditionalFormatting>
  <conditionalFormatting sqref="AN53">
    <cfRule type="cellIs" dxfId="2" priority="1076" operator="lessThanOrEqual">
      <formula>F53</formula>
    </cfRule>
  </conditionalFormatting>
  <conditionalFormatting sqref="AN8">
    <cfRule type="cellIs" dxfId="2" priority="876" operator="lessThanOrEqual">
      <formula>F8</formula>
    </cfRule>
  </conditionalFormatting>
  <conditionalFormatting sqref="AO17">
    <cfRule type="expression" dxfId="3" priority="906">
      <formula>AND(E17&lt;3000,AM17&lt;3000)</formula>
    </cfRule>
  </conditionalFormatting>
  <conditionalFormatting sqref="AO22">
    <cfRule type="expression" dxfId="3" priority="931">
      <formula>AND(E22&lt;8000,AM22&lt;8000)</formula>
    </cfRule>
  </conditionalFormatting>
  <conditionalFormatting sqref="AO35">
    <cfRule type="expression" dxfId="3" priority="987">
      <formula>AND(E35&lt;5000,AM35&lt;5000)</formula>
    </cfRule>
  </conditionalFormatting>
  <conditionalFormatting sqref="AO36">
    <cfRule type="expression" dxfId="3" priority="996">
      <formula>AND(E36&lt;25000,AM36&lt;25000)</formula>
    </cfRule>
  </conditionalFormatting>
  <conditionalFormatting sqref="AO39">
    <cfRule type="expression" dxfId="3" priority="1016">
      <formula>AND(E39&lt;40000,AM39&lt;40000)</formula>
    </cfRule>
  </conditionalFormatting>
  <conditionalFormatting sqref="AO41">
    <cfRule type="expression" dxfId="3" priority="1030">
      <formula>AND(E41&lt;5000,AM41&lt;5000)</formula>
    </cfRule>
  </conditionalFormatting>
  <conditionalFormatting sqref="AO42">
    <cfRule type="expression" dxfId="3" priority="1039">
      <formula>AND(E42&lt;7000,AM42&lt;7000)</formula>
    </cfRule>
  </conditionalFormatting>
  <conditionalFormatting sqref="AP10">
    <cfRule type="cellIs" dxfId="2" priority="881" operator="lessThanOrEqual">
      <formula>G10</formula>
    </cfRule>
  </conditionalFormatting>
  <conditionalFormatting sqref="AP12">
    <cfRule type="cellIs" dxfId="2" priority="887" operator="lessThanOrEqual">
      <formula>G12</formula>
    </cfRule>
  </conditionalFormatting>
  <conditionalFormatting sqref="AP13">
    <cfRule type="cellIs" dxfId="2" priority="892" operator="lessThanOrEqual">
      <formula>G13</formula>
    </cfRule>
  </conditionalFormatting>
  <conditionalFormatting sqref="AP14">
    <cfRule type="cellIs" dxfId="2" priority="897" operator="lessThanOrEqual">
      <formula>G14</formula>
    </cfRule>
  </conditionalFormatting>
  <conditionalFormatting sqref="AP17">
    <cfRule type="cellIs" dxfId="2" priority="903" operator="lessThanOrEqual">
      <formula>G17</formula>
    </cfRule>
    <cfRule type="expression" dxfId="3" priority="907">
      <formula>AND(E17&lt;3000,AM17&lt;3000)</formula>
    </cfRule>
  </conditionalFormatting>
  <conditionalFormatting sqref="AP18">
    <cfRule type="cellIs" dxfId="2" priority="912" operator="lessThanOrEqual">
      <formula>G18</formula>
    </cfRule>
  </conditionalFormatting>
  <conditionalFormatting sqref="AP20">
    <cfRule type="cellIs" dxfId="2" priority="917" operator="lessThanOrEqual">
      <formula>G20</formula>
    </cfRule>
  </conditionalFormatting>
  <conditionalFormatting sqref="AP21">
    <cfRule type="cellIs" dxfId="2" priority="922" operator="lessThanOrEqual">
      <formula>G21</formula>
    </cfRule>
  </conditionalFormatting>
  <conditionalFormatting sqref="AP22">
    <cfRule type="cellIs" dxfId="2" priority="928" operator="lessThanOrEqual">
      <formula>G22</formula>
    </cfRule>
    <cfRule type="expression" dxfId="3" priority="932">
      <formula>AND(E22&lt;8000,AM22&lt;8000)</formula>
    </cfRule>
  </conditionalFormatting>
  <conditionalFormatting sqref="AP24">
    <cfRule type="cellIs" dxfId="2" priority="936" operator="lessThanOrEqual">
      <formula>G24</formula>
    </cfRule>
  </conditionalFormatting>
  <conditionalFormatting sqref="AP25">
    <cfRule type="cellIs" dxfId="2" priority="941" operator="lessThanOrEqual">
      <formula>G25</formula>
    </cfRule>
  </conditionalFormatting>
  <conditionalFormatting sqref="AP26">
    <cfRule type="cellIs" dxfId="2" priority="946" operator="lessThanOrEqual">
      <formula>G26</formula>
    </cfRule>
  </conditionalFormatting>
  <conditionalFormatting sqref="AP27">
    <cfRule type="cellIs" dxfId="2" priority="951" operator="lessThanOrEqual">
      <formula>G27</formula>
    </cfRule>
  </conditionalFormatting>
  <conditionalFormatting sqref="AP28">
    <cfRule type="cellIs" dxfId="2" priority="956" operator="lessThanOrEqual">
      <formula>G28</formula>
    </cfRule>
  </conditionalFormatting>
  <conditionalFormatting sqref="AP29">
    <cfRule type="cellIs" dxfId="2" priority="962" operator="lessThanOrEqual">
      <formula>G29</formula>
    </cfRule>
  </conditionalFormatting>
  <conditionalFormatting sqref="AP30">
    <cfRule type="cellIs" dxfId="2" priority="967" operator="lessThanOrEqual">
      <formula>G30</formula>
    </cfRule>
  </conditionalFormatting>
  <conditionalFormatting sqref="AP31">
    <cfRule type="cellIs" dxfId="2" priority="972" operator="lessThanOrEqual">
      <formula>G31</formula>
    </cfRule>
  </conditionalFormatting>
  <conditionalFormatting sqref="AP32">
    <cfRule type="cellIs" dxfId="2" priority="978" operator="lessThanOrEqual">
      <formula>G32</formula>
    </cfRule>
  </conditionalFormatting>
  <conditionalFormatting sqref="AP35">
    <cfRule type="cellIs" dxfId="2" priority="984" operator="lessThanOrEqual">
      <formula>G35</formula>
    </cfRule>
    <cfRule type="expression" dxfId="3" priority="988">
      <formula>AND(E35&lt;5000,AM35&lt;5000)</formula>
    </cfRule>
  </conditionalFormatting>
  <conditionalFormatting sqref="AP36">
    <cfRule type="cellIs" dxfId="2" priority="993" operator="lessThanOrEqual">
      <formula>G36</formula>
    </cfRule>
    <cfRule type="expression" dxfId="3" priority="997">
      <formula>AND(E36&lt;25000,AM36&lt;25000)</formula>
    </cfRule>
  </conditionalFormatting>
  <conditionalFormatting sqref="AP37">
    <cfRule type="cellIs" dxfId="2" priority="1001" operator="lessThanOrEqual">
      <formula>G37</formula>
    </cfRule>
  </conditionalFormatting>
  <conditionalFormatting sqref="AP38">
    <cfRule type="cellIs" dxfId="2" priority="1007" operator="lessThanOrEqual">
      <formula>G38</formula>
    </cfRule>
  </conditionalFormatting>
  <conditionalFormatting sqref="AP39">
    <cfRule type="cellIs" dxfId="2" priority="1013" operator="lessThanOrEqual">
      <formula>G39</formula>
    </cfRule>
    <cfRule type="expression" dxfId="3" priority="1017">
      <formula>AND(E39&lt;40000,AM39&lt;40000)</formula>
    </cfRule>
  </conditionalFormatting>
  <conditionalFormatting sqref="AP40">
    <cfRule type="cellIs" dxfId="2" priority="1021" operator="lessThanOrEqual">
      <formula>G40</formula>
    </cfRule>
  </conditionalFormatting>
  <conditionalFormatting sqref="AP41">
    <cfRule type="cellIs" dxfId="2" priority="1027" operator="lessThanOrEqual">
      <formula>G41</formula>
    </cfRule>
    <cfRule type="expression" dxfId="3" priority="1031">
      <formula>AND(E41&lt;5000,AM41&lt;5000)</formula>
    </cfRule>
  </conditionalFormatting>
  <conditionalFormatting sqref="AP42">
    <cfRule type="cellIs" dxfId="2" priority="1036" operator="lessThanOrEqual">
      <formula>G42</formula>
    </cfRule>
    <cfRule type="expression" dxfId="3" priority="1040">
      <formula>AND(E42&lt;7000,AM42&lt;7000)</formula>
    </cfRule>
  </conditionalFormatting>
  <conditionalFormatting sqref="AP43">
    <cfRule type="cellIs" dxfId="2" priority="1044" operator="lessThanOrEqual">
      <formula>G43</formula>
    </cfRule>
  </conditionalFormatting>
  <conditionalFormatting sqref="AP44">
    <cfRule type="cellIs" dxfId="2" priority="1049" operator="lessThanOrEqual">
      <formula>G44</formula>
    </cfRule>
  </conditionalFormatting>
  <conditionalFormatting sqref="AP45">
    <cfRule type="cellIs" dxfId="2" priority="1054" operator="lessThanOrEqual">
      <formula>G45</formula>
    </cfRule>
  </conditionalFormatting>
  <conditionalFormatting sqref="AP46">
    <cfRule type="cellIs" dxfId="2" priority="1059" operator="lessThanOrEqual">
      <formula>G46</formula>
    </cfRule>
  </conditionalFormatting>
  <conditionalFormatting sqref="AP49">
    <cfRule type="cellIs" dxfId="2" priority="1065" operator="lessThanOrEqual">
      <formula>G49</formula>
    </cfRule>
  </conditionalFormatting>
  <conditionalFormatting sqref="AP52">
    <cfRule type="cellIs" dxfId="2" priority="1070" operator="lessThanOrEqual">
      <formula>G52</formula>
    </cfRule>
  </conditionalFormatting>
  <conditionalFormatting sqref="AP53">
    <cfRule type="cellIs" dxfId="2" priority="1075" operator="lessThanOrEqual">
      <formula>G53</formula>
    </cfRule>
  </conditionalFormatting>
  <conditionalFormatting sqref="AP8">
    <cfRule type="cellIs" dxfId="2" priority="875" operator="lessThanOrEqual">
      <formula>G8</formula>
    </cfRule>
  </conditionalFormatting>
  <conditionalFormatting sqref="AR13">
    <cfRule type="cellIs" dxfId="0" priority="1091" operator="equal">
      <formula>0</formula>
    </cfRule>
    <cfRule type="cellIs" dxfId="1" priority="1092" operator="lessThan">
      <formula>E13</formula>
    </cfRule>
  </conditionalFormatting>
  <conditionalFormatting sqref="AR14">
    <cfRule type="cellIs" dxfId="0" priority="1097" operator="equal">
      <formula>0</formula>
    </cfRule>
    <cfRule type="cellIs" dxfId="1" priority="1098" operator="lessThan">
      <formula>E14</formula>
    </cfRule>
  </conditionalFormatting>
  <conditionalFormatting sqref="AR17">
    <cfRule type="cellIs" dxfId="0" priority="1103" operator="equal">
      <formula>0</formula>
    </cfRule>
    <cfRule type="cellIs" dxfId="1" priority="1104" operator="lessThan">
      <formula>E17</formula>
    </cfRule>
  </conditionalFormatting>
  <conditionalFormatting sqref="AR20">
    <cfRule type="cellIs" dxfId="0" priority="1112" operator="equal">
      <formula>0</formula>
    </cfRule>
    <cfRule type="cellIs" dxfId="1" priority="1113" operator="lessThan">
      <formula>E20</formula>
    </cfRule>
  </conditionalFormatting>
  <conditionalFormatting sqref="AR25">
    <cfRule type="cellIs" dxfId="0" priority="1118" operator="equal">
      <formula>0</formula>
    </cfRule>
    <cfRule type="cellIs" dxfId="1" priority="1119" operator="lessThan">
      <formula>E25</formula>
    </cfRule>
  </conditionalFormatting>
  <conditionalFormatting sqref="AR26">
    <cfRule type="cellIs" dxfId="0" priority="1127" operator="equal">
      <formula>0</formula>
    </cfRule>
    <cfRule type="cellIs" dxfId="1" priority="1128" operator="lessThan">
      <formula>E26</formula>
    </cfRule>
  </conditionalFormatting>
  <conditionalFormatting sqref="AR27">
    <cfRule type="cellIs" dxfId="0" priority="1136" operator="equal">
      <formula>0</formula>
    </cfRule>
    <cfRule type="cellIs" dxfId="1" priority="1137" operator="lessThan">
      <formula>E27</formula>
    </cfRule>
  </conditionalFormatting>
  <conditionalFormatting sqref="AR28">
    <cfRule type="cellIs" dxfId="0" priority="1142" operator="equal">
      <formula>0</formula>
    </cfRule>
    <cfRule type="cellIs" dxfId="1" priority="1143" operator="lessThan">
      <formula>E28</formula>
    </cfRule>
  </conditionalFormatting>
  <conditionalFormatting sqref="AR29">
    <cfRule type="cellIs" dxfId="0" priority="1151" operator="equal">
      <formula>0</formula>
    </cfRule>
    <cfRule type="cellIs" dxfId="1" priority="1152" operator="lessThan">
      <formula>E29</formula>
    </cfRule>
  </conditionalFormatting>
  <conditionalFormatting sqref="AR36">
    <cfRule type="cellIs" dxfId="0" priority="1157" operator="equal">
      <formula>0</formula>
    </cfRule>
    <cfRule type="cellIs" dxfId="1" priority="1158" operator="lessThan">
      <formula>E36</formula>
    </cfRule>
  </conditionalFormatting>
  <conditionalFormatting sqref="AR38">
    <cfRule type="cellIs" dxfId="0" priority="1163" operator="equal">
      <formula>0</formula>
    </cfRule>
    <cfRule type="cellIs" dxfId="1" priority="1164" operator="lessThan">
      <formula>E38</formula>
    </cfRule>
  </conditionalFormatting>
  <conditionalFormatting sqref="AR40">
    <cfRule type="cellIs" dxfId="0" priority="1172" operator="equal">
      <formula>0</formula>
    </cfRule>
    <cfRule type="cellIs" dxfId="1" priority="1173" operator="lessThan">
      <formula>E40</formula>
    </cfRule>
  </conditionalFormatting>
  <conditionalFormatting sqref="AR43">
    <cfRule type="cellIs" dxfId="0" priority="1178" operator="equal">
      <formula>0</formula>
    </cfRule>
    <cfRule type="cellIs" dxfId="1" priority="1179" operator="lessThan">
      <formula>E43</formula>
    </cfRule>
  </conditionalFormatting>
  <conditionalFormatting sqref="AR49">
    <cfRule type="cellIs" dxfId="0" priority="1187" operator="equal">
      <formula>0</formula>
    </cfRule>
    <cfRule type="cellIs" dxfId="1" priority="1188" operator="lessThan">
      <formula>E49</formula>
    </cfRule>
  </conditionalFormatting>
  <conditionalFormatting sqref="AR52">
    <cfRule type="cellIs" dxfId="0" priority="1193" operator="equal">
      <formula>0</formula>
    </cfRule>
    <cfRule type="cellIs" dxfId="1" priority="1194" operator="lessThan">
      <formula>E52</formula>
    </cfRule>
  </conditionalFormatting>
  <conditionalFormatting sqref="AR53">
    <cfRule type="cellIs" dxfId="0" priority="1198" operator="equal">
      <formula>0</formula>
    </cfRule>
    <cfRule type="cellIs" dxfId="1" priority="1199" operator="lessThan">
      <formula>E53</formula>
    </cfRule>
  </conditionalFormatting>
  <conditionalFormatting sqref="AR7">
    <cfRule type="cellIs" dxfId="0" priority="1077" operator="equal">
      <formula>0</formula>
    </cfRule>
    <cfRule type="cellIs" dxfId="1" priority="1078" operator="lessThan">
      <formula>E7</formula>
    </cfRule>
  </conditionalFormatting>
  <conditionalFormatting sqref="AR8">
    <cfRule type="cellIs" dxfId="0" priority="1082" operator="equal">
      <formula>0</formula>
    </cfRule>
    <cfRule type="cellIs" dxfId="1" priority="1083" operator="lessThan">
      <formula>E8</formula>
    </cfRule>
  </conditionalFormatting>
  <conditionalFormatting sqref="AS13">
    <cfRule type="expression" dxfId="3" priority="1093">
      <formula>AND(AS13&gt;0,MOD(AS13,AU13)&lt;&gt;0)</formula>
    </cfRule>
    <cfRule type="cellIs" dxfId="0" priority="1094" operator="greaterThan">
      <formula>AR13</formula>
    </cfRule>
  </conditionalFormatting>
  <conditionalFormatting sqref="AS14">
    <cfRule type="expression" dxfId="3" priority="1099">
      <formula>AND(AS14&gt;0,MOD(AS14,AU14)&lt;&gt;0)</formula>
    </cfRule>
    <cfRule type="cellIs" dxfId="0" priority="1100" operator="greaterThan">
      <formula>AR14</formula>
    </cfRule>
  </conditionalFormatting>
  <conditionalFormatting sqref="AS17">
    <cfRule type="expression" dxfId="3" priority="1105">
      <formula>AND(AS17&gt;0,MOD(AS17,AU17)&lt;&gt;0)</formula>
    </cfRule>
    <cfRule type="cellIs" dxfId="0" priority="1106" operator="greaterThan">
      <formula>AR17</formula>
    </cfRule>
  </conditionalFormatting>
  <conditionalFormatting sqref="AS20">
    <cfRule type="expression" dxfId="3" priority="1114">
      <formula>AND(AS20&gt;0,MOD(AS20,AU20)&lt;&gt;0)</formula>
    </cfRule>
    <cfRule type="cellIs" dxfId="0" priority="1115" operator="greaterThan">
      <formula>AR20</formula>
    </cfRule>
  </conditionalFormatting>
  <conditionalFormatting sqref="AS25">
    <cfRule type="expression" dxfId="3" priority="1120">
      <formula>AND(AS25&gt;0,MOD(AS25,AU25)&lt;&gt;0)</formula>
    </cfRule>
    <cfRule type="cellIs" dxfId="0" priority="1121" operator="greaterThan">
      <formula>AR25</formula>
    </cfRule>
  </conditionalFormatting>
  <conditionalFormatting sqref="AS26">
    <cfRule type="expression" dxfId="3" priority="1129">
      <formula>AND(AS26&gt;0,MOD(AS26,AU26)&lt;&gt;0)</formula>
    </cfRule>
    <cfRule type="cellIs" dxfId="0" priority="1130" operator="greaterThan">
      <formula>AR26</formula>
    </cfRule>
  </conditionalFormatting>
  <conditionalFormatting sqref="AS27">
    <cfRule type="expression" dxfId="3" priority="1138">
      <formula>AND(AS27&gt;0,MOD(AS27,AU27)&lt;&gt;0)</formula>
    </cfRule>
    <cfRule type="cellIs" dxfId="0" priority="1139" operator="greaterThan">
      <formula>AR27</formula>
    </cfRule>
  </conditionalFormatting>
  <conditionalFormatting sqref="AS28">
    <cfRule type="expression" dxfId="3" priority="1144">
      <formula>AND(AS28&gt;0,MOD(AS28,AU28)&lt;&gt;0)</formula>
    </cfRule>
    <cfRule type="cellIs" dxfId="0" priority="1145" operator="greaterThan">
      <formula>AR28</formula>
    </cfRule>
  </conditionalFormatting>
  <conditionalFormatting sqref="AS29">
    <cfRule type="expression" dxfId="3" priority="1153">
      <formula>AND(AS29&gt;0,MOD(AS29,AU29)&lt;&gt;0)</formula>
    </cfRule>
    <cfRule type="cellIs" dxfId="0" priority="1154" operator="greaterThan">
      <formula>AR29</formula>
    </cfRule>
  </conditionalFormatting>
  <conditionalFormatting sqref="AS36">
    <cfRule type="expression" dxfId="3" priority="1159">
      <formula>AND(AS36&gt;0,MOD(AS36,AU36)&lt;&gt;0)</formula>
    </cfRule>
    <cfRule type="cellIs" dxfId="0" priority="1160" operator="greaterThan">
      <formula>AR36</formula>
    </cfRule>
  </conditionalFormatting>
  <conditionalFormatting sqref="AS38">
    <cfRule type="expression" dxfId="3" priority="1165">
      <formula>AND(AS38&gt;0,MOD(AS38,AU38)&lt;&gt;0)</formula>
    </cfRule>
    <cfRule type="cellIs" dxfId="0" priority="1166" operator="greaterThan">
      <formula>AR38</formula>
    </cfRule>
  </conditionalFormatting>
  <conditionalFormatting sqref="AS40">
    <cfRule type="expression" dxfId="3" priority="1174">
      <formula>AND(AS40&gt;0,MOD(AS40,AU40)&lt;&gt;0)</formula>
    </cfRule>
    <cfRule type="cellIs" dxfId="0" priority="1175" operator="greaterThan">
      <formula>AR40</formula>
    </cfRule>
  </conditionalFormatting>
  <conditionalFormatting sqref="AS43">
    <cfRule type="expression" dxfId="3" priority="1180">
      <formula>AND(AS43&gt;0,MOD(AS43,AU43)&lt;&gt;0)</formula>
    </cfRule>
    <cfRule type="cellIs" dxfId="0" priority="1181" operator="greaterThan">
      <formula>AR43</formula>
    </cfRule>
  </conditionalFormatting>
  <conditionalFormatting sqref="AS49">
    <cfRule type="expression" dxfId="3" priority="1189">
      <formula>AND(AS49&gt;0,MOD(AS49,AU49)&lt;&gt;0)</formula>
    </cfRule>
    <cfRule type="cellIs" dxfId="0" priority="1190" operator="greaterThan">
      <formula>AR49</formula>
    </cfRule>
  </conditionalFormatting>
  <conditionalFormatting sqref="AS52">
    <cfRule type="cellIs" dxfId="0" priority="1195" operator="greaterThan">
      <formula>AR52</formula>
    </cfRule>
  </conditionalFormatting>
  <conditionalFormatting sqref="AS53">
    <cfRule type="cellIs" dxfId="0" priority="1200" operator="greaterThan">
      <formula>AR53</formula>
    </cfRule>
  </conditionalFormatting>
  <conditionalFormatting sqref="AS7">
    <cfRule type="cellIs" dxfId="0" priority="1079" operator="greaterThan">
      <formula>AR7</formula>
    </cfRule>
  </conditionalFormatting>
  <conditionalFormatting sqref="AS8">
    <cfRule type="expression" dxfId="3" priority="1084">
      <formula>AND(AS8&gt;0,MOD(AS8,AU8)&lt;&gt;0)</formula>
    </cfRule>
    <cfRule type="cellIs" dxfId="0" priority="1085" operator="greaterThan">
      <formula>AR8</formula>
    </cfRule>
  </conditionalFormatting>
  <conditionalFormatting sqref="AT13">
    <cfRule type="cellIs" dxfId="2" priority="1096" operator="lessThanOrEqual">
      <formula>F13</formula>
    </cfRule>
  </conditionalFormatting>
  <conditionalFormatting sqref="AT14">
    <cfRule type="cellIs" dxfId="2" priority="1102" operator="lessThanOrEqual">
      <formula>F14</formula>
    </cfRule>
  </conditionalFormatting>
  <conditionalFormatting sqref="AT17">
    <cfRule type="cellIs" dxfId="2" priority="1108" operator="lessThanOrEqual">
      <formula>F17</formula>
    </cfRule>
    <cfRule type="expression" dxfId="3" priority="1109">
      <formula>AND(E17&lt;500,AS17&lt;500)</formula>
    </cfRule>
  </conditionalFormatting>
  <conditionalFormatting sqref="AT20">
    <cfRule type="cellIs" dxfId="2" priority="1117" operator="lessThanOrEqual">
      <formula>F20</formula>
    </cfRule>
  </conditionalFormatting>
  <conditionalFormatting sqref="AT25">
    <cfRule type="cellIs" dxfId="2" priority="1123" operator="lessThanOrEqual">
      <formula>F25</formula>
    </cfRule>
    <cfRule type="expression" dxfId="3" priority="1124">
      <formula>AND(E25&lt;3580,AS25&lt;3580)</formula>
    </cfRule>
  </conditionalFormatting>
  <conditionalFormatting sqref="AT26">
    <cfRule type="cellIs" dxfId="2" priority="1132" operator="lessThanOrEqual">
      <formula>F26</formula>
    </cfRule>
    <cfRule type="expression" dxfId="3" priority="1133">
      <formula>AND(E26&lt;2630,AS26&lt;2630)</formula>
    </cfRule>
  </conditionalFormatting>
  <conditionalFormatting sqref="AT27">
    <cfRule type="cellIs" dxfId="2" priority="1141" operator="lessThanOrEqual">
      <formula>F27</formula>
    </cfRule>
  </conditionalFormatting>
  <conditionalFormatting sqref="AT28">
    <cfRule type="cellIs" dxfId="2" priority="1147" operator="lessThanOrEqual">
      <formula>F28</formula>
    </cfRule>
    <cfRule type="expression" dxfId="3" priority="1148">
      <formula>AND(E28&lt;6370,AS28&lt;6370)</formula>
    </cfRule>
  </conditionalFormatting>
  <conditionalFormatting sqref="AT29">
    <cfRule type="cellIs" dxfId="2" priority="1156" operator="lessThanOrEqual">
      <formula>F29</formula>
    </cfRule>
  </conditionalFormatting>
  <conditionalFormatting sqref="AT36">
    <cfRule type="cellIs" dxfId="2" priority="1162" operator="lessThanOrEqual">
      <formula>F36</formula>
    </cfRule>
  </conditionalFormatting>
  <conditionalFormatting sqref="AT38">
    <cfRule type="cellIs" dxfId="2" priority="1168" operator="lessThanOrEqual">
      <formula>F38</formula>
    </cfRule>
    <cfRule type="expression" dxfId="3" priority="1169">
      <formula>AND(E38&lt;5000,AS38&lt;5000)</formula>
    </cfRule>
  </conditionalFormatting>
  <conditionalFormatting sqref="AT40">
    <cfRule type="cellIs" dxfId="2" priority="1177" operator="lessThanOrEqual">
      <formula>F40</formula>
    </cfRule>
  </conditionalFormatting>
  <conditionalFormatting sqref="AT43">
    <cfRule type="cellIs" dxfId="2" priority="1183" operator="lessThanOrEqual">
      <formula>F43</formula>
    </cfRule>
    <cfRule type="expression" dxfId="3" priority="1184">
      <formula>AND(E43&lt;2550,AS43&lt;2550)</formula>
    </cfRule>
  </conditionalFormatting>
  <conditionalFormatting sqref="AT49">
    <cfRule type="cellIs" dxfId="2" priority="1192" operator="lessThanOrEqual">
      <formula>F49</formula>
    </cfRule>
  </conditionalFormatting>
  <conditionalFormatting sqref="AT52">
    <cfRule type="cellIs" dxfId="2" priority="1197" operator="lessThanOrEqual">
      <formula>F52</formula>
    </cfRule>
  </conditionalFormatting>
  <conditionalFormatting sqref="AT53">
    <cfRule type="cellIs" dxfId="2" priority="1202" operator="lessThanOrEqual">
      <formula>F53</formula>
    </cfRule>
  </conditionalFormatting>
  <conditionalFormatting sqref="AT7">
    <cfRule type="cellIs" dxfId="2" priority="1081" operator="lessThanOrEqual">
      <formula>F7</formula>
    </cfRule>
  </conditionalFormatting>
  <conditionalFormatting sqref="AT8">
    <cfRule type="cellIs" dxfId="2" priority="1087" operator="lessThanOrEqual">
      <formula>F8</formula>
    </cfRule>
    <cfRule type="expression" dxfId="3" priority="1088">
      <formula>AND(E8&lt;4000,AS8&lt;4000)</formula>
    </cfRule>
  </conditionalFormatting>
  <conditionalFormatting sqref="AU17">
    <cfRule type="expression" dxfId="3" priority="1110">
      <formula>AND(E17&lt;500,AS17&lt;500)</formula>
    </cfRule>
  </conditionalFormatting>
  <conditionalFormatting sqref="AU25">
    <cfRule type="expression" dxfId="3" priority="1125">
      <formula>AND(E25&lt;3580,AS25&lt;3580)</formula>
    </cfRule>
  </conditionalFormatting>
  <conditionalFormatting sqref="AU26">
    <cfRule type="expression" dxfId="3" priority="1134">
      <formula>AND(E26&lt;2630,AS26&lt;2630)</formula>
    </cfRule>
  </conditionalFormatting>
  <conditionalFormatting sqref="AU28">
    <cfRule type="expression" dxfId="3" priority="1149">
      <formula>AND(E28&lt;6370,AS28&lt;6370)</formula>
    </cfRule>
  </conditionalFormatting>
  <conditionalFormatting sqref="AU38">
    <cfRule type="expression" dxfId="3" priority="1170">
      <formula>AND(E38&lt;5000,AS38&lt;5000)</formula>
    </cfRule>
  </conditionalFormatting>
  <conditionalFormatting sqref="AU43">
    <cfRule type="expression" dxfId="3" priority="1185">
      <formula>AND(E43&lt;2550,AS43&lt;2550)</formula>
    </cfRule>
  </conditionalFormatting>
  <conditionalFormatting sqref="AU8">
    <cfRule type="expression" dxfId="3" priority="1089">
      <formula>AND(E8&lt;4000,AS8&lt;4000)</formula>
    </cfRule>
  </conditionalFormatting>
  <conditionalFormatting sqref="AV13">
    <cfRule type="cellIs" dxfId="2" priority="1095" operator="lessThanOrEqual">
      <formula>G13</formula>
    </cfRule>
  </conditionalFormatting>
  <conditionalFormatting sqref="AV14">
    <cfRule type="cellIs" dxfId="2" priority="1101" operator="lessThanOrEqual">
      <formula>G14</formula>
    </cfRule>
  </conditionalFormatting>
  <conditionalFormatting sqref="AV17">
    <cfRule type="cellIs" dxfId="2" priority="1107" operator="lessThanOrEqual">
      <formula>G17</formula>
    </cfRule>
    <cfRule type="expression" dxfId="3" priority="1111">
      <formula>AND(E17&lt;500,AS17&lt;500)</formula>
    </cfRule>
  </conditionalFormatting>
  <conditionalFormatting sqref="AV20">
    <cfRule type="cellIs" dxfId="2" priority="1116" operator="lessThanOrEqual">
      <formula>G20</formula>
    </cfRule>
  </conditionalFormatting>
  <conditionalFormatting sqref="AV25">
    <cfRule type="cellIs" dxfId="2" priority="1122" operator="lessThanOrEqual">
      <formula>G25</formula>
    </cfRule>
    <cfRule type="expression" dxfId="3" priority="1126">
      <formula>AND(E25&lt;3580,AS25&lt;3580)</formula>
    </cfRule>
  </conditionalFormatting>
  <conditionalFormatting sqref="AV26">
    <cfRule type="cellIs" dxfId="2" priority="1131" operator="lessThanOrEqual">
      <formula>G26</formula>
    </cfRule>
    <cfRule type="expression" dxfId="3" priority="1135">
      <formula>AND(E26&lt;2630,AS26&lt;2630)</formula>
    </cfRule>
  </conditionalFormatting>
  <conditionalFormatting sqref="AV27">
    <cfRule type="cellIs" dxfId="2" priority="1140" operator="lessThanOrEqual">
      <formula>G27</formula>
    </cfRule>
  </conditionalFormatting>
  <conditionalFormatting sqref="AV28">
    <cfRule type="cellIs" dxfId="2" priority="1146" operator="lessThanOrEqual">
      <formula>G28</formula>
    </cfRule>
    <cfRule type="expression" dxfId="3" priority="1150">
      <formula>AND(E28&lt;6370,AS28&lt;6370)</formula>
    </cfRule>
  </conditionalFormatting>
  <conditionalFormatting sqref="AV29">
    <cfRule type="cellIs" dxfId="2" priority="1155" operator="lessThanOrEqual">
      <formula>G29</formula>
    </cfRule>
  </conditionalFormatting>
  <conditionalFormatting sqref="AV36">
    <cfRule type="cellIs" dxfId="2" priority="1161" operator="lessThanOrEqual">
      <formula>G36</formula>
    </cfRule>
  </conditionalFormatting>
  <conditionalFormatting sqref="AV38">
    <cfRule type="cellIs" dxfId="2" priority="1167" operator="lessThanOrEqual">
      <formula>G38</formula>
    </cfRule>
    <cfRule type="expression" dxfId="3" priority="1171">
      <formula>AND(E38&lt;5000,AS38&lt;5000)</formula>
    </cfRule>
  </conditionalFormatting>
  <conditionalFormatting sqref="AV40">
    <cfRule type="cellIs" dxfId="2" priority="1176" operator="lessThanOrEqual">
      <formula>G40</formula>
    </cfRule>
  </conditionalFormatting>
  <conditionalFormatting sqref="AV43">
    <cfRule type="cellIs" dxfId="2" priority="1182" operator="lessThanOrEqual">
      <formula>G43</formula>
    </cfRule>
    <cfRule type="expression" dxfId="3" priority="1186">
      <formula>AND(E43&lt;2550,AS43&lt;2550)</formula>
    </cfRule>
  </conditionalFormatting>
  <conditionalFormatting sqref="AV49">
    <cfRule type="cellIs" dxfId="2" priority="1191" operator="lessThanOrEqual">
      <formula>G49</formula>
    </cfRule>
  </conditionalFormatting>
  <conditionalFormatting sqref="AV52">
    <cfRule type="cellIs" dxfId="2" priority="1196" operator="lessThanOrEqual">
      <formula>G52</formula>
    </cfRule>
  </conditionalFormatting>
  <conditionalFormatting sqref="AV53">
    <cfRule type="cellIs" dxfId="2" priority="1201" operator="lessThanOrEqual">
      <formula>G53</formula>
    </cfRule>
  </conditionalFormatting>
  <conditionalFormatting sqref="AV7">
    <cfRule type="cellIs" dxfId="2" priority="1080" operator="lessThanOrEqual">
      <formula>G7</formula>
    </cfRule>
  </conditionalFormatting>
  <conditionalFormatting sqref="AV8">
    <cfRule type="cellIs" dxfId="2" priority="1086" operator="lessThanOrEqual">
      <formula>G8</formula>
    </cfRule>
    <cfRule type="expression" dxfId="3" priority="1090">
      <formula>AND(E8&lt;4000,AS8&lt;4000)</formula>
    </cfRule>
  </conditionalFormatting>
  <conditionalFormatting sqref="AX20">
    <cfRule type="cellIs" dxfId="0" priority="1209" operator="equal">
      <formula>0</formula>
    </cfRule>
    <cfRule type="cellIs" dxfId="1" priority="1210" operator="lessThan">
      <formula>E20</formula>
    </cfRule>
  </conditionalFormatting>
  <conditionalFormatting sqref="AX21">
    <cfRule type="cellIs" dxfId="0" priority="1215" operator="equal">
      <formula>0</formula>
    </cfRule>
    <cfRule type="cellIs" dxfId="1" priority="1216" operator="lessThan">
      <formula>E21</formula>
    </cfRule>
  </conditionalFormatting>
  <conditionalFormatting sqref="AX38">
    <cfRule type="cellIs" dxfId="0" priority="1221" operator="equal">
      <formula>0</formula>
    </cfRule>
    <cfRule type="cellIs" dxfId="1" priority="1222" operator="lessThan">
      <formula>E38</formula>
    </cfRule>
  </conditionalFormatting>
  <conditionalFormatting sqref="AX49">
    <cfRule type="cellIs" dxfId="0" priority="1227" operator="equal">
      <formula>0</formula>
    </cfRule>
    <cfRule type="cellIs" dxfId="1" priority="1228" operator="lessThan">
      <formula>E49</formula>
    </cfRule>
  </conditionalFormatting>
  <conditionalFormatting sqref="AX51">
    <cfRule type="cellIs" dxfId="0" priority="1233" operator="equal">
      <formula>0</formula>
    </cfRule>
    <cfRule type="cellIs" dxfId="1" priority="1234" operator="lessThan">
      <formula>E51</formula>
    </cfRule>
  </conditionalFormatting>
  <conditionalFormatting sqref="AX52">
    <cfRule type="cellIs" dxfId="0" priority="1239" operator="equal">
      <formula>0</formula>
    </cfRule>
    <cfRule type="cellIs" dxfId="1" priority="1240" operator="lessThan">
      <formula>E52</formula>
    </cfRule>
  </conditionalFormatting>
  <conditionalFormatting sqref="AX8">
    <cfRule type="cellIs" dxfId="0" priority="1203" operator="equal">
      <formula>0</formula>
    </cfRule>
    <cfRule type="cellIs" dxfId="1" priority="1204" operator="lessThan">
      <formula>E8</formula>
    </cfRule>
  </conditionalFormatting>
  <conditionalFormatting sqref="AY20">
    <cfRule type="expression" dxfId="3" priority="1211">
      <formula>AND(AY20&gt;0,MOD(AY20,BA20)&lt;&gt;0)</formula>
    </cfRule>
    <cfRule type="cellIs" dxfId="0" priority="1212" operator="greaterThan">
      <formula>AX20</formula>
    </cfRule>
  </conditionalFormatting>
  <conditionalFormatting sqref="AY21">
    <cfRule type="expression" dxfId="3" priority="1217">
      <formula>AND(AY21&gt;0,MOD(AY21,BA21)&lt;&gt;0)</formula>
    </cfRule>
    <cfRule type="cellIs" dxfId="0" priority="1218" operator="greaterThan">
      <formula>AX21</formula>
    </cfRule>
  </conditionalFormatting>
  <conditionalFormatting sqref="AY38">
    <cfRule type="expression" dxfId="3" priority="1223">
      <formula>AND(AY38&gt;0,MOD(AY38,BA38)&lt;&gt;0)</formula>
    </cfRule>
    <cfRule type="cellIs" dxfId="0" priority="1224" operator="greaterThan">
      <formula>AX38</formula>
    </cfRule>
  </conditionalFormatting>
  <conditionalFormatting sqref="AY49">
    <cfRule type="expression" dxfId="3" priority="1229">
      <formula>AND(AY49&gt;0,MOD(AY49,BA49)&lt;&gt;0)</formula>
    </cfRule>
    <cfRule type="cellIs" dxfId="0" priority="1230" operator="greaterThan">
      <formula>AX49</formula>
    </cfRule>
  </conditionalFormatting>
  <conditionalFormatting sqref="AY51">
    <cfRule type="expression" dxfId="3" priority="1235">
      <formula>AND(AY51&gt;0,MOD(AY51,BA51)&lt;&gt;0)</formula>
    </cfRule>
    <cfRule type="cellIs" dxfId="0" priority="1236" operator="greaterThan">
      <formula>AX51</formula>
    </cfRule>
  </conditionalFormatting>
  <conditionalFormatting sqref="AY52">
    <cfRule type="cellIs" dxfId="0" priority="1241" operator="greaterThan">
      <formula>AX52</formula>
    </cfRule>
  </conditionalFormatting>
  <conditionalFormatting sqref="AY8">
    <cfRule type="expression" dxfId="3" priority="1205">
      <formula>AND(AY8&gt;0,MOD(AY8,BA8)&lt;&gt;0)</formula>
    </cfRule>
    <cfRule type="cellIs" dxfId="0" priority="1206" operator="greaterThan">
      <formula>AX8</formula>
    </cfRule>
  </conditionalFormatting>
  <conditionalFormatting sqref="AZ20">
    <cfRule type="cellIs" dxfId="2" priority="1214" operator="lessThanOrEqual">
      <formula>F20</formula>
    </cfRule>
  </conditionalFormatting>
  <conditionalFormatting sqref="AZ21">
    <cfRule type="cellIs" dxfId="2" priority="1220" operator="lessThanOrEqual">
      <formula>F21</formula>
    </cfRule>
  </conditionalFormatting>
  <conditionalFormatting sqref="AZ38">
    <cfRule type="cellIs" dxfId="2" priority="1226" operator="lessThanOrEqual">
      <formula>F38</formula>
    </cfRule>
  </conditionalFormatting>
  <conditionalFormatting sqref="AZ49">
    <cfRule type="cellIs" dxfId="2" priority="1232" operator="lessThanOrEqual">
      <formula>F49</formula>
    </cfRule>
  </conditionalFormatting>
  <conditionalFormatting sqref="AZ51">
    <cfRule type="cellIs" dxfId="2" priority="1238" operator="lessThanOrEqual">
      <formula>F51</formula>
    </cfRule>
  </conditionalFormatting>
  <conditionalFormatting sqref="AZ52">
    <cfRule type="cellIs" dxfId="2" priority="1243" operator="lessThanOrEqual">
      <formula>F52</formula>
    </cfRule>
  </conditionalFormatting>
  <conditionalFormatting sqref="AZ8">
    <cfRule type="cellIs" dxfId="2" priority="1208" operator="lessThanOrEqual">
      <formula>F8</formula>
    </cfRule>
  </conditionalFormatting>
  <conditionalFormatting sqref="BB20">
    <cfRule type="cellIs" dxfId="2" priority="1213" operator="lessThanOrEqual">
      <formula>G20</formula>
    </cfRule>
  </conditionalFormatting>
  <conditionalFormatting sqref="BB21">
    <cfRule type="cellIs" dxfId="2" priority="1219" operator="lessThanOrEqual">
      <formula>G21</formula>
    </cfRule>
  </conditionalFormatting>
  <conditionalFormatting sqref="BB38">
    <cfRule type="cellIs" dxfId="2" priority="1225" operator="lessThanOrEqual">
      <formula>G38</formula>
    </cfRule>
  </conditionalFormatting>
  <conditionalFormatting sqref="BB49">
    <cfRule type="cellIs" dxfId="2" priority="1231" operator="lessThanOrEqual">
      <formula>G49</formula>
    </cfRule>
  </conditionalFormatting>
  <conditionalFormatting sqref="BB51">
    <cfRule type="cellIs" dxfId="2" priority="1237" operator="lessThanOrEqual">
      <formula>G51</formula>
    </cfRule>
  </conditionalFormatting>
  <conditionalFormatting sqref="BB52">
    <cfRule type="cellIs" dxfId="2" priority="1242" operator="lessThanOrEqual">
      <formula>G52</formula>
    </cfRule>
  </conditionalFormatting>
  <conditionalFormatting sqref="BB8">
    <cfRule type="cellIs" dxfId="2" priority="1207" operator="lessThanOrEqual">
      <formula>G8</formula>
    </cfRule>
  </conditionalFormatting>
  <conditionalFormatting sqref="E10">
    <cfRule type="expression" dxfId="4" priority="1256">
      <formula>AND(ISBLANK(D10),ISBLANK(L10),ISBLANK(R10),ISBLANK(X10),ISBLANK(AD10),ISBLANK(AJ10),ISBLANK(AP10),ISBLANK(AV10),ISBLANK(BB10))</formula>
    </cfRule>
    <cfRule type="expression" dxfId="0" priority="1257">
      <formula>IF(SUM(H10,N10,T10,Z10,AF10,AL10,AR10,AX10)=0,1,0)</formula>
    </cfRule>
    <cfRule type="cellIs" dxfId="1" priority="1258" operator="greaterThan">
      <formula>SUM(H10,N10,T10,Z10,AF10,AL10,AR10,AX10)</formula>
    </cfRule>
    <cfRule type="cellIs" dxfId="3" priority="1259" operator="greaterThan">
      <formula>SUM(IF(ISNUMBER(J10),I10,0),IF(ISNUMBER(P10),O10,0),IF(ISNUMBER(V10),U10,0),IF(ISNUMBER(AB10),AA10,0),IF(ISNUMBER(AH10),AG10,0),IF(ISNUMBER(AN10),AM10,0),IF(ISNUMBER(AT10),AS10,0),IF(ISNUMBER(AZ10),AY10,0))</formula>
    </cfRule>
  </conditionalFormatting>
  <conditionalFormatting sqref="E11">
    <cfRule type="expression" dxfId="4" priority="1260">
      <formula>AND(ISBLANK(D11),ISBLANK(L11),ISBLANK(R11),ISBLANK(X11),ISBLANK(AD11),ISBLANK(AJ11),ISBLANK(AP11),ISBLANK(AV11),ISBLANK(BB11))</formula>
    </cfRule>
    <cfRule type="expression" dxfId="0" priority="1261">
      <formula>IF(SUM(H11,N11,T11,Z11,AF11,AL11,AR11,AX11)=0,1,0)</formula>
    </cfRule>
    <cfRule type="cellIs" dxfId="1" priority="1262" operator="greaterThan">
      <formula>SUM(H11,N11,T11,Z11,AF11,AL11,AR11,AX11)</formula>
    </cfRule>
    <cfRule type="cellIs" dxfId="3" priority="1263" operator="greaterThan">
      <formula>SUM(IF(ISNUMBER(J11),I11,0),IF(ISNUMBER(P11),O11,0),IF(ISNUMBER(V11),U11,0),IF(ISNUMBER(AB11),AA11,0),IF(ISNUMBER(AH11),AG11,0),IF(ISNUMBER(AN11),AM11,0),IF(ISNUMBER(AT11),AS11,0),IF(ISNUMBER(AZ11),AY11,0))</formula>
    </cfRule>
  </conditionalFormatting>
  <conditionalFormatting sqref="E12">
    <cfRule type="expression" dxfId="4" priority="1264">
      <formula>AND(ISBLANK(D12),ISBLANK(L12),ISBLANK(R12),ISBLANK(X12),ISBLANK(AD12),ISBLANK(AJ12),ISBLANK(AP12),ISBLANK(AV12),ISBLANK(BB12))</formula>
    </cfRule>
    <cfRule type="expression" dxfId="0" priority="1265">
      <formula>IF(SUM(H12,N12,T12,Z12,AF12,AL12,AR12,AX12)=0,1,0)</formula>
    </cfRule>
    <cfRule type="cellIs" dxfId="1" priority="1266" operator="greaterThan">
      <formula>SUM(H12,N12,T12,Z12,AF12,AL12,AR12,AX12)</formula>
    </cfRule>
    <cfRule type="cellIs" dxfId="3" priority="1267" operator="greaterThan">
      <formula>SUM(IF(ISNUMBER(J12),I12,0),IF(ISNUMBER(P12),O12,0),IF(ISNUMBER(V12),U12,0),IF(ISNUMBER(AB12),AA12,0),IF(ISNUMBER(AH12),AG12,0),IF(ISNUMBER(AN12),AM12,0),IF(ISNUMBER(AT12),AS12,0),IF(ISNUMBER(AZ12),AY12,0))</formula>
    </cfRule>
  </conditionalFormatting>
  <conditionalFormatting sqref="E13">
    <cfRule type="expression" dxfId="4" priority="1268">
      <formula>AND(ISBLANK(D13),ISBLANK(L13),ISBLANK(R13),ISBLANK(X13),ISBLANK(AD13),ISBLANK(AJ13),ISBLANK(AP13),ISBLANK(AV13),ISBLANK(BB13))</formula>
    </cfRule>
    <cfRule type="expression" dxfId="0" priority="1269">
      <formula>IF(SUM(H13,N13,T13,Z13,AF13,AL13,AR13,AX13)=0,1,0)</formula>
    </cfRule>
    <cfRule type="cellIs" dxfId="1" priority="1270" operator="greaterThan">
      <formula>SUM(H13,N13,T13,Z13,AF13,AL13,AR13,AX13)</formula>
    </cfRule>
    <cfRule type="cellIs" dxfId="3" priority="1271" operator="greaterThan">
      <formula>SUM(IF(ISNUMBER(J13),I13,0),IF(ISNUMBER(P13),O13,0),IF(ISNUMBER(V13),U13,0),IF(ISNUMBER(AB13),AA13,0),IF(ISNUMBER(AH13),AG13,0),IF(ISNUMBER(AN13),AM13,0),IF(ISNUMBER(AT13),AS13,0),IF(ISNUMBER(AZ13),AY13,0))</formula>
    </cfRule>
  </conditionalFormatting>
  <conditionalFormatting sqref="E14">
    <cfRule type="expression" dxfId="4" priority="1272">
      <formula>AND(ISBLANK(D14),ISBLANK(L14),ISBLANK(R14),ISBLANK(X14),ISBLANK(AD14),ISBLANK(AJ14),ISBLANK(AP14),ISBLANK(AV14),ISBLANK(BB14))</formula>
    </cfRule>
    <cfRule type="expression" dxfId="0" priority="1273">
      <formula>IF(SUM(H14,N14,T14,Z14,AF14,AL14,AR14,AX14)=0,1,0)</formula>
    </cfRule>
    <cfRule type="cellIs" dxfId="1" priority="1274" operator="greaterThan">
      <formula>SUM(H14,N14,T14,Z14,AF14,AL14,AR14,AX14)</formula>
    </cfRule>
    <cfRule type="cellIs" dxfId="3" priority="1275" operator="greaterThan">
      <formula>SUM(IF(ISNUMBER(J14),I14,0),IF(ISNUMBER(P14),O14,0),IF(ISNUMBER(V14),U14,0),IF(ISNUMBER(AB14),AA14,0),IF(ISNUMBER(AH14),AG14,0),IF(ISNUMBER(AN14),AM14,0),IF(ISNUMBER(AT14),AS14,0),IF(ISNUMBER(AZ14),AY14,0))</formula>
    </cfRule>
  </conditionalFormatting>
  <conditionalFormatting sqref="E15">
    <cfRule type="expression" dxfId="4" priority="1276">
      <formula>AND(ISBLANK(D15),ISBLANK(L15),ISBLANK(R15),ISBLANK(X15),ISBLANK(AD15),ISBLANK(AJ15),ISBLANK(AP15),ISBLANK(AV15),ISBLANK(BB15))</formula>
    </cfRule>
    <cfRule type="expression" dxfId="0" priority="1277">
      <formula>IF(SUM(H15,N15,T15,Z15,AF15,AL15,AR15,AX15)=0,1,0)</formula>
    </cfRule>
    <cfRule type="cellIs" dxfId="1" priority="1278" operator="greaterThan">
      <formula>SUM(H15,N15,T15,Z15,AF15,AL15,AR15,AX15)</formula>
    </cfRule>
    <cfRule type="cellIs" dxfId="3" priority="1279" operator="greaterThan">
      <formula>SUM(IF(ISNUMBER(J15),I15,0),IF(ISNUMBER(P15),O15,0),IF(ISNUMBER(V15),U15,0),IF(ISNUMBER(AB15),AA15,0),IF(ISNUMBER(AH15),AG15,0),IF(ISNUMBER(AN15),AM15,0),IF(ISNUMBER(AT15),AS15,0),IF(ISNUMBER(AZ15),AY15,0))</formula>
    </cfRule>
  </conditionalFormatting>
  <conditionalFormatting sqref="E16">
    <cfRule type="expression" dxfId="4" priority="1280">
      <formula>AND(ISBLANK(D16),ISBLANK(L16),ISBLANK(R16),ISBLANK(X16),ISBLANK(AD16),ISBLANK(AJ16),ISBLANK(AP16),ISBLANK(AV16),ISBLANK(BB16))</formula>
    </cfRule>
    <cfRule type="expression" dxfId="0" priority="1281">
      <formula>IF(SUM(H16,N16,T16,Z16,AF16,AL16,AR16,AX16)=0,1,0)</formula>
    </cfRule>
    <cfRule type="cellIs" dxfId="1" priority="1282" operator="greaterThan">
      <formula>SUM(H16,N16,T16,Z16,AF16,AL16,AR16,AX16)</formula>
    </cfRule>
    <cfRule type="cellIs" dxfId="3" priority="1283" operator="greaterThan">
      <formula>SUM(IF(ISNUMBER(J16),I16,0),IF(ISNUMBER(P16),O16,0),IF(ISNUMBER(V16),U16,0),IF(ISNUMBER(AB16),AA16,0),IF(ISNUMBER(AH16),AG16,0),IF(ISNUMBER(AN16),AM16,0),IF(ISNUMBER(AT16),AS16,0),IF(ISNUMBER(AZ16),AY16,0))</formula>
    </cfRule>
  </conditionalFormatting>
  <conditionalFormatting sqref="E17">
    <cfRule type="expression" dxfId="4" priority="1284">
      <formula>AND(ISBLANK(D17),ISBLANK(L17),ISBLANK(R17),ISBLANK(X17),ISBLANK(AD17),ISBLANK(AJ17),ISBLANK(AP17),ISBLANK(AV17),ISBLANK(BB17))</formula>
    </cfRule>
    <cfRule type="expression" dxfId="0" priority="1285">
      <formula>IF(SUM(H17,N17,T17,Z17,AF17,AL17,AR17,AX17)=0,1,0)</formula>
    </cfRule>
    <cfRule type="cellIs" dxfId="1" priority="1286" operator="greaterThan">
      <formula>SUM(H17,N17,T17,Z17,AF17,AL17,AR17,AX17)</formula>
    </cfRule>
    <cfRule type="cellIs" dxfId="3" priority="1287" operator="greaterThan">
      <formula>SUM(IF(ISNUMBER(J17),I17,0),IF(ISNUMBER(P17),O17,0),IF(ISNUMBER(V17),U17,0),IF(ISNUMBER(AB17),AA17,0),IF(ISNUMBER(AH17),AG17,0),IF(ISNUMBER(AN17),AM17,0),IF(ISNUMBER(AT17),AS17,0),IF(ISNUMBER(AZ17),AY17,0))</formula>
    </cfRule>
  </conditionalFormatting>
  <conditionalFormatting sqref="E18">
    <cfRule type="expression" dxfId="4" priority="1288">
      <formula>AND(ISBLANK(D18),ISBLANK(L18),ISBLANK(R18),ISBLANK(X18),ISBLANK(AD18),ISBLANK(AJ18),ISBLANK(AP18),ISBLANK(AV18),ISBLANK(BB18))</formula>
    </cfRule>
    <cfRule type="expression" dxfId="0" priority="1289">
      <formula>IF(SUM(H18,N18,T18,Z18,AF18,AL18,AR18,AX18)=0,1,0)</formula>
    </cfRule>
    <cfRule type="cellIs" dxfId="1" priority="1290" operator="greaterThan">
      <formula>SUM(H18,N18,T18,Z18,AF18,AL18,AR18,AX18)</formula>
    </cfRule>
    <cfRule type="cellIs" dxfId="3" priority="1291" operator="greaterThan">
      <formula>SUM(IF(ISNUMBER(J18),I18,0),IF(ISNUMBER(P18),O18,0),IF(ISNUMBER(V18),U18,0),IF(ISNUMBER(AB18),AA18,0),IF(ISNUMBER(AH18),AG18,0),IF(ISNUMBER(AN18),AM18,0),IF(ISNUMBER(AT18),AS18,0),IF(ISNUMBER(AZ18),AY18,0))</formula>
    </cfRule>
  </conditionalFormatting>
  <conditionalFormatting sqref="E19">
    <cfRule type="expression" dxfId="4" priority="1292">
      <formula>AND(ISBLANK(D19),ISBLANK(L19),ISBLANK(R19),ISBLANK(X19),ISBLANK(AD19),ISBLANK(AJ19),ISBLANK(AP19),ISBLANK(AV19),ISBLANK(BB19))</formula>
    </cfRule>
    <cfRule type="expression" dxfId="0" priority="1293">
      <formula>IF(SUM(H19,N19,T19,Z19,AF19,AL19,AR19,AX19)=0,1,0)</formula>
    </cfRule>
    <cfRule type="cellIs" dxfId="1" priority="1294" operator="greaterThan">
      <formula>SUM(H19,N19,T19,Z19,AF19,AL19,AR19,AX19)</formula>
    </cfRule>
    <cfRule type="cellIs" dxfId="3" priority="1295" operator="greaterThan">
      <formula>SUM(IF(ISNUMBER(J19),I19,0),IF(ISNUMBER(P19),O19,0),IF(ISNUMBER(V19),U19,0),IF(ISNUMBER(AB19),AA19,0),IF(ISNUMBER(AH19),AG19,0),IF(ISNUMBER(AN19),AM19,0),IF(ISNUMBER(AT19),AS19,0),IF(ISNUMBER(AZ19),AY19,0))</formula>
    </cfRule>
  </conditionalFormatting>
  <conditionalFormatting sqref="E20">
    <cfRule type="expression" dxfId="4" priority="1296">
      <formula>AND(ISBLANK(D20),ISBLANK(L20),ISBLANK(R20),ISBLANK(X20),ISBLANK(AD20),ISBLANK(AJ20),ISBLANK(AP20),ISBLANK(AV20),ISBLANK(BB20))</formula>
    </cfRule>
    <cfRule type="expression" dxfId="0" priority="1297">
      <formula>IF(SUM(H20,N20,T20,Z20,AF20,AL20,AR20,AX20)=0,1,0)</formula>
    </cfRule>
    <cfRule type="cellIs" dxfId="1" priority="1298" operator="greaterThan">
      <formula>SUM(H20,N20,T20,Z20,AF20,AL20,AR20,AX20)</formula>
    </cfRule>
    <cfRule type="cellIs" dxfId="3" priority="1299" operator="greaterThan">
      <formula>SUM(IF(ISNUMBER(J20),I20,0),IF(ISNUMBER(P20),O20,0),IF(ISNUMBER(V20),U20,0),IF(ISNUMBER(AB20),AA20,0),IF(ISNUMBER(AH20),AG20,0),IF(ISNUMBER(AN20),AM20,0),IF(ISNUMBER(AT20),AS20,0),IF(ISNUMBER(AZ20),AY20,0))</formula>
    </cfRule>
  </conditionalFormatting>
  <conditionalFormatting sqref="E21">
    <cfRule type="expression" dxfId="4" priority="1300">
      <formula>AND(ISBLANK(D21),ISBLANK(L21),ISBLANK(R21),ISBLANK(X21),ISBLANK(AD21),ISBLANK(AJ21),ISBLANK(AP21),ISBLANK(AV21),ISBLANK(BB21))</formula>
    </cfRule>
    <cfRule type="expression" dxfId="0" priority="1301">
      <formula>IF(SUM(H21,N21,T21,Z21,AF21,AL21,AR21,AX21)=0,1,0)</formula>
    </cfRule>
    <cfRule type="cellIs" dxfId="1" priority="1302" operator="greaterThan">
      <formula>SUM(H21,N21,T21,Z21,AF21,AL21,AR21,AX21)</formula>
    </cfRule>
    <cfRule type="cellIs" dxfId="3" priority="1303" operator="greaterThan">
      <formula>SUM(IF(ISNUMBER(J21),I21,0),IF(ISNUMBER(P21),O21,0),IF(ISNUMBER(V21),U21,0),IF(ISNUMBER(AB21),AA21,0),IF(ISNUMBER(AH21),AG21,0),IF(ISNUMBER(AN21),AM21,0),IF(ISNUMBER(AT21),AS21,0),IF(ISNUMBER(AZ21),AY21,0))</formula>
    </cfRule>
  </conditionalFormatting>
  <conditionalFormatting sqref="E22">
    <cfRule type="expression" dxfId="4" priority="1304">
      <formula>AND(ISBLANK(D22),ISBLANK(L22),ISBLANK(R22),ISBLANK(X22),ISBLANK(AD22),ISBLANK(AJ22),ISBLANK(AP22),ISBLANK(AV22),ISBLANK(BB22))</formula>
    </cfRule>
    <cfRule type="expression" dxfId="0" priority="1305">
      <formula>IF(SUM(H22,N22,T22,Z22,AF22,AL22,AR22,AX22)=0,1,0)</formula>
    </cfRule>
    <cfRule type="cellIs" dxfId="1" priority="1306" operator="greaterThan">
      <formula>SUM(H22,N22,T22,Z22,AF22,AL22,AR22,AX22)</formula>
    </cfRule>
    <cfRule type="cellIs" dxfId="3" priority="1307" operator="greaterThan">
      <formula>SUM(IF(ISNUMBER(J22),I22,0),IF(ISNUMBER(P22),O22,0),IF(ISNUMBER(V22),U22,0),IF(ISNUMBER(AB22),AA22,0),IF(ISNUMBER(AH22),AG22,0),IF(ISNUMBER(AN22),AM22,0),IF(ISNUMBER(AT22),AS22,0),IF(ISNUMBER(AZ22),AY22,0))</formula>
    </cfRule>
  </conditionalFormatting>
  <conditionalFormatting sqref="E23">
    <cfRule type="expression" dxfId="4" priority="1308">
      <formula>AND(ISBLANK(D23),ISBLANK(L23),ISBLANK(R23),ISBLANK(X23),ISBLANK(AD23),ISBLANK(AJ23),ISBLANK(AP23),ISBLANK(AV23),ISBLANK(BB23))</formula>
    </cfRule>
    <cfRule type="expression" dxfId="0" priority="1309">
      <formula>IF(SUM(H23,N23,T23,Z23,AF23,AL23,AR23,AX23)=0,1,0)</formula>
    </cfRule>
    <cfRule type="cellIs" dxfId="1" priority="1310" operator="greaterThan">
      <formula>SUM(H23,N23,T23,Z23,AF23,AL23,AR23,AX23)</formula>
    </cfRule>
    <cfRule type="cellIs" dxfId="3" priority="1311" operator="greaterThan">
      <formula>SUM(IF(ISNUMBER(J23),I23,0),IF(ISNUMBER(P23),O23,0),IF(ISNUMBER(V23),U23,0),IF(ISNUMBER(AB23),AA23,0),IF(ISNUMBER(AH23),AG23,0),IF(ISNUMBER(AN23),AM23,0),IF(ISNUMBER(AT23),AS23,0),IF(ISNUMBER(AZ23),AY23,0))</formula>
    </cfRule>
  </conditionalFormatting>
  <conditionalFormatting sqref="E24">
    <cfRule type="expression" dxfId="4" priority="1312">
      <formula>AND(ISBLANK(D24),ISBLANK(L24),ISBLANK(R24),ISBLANK(X24),ISBLANK(AD24),ISBLANK(AJ24),ISBLANK(AP24),ISBLANK(AV24),ISBLANK(BB24))</formula>
    </cfRule>
    <cfRule type="expression" dxfId="0" priority="1313">
      <formula>IF(SUM(H24,N24,T24,Z24,AF24,AL24,AR24,AX24)=0,1,0)</formula>
    </cfRule>
    <cfRule type="cellIs" dxfId="1" priority="1314" operator="greaterThan">
      <formula>SUM(H24,N24,T24,Z24,AF24,AL24,AR24,AX24)</formula>
    </cfRule>
    <cfRule type="cellIs" dxfId="3" priority="1315" operator="greaterThan">
      <formula>SUM(IF(ISNUMBER(J24),I24,0),IF(ISNUMBER(P24),O24,0),IF(ISNUMBER(V24),U24,0),IF(ISNUMBER(AB24),AA24,0),IF(ISNUMBER(AH24),AG24,0),IF(ISNUMBER(AN24),AM24,0),IF(ISNUMBER(AT24),AS24,0),IF(ISNUMBER(AZ24),AY24,0))</formula>
    </cfRule>
  </conditionalFormatting>
  <conditionalFormatting sqref="E25">
    <cfRule type="expression" dxfId="4" priority="1316">
      <formula>AND(ISBLANK(D25),ISBLANK(L25),ISBLANK(R25),ISBLANK(X25),ISBLANK(AD25),ISBLANK(AJ25),ISBLANK(AP25),ISBLANK(AV25),ISBLANK(BB25))</formula>
    </cfRule>
    <cfRule type="expression" dxfId="0" priority="1317">
      <formula>IF(SUM(H25,N25,T25,Z25,AF25,AL25,AR25,AX25)=0,1,0)</formula>
    </cfRule>
    <cfRule type="cellIs" dxfId="1" priority="1318" operator="greaterThan">
      <formula>SUM(H25,N25,T25,Z25,AF25,AL25,AR25,AX25)</formula>
    </cfRule>
    <cfRule type="cellIs" dxfId="3" priority="1319" operator="greaterThan">
      <formula>SUM(IF(ISNUMBER(J25),I25,0),IF(ISNUMBER(P25),O25,0),IF(ISNUMBER(V25),U25,0),IF(ISNUMBER(AB25),AA25,0),IF(ISNUMBER(AH25),AG25,0),IF(ISNUMBER(AN25),AM25,0),IF(ISNUMBER(AT25),AS25,0),IF(ISNUMBER(AZ25),AY25,0))</formula>
    </cfRule>
  </conditionalFormatting>
  <conditionalFormatting sqref="E26">
    <cfRule type="expression" dxfId="4" priority="1320">
      <formula>AND(ISBLANK(D26),ISBLANK(L26),ISBLANK(R26),ISBLANK(X26),ISBLANK(AD26),ISBLANK(AJ26),ISBLANK(AP26),ISBLANK(AV26),ISBLANK(BB26))</formula>
    </cfRule>
    <cfRule type="expression" dxfId="0" priority="1321">
      <formula>IF(SUM(H26,N26,T26,Z26,AF26,AL26,AR26,AX26)=0,1,0)</formula>
    </cfRule>
    <cfRule type="cellIs" dxfId="1" priority="1322" operator="greaterThan">
      <formula>SUM(H26,N26,T26,Z26,AF26,AL26,AR26,AX26)</formula>
    </cfRule>
    <cfRule type="cellIs" dxfId="3" priority="1323" operator="greaterThan">
      <formula>SUM(IF(ISNUMBER(J26),I26,0),IF(ISNUMBER(P26),O26,0),IF(ISNUMBER(V26),U26,0),IF(ISNUMBER(AB26),AA26,0),IF(ISNUMBER(AH26),AG26,0),IF(ISNUMBER(AN26),AM26,0),IF(ISNUMBER(AT26),AS26,0),IF(ISNUMBER(AZ26),AY26,0))</formula>
    </cfRule>
  </conditionalFormatting>
  <conditionalFormatting sqref="E27">
    <cfRule type="expression" dxfId="4" priority="1324">
      <formula>AND(ISBLANK(D27),ISBLANK(L27),ISBLANK(R27),ISBLANK(X27),ISBLANK(AD27),ISBLANK(AJ27),ISBLANK(AP27),ISBLANK(AV27),ISBLANK(BB27))</formula>
    </cfRule>
    <cfRule type="expression" dxfId="0" priority="1325">
      <formula>IF(SUM(H27,N27,T27,Z27,AF27,AL27,AR27,AX27)=0,1,0)</formula>
    </cfRule>
    <cfRule type="cellIs" dxfId="1" priority="1326" operator="greaterThan">
      <formula>SUM(H27,N27,T27,Z27,AF27,AL27,AR27,AX27)</formula>
    </cfRule>
    <cfRule type="cellIs" dxfId="3" priority="1327" operator="greaterThan">
      <formula>SUM(IF(ISNUMBER(J27),I27,0),IF(ISNUMBER(P27),O27,0),IF(ISNUMBER(V27),U27,0),IF(ISNUMBER(AB27),AA27,0),IF(ISNUMBER(AH27),AG27,0),IF(ISNUMBER(AN27),AM27,0),IF(ISNUMBER(AT27),AS27,0),IF(ISNUMBER(AZ27),AY27,0))</formula>
    </cfRule>
  </conditionalFormatting>
  <conditionalFormatting sqref="E28">
    <cfRule type="expression" dxfId="4" priority="1328">
      <formula>AND(ISBLANK(D28),ISBLANK(L28),ISBLANK(R28),ISBLANK(X28),ISBLANK(AD28),ISBLANK(AJ28),ISBLANK(AP28),ISBLANK(AV28),ISBLANK(BB28))</formula>
    </cfRule>
    <cfRule type="expression" dxfId="0" priority="1329">
      <formula>IF(SUM(H28,N28,T28,Z28,AF28,AL28,AR28,AX28)=0,1,0)</formula>
    </cfRule>
    <cfRule type="cellIs" dxfId="1" priority="1330" operator="greaterThan">
      <formula>SUM(H28,N28,T28,Z28,AF28,AL28,AR28,AX28)</formula>
    </cfRule>
    <cfRule type="cellIs" dxfId="3" priority="1331" operator="greaterThan">
      <formula>SUM(IF(ISNUMBER(J28),I28,0),IF(ISNUMBER(P28),O28,0),IF(ISNUMBER(V28),U28,0),IF(ISNUMBER(AB28),AA28,0),IF(ISNUMBER(AH28),AG28,0),IF(ISNUMBER(AN28),AM28,0),IF(ISNUMBER(AT28),AS28,0),IF(ISNUMBER(AZ28),AY28,0))</formula>
    </cfRule>
  </conditionalFormatting>
  <conditionalFormatting sqref="E29">
    <cfRule type="expression" dxfId="4" priority="1332">
      <formula>AND(ISBLANK(D29),ISBLANK(L29),ISBLANK(R29),ISBLANK(X29),ISBLANK(AD29),ISBLANK(AJ29),ISBLANK(AP29),ISBLANK(AV29),ISBLANK(BB29))</formula>
    </cfRule>
    <cfRule type="expression" dxfId="0" priority="1333">
      <formula>IF(SUM(H29,N29,T29,Z29,AF29,AL29,AR29,AX29)=0,1,0)</formula>
    </cfRule>
    <cfRule type="cellIs" dxfId="1" priority="1334" operator="greaterThan">
      <formula>SUM(H29,N29,T29,Z29,AF29,AL29,AR29,AX29)</formula>
    </cfRule>
    <cfRule type="cellIs" dxfId="3" priority="1335" operator="greaterThan">
      <formula>SUM(IF(ISNUMBER(J29),I29,0),IF(ISNUMBER(P29),O29,0),IF(ISNUMBER(V29),U29,0),IF(ISNUMBER(AB29),AA29,0),IF(ISNUMBER(AH29),AG29,0),IF(ISNUMBER(AN29),AM29,0),IF(ISNUMBER(AT29),AS29,0),IF(ISNUMBER(AZ29),AY29,0))</formula>
    </cfRule>
  </conditionalFormatting>
  <conditionalFormatting sqref="E30">
    <cfRule type="expression" dxfId="4" priority="1336">
      <formula>AND(ISBLANK(D30),ISBLANK(L30),ISBLANK(R30),ISBLANK(X30),ISBLANK(AD30),ISBLANK(AJ30),ISBLANK(AP30),ISBLANK(AV30),ISBLANK(BB30))</formula>
    </cfRule>
    <cfRule type="expression" dxfId="0" priority="1337">
      <formula>IF(SUM(H30,N30,T30,Z30,AF30,AL30,AR30,AX30)=0,1,0)</formula>
    </cfRule>
    <cfRule type="cellIs" dxfId="1" priority="1338" operator="greaterThan">
      <formula>SUM(H30,N30,T30,Z30,AF30,AL30,AR30,AX30)</formula>
    </cfRule>
    <cfRule type="cellIs" dxfId="3" priority="1339" operator="greaterThan">
      <formula>SUM(IF(ISNUMBER(J30),I30,0),IF(ISNUMBER(P30),O30,0),IF(ISNUMBER(V30),U30,0),IF(ISNUMBER(AB30),AA30,0),IF(ISNUMBER(AH30),AG30,0),IF(ISNUMBER(AN30),AM30,0),IF(ISNUMBER(AT30),AS30,0),IF(ISNUMBER(AZ30),AY30,0))</formula>
    </cfRule>
  </conditionalFormatting>
  <conditionalFormatting sqref="E31">
    <cfRule type="expression" dxfId="4" priority="1340">
      <formula>AND(ISBLANK(D31),ISBLANK(L31),ISBLANK(R31),ISBLANK(X31),ISBLANK(AD31),ISBLANK(AJ31),ISBLANK(AP31),ISBLANK(AV31),ISBLANK(BB31))</formula>
    </cfRule>
    <cfRule type="expression" dxfId="0" priority="1341">
      <formula>IF(SUM(H31,N31,T31,Z31,AF31,AL31,AR31,AX31)=0,1,0)</formula>
    </cfRule>
    <cfRule type="cellIs" dxfId="1" priority="1342" operator="greaterThan">
      <formula>SUM(H31,N31,T31,Z31,AF31,AL31,AR31,AX31)</formula>
    </cfRule>
    <cfRule type="cellIs" dxfId="3" priority="1343" operator="greaterThan">
      <formula>SUM(IF(ISNUMBER(J31),I31,0),IF(ISNUMBER(P31),O31,0),IF(ISNUMBER(V31),U31,0),IF(ISNUMBER(AB31),AA31,0),IF(ISNUMBER(AH31),AG31,0),IF(ISNUMBER(AN31),AM31,0),IF(ISNUMBER(AT31),AS31,0),IF(ISNUMBER(AZ31),AY31,0))</formula>
    </cfRule>
  </conditionalFormatting>
  <conditionalFormatting sqref="E32">
    <cfRule type="expression" dxfId="4" priority="1344">
      <formula>AND(ISBLANK(D32),ISBLANK(L32),ISBLANK(R32),ISBLANK(X32),ISBLANK(AD32),ISBLANK(AJ32),ISBLANK(AP32),ISBLANK(AV32),ISBLANK(BB32))</formula>
    </cfRule>
    <cfRule type="expression" dxfId="0" priority="1345">
      <formula>IF(SUM(H32,N32,T32,Z32,AF32,AL32,AR32,AX32)=0,1,0)</formula>
    </cfRule>
    <cfRule type="cellIs" dxfId="1" priority="1346" operator="greaterThan">
      <formula>SUM(H32,N32,T32,Z32,AF32,AL32,AR32,AX32)</formula>
    </cfRule>
    <cfRule type="cellIs" dxfId="3" priority="1347" operator="greaterThan">
      <formula>SUM(IF(ISNUMBER(J32),I32,0),IF(ISNUMBER(P32),O32,0),IF(ISNUMBER(V32),U32,0),IF(ISNUMBER(AB32),AA32,0),IF(ISNUMBER(AH32),AG32,0),IF(ISNUMBER(AN32),AM32,0),IF(ISNUMBER(AT32),AS32,0),IF(ISNUMBER(AZ32),AY32,0))</formula>
    </cfRule>
  </conditionalFormatting>
  <conditionalFormatting sqref="E33">
    <cfRule type="expression" dxfId="4" priority="1348">
      <formula>AND(ISBLANK(D33),ISBLANK(L33),ISBLANK(R33),ISBLANK(X33),ISBLANK(AD33),ISBLANK(AJ33),ISBLANK(AP33),ISBLANK(AV33),ISBLANK(BB33))</formula>
    </cfRule>
    <cfRule type="expression" dxfId="0" priority="1349">
      <formula>IF(SUM(H33,N33,T33,Z33,AF33,AL33,AR33,AX33)=0,1,0)</formula>
    </cfRule>
    <cfRule type="cellIs" dxfId="1" priority="1350" operator="greaterThan">
      <formula>SUM(H33,N33,T33,Z33,AF33,AL33,AR33,AX33)</formula>
    </cfRule>
    <cfRule type="cellIs" dxfId="3" priority="1351" operator="greaterThan">
      <formula>SUM(IF(ISNUMBER(J33),I33,0),IF(ISNUMBER(P33),O33,0),IF(ISNUMBER(V33),U33,0),IF(ISNUMBER(AB33),AA33,0),IF(ISNUMBER(AH33),AG33,0),IF(ISNUMBER(AN33),AM33,0),IF(ISNUMBER(AT33),AS33,0),IF(ISNUMBER(AZ33),AY33,0))</formula>
    </cfRule>
  </conditionalFormatting>
  <conditionalFormatting sqref="E34">
    <cfRule type="expression" dxfId="4" priority="1352">
      <formula>AND(ISBLANK(D34),ISBLANK(L34),ISBLANK(R34),ISBLANK(X34),ISBLANK(AD34),ISBLANK(AJ34),ISBLANK(AP34),ISBLANK(AV34),ISBLANK(BB34))</formula>
    </cfRule>
    <cfRule type="expression" dxfId="0" priority="1353">
      <formula>IF(SUM(H34,N34,T34,Z34,AF34,AL34,AR34,AX34)=0,1,0)</formula>
    </cfRule>
    <cfRule type="cellIs" dxfId="1" priority="1354" operator="greaterThan">
      <formula>SUM(H34,N34,T34,Z34,AF34,AL34,AR34,AX34)</formula>
    </cfRule>
    <cfRule type="cellIs" dxfId="3" priority="1355" operator="greaterThan">
      <formula>SUM(IF(ISNUMBER(J34),I34,0),IF(ISNUMBER(P34),O34,0),IF(ISNUMBER(V34),U34,0),IF(ISNUMBER(AB34),AA34,0),IF(ISNUMBER(AH34),AG34,0),IF(ISNUMBER(AN34),AM34,0),IF(ISNUMBER(AT34),AS34,0),IF(ISNUMBER(AZ34),AY34,0))</formula>
    </cfRule>
  </conditionalFormatting>
  <conditionalFormatting sqref="E35">
    <cfRule type="expression" dxfId="4" priority="1356">
      <formula>AND(ISBLANK(D35),ISBLANK(L35),ISBLANK(R35),ISBLANK(X35),ISBLANK(AD35),ISBLANK(AJ35),ISBLANK(AP35),ISBLANK(AV35),ISBLANK(BB35))</formula>
    </cfRule>
    <cfRule type="expression" dxfId="0" priority="1357">
      <formula>IF(SUM(H35,N35,T35,Z35,AF35,AL35,AR35,AX35)=0,1,0)</formula>
    </cfRule>
    <cfRule type="cellIs" dxfId="1" priority="1358" operator="greaterThan">
      <formula>SUM(H35,N35,T35,Z35,AF35,AL35,AR35,AX35)</formula>
    </cfRule>
    <cfRule type="cellIs" dxfId="3" priority="1359" operator="greaterThan">
      <formula>SUM(IF(ISNUMBER(J35),I35,0),IF(ISNUMBER(P35),O35,0),IF(ISNUMBER(V35),U35,0),IF(ISNUMBER(AB35),AA35,0),IF(ISNUMBER(AH35),AG35,0),IF(ISNUMBER(AN35),AM35,0),IF(ISNUMBER(AT35),AS35,0),IF(ISNUMBER(AZ35),AY35,0))</formula>
    </cfRule>
  </conditionalFormatting>
  <conditionalFormatting sqref="E36">
    <cfRule type="expression" dxfId="4" priority="1360">
      <formula>AND(ISBLANK(D36),ISBLANK(L36),ISBLANK(R36),ISBLANK(X36),ISBLANK(AD36),ISBLANK(AJ36),ISBLANK(AP36),ISBLANK(AV36),ISBLANK(BB36))</formula>
    </cfRule>
    <cfRule type="expression" dxfId="0" priority="1361">
      <formula>IF(SUM(H36,N36,T36,Z36,AF36,AL36,AR36,AX36)=0,1,0)</formula>
    </cfRule>
    <cfRule type="cellIs" dxfId="1" priority="1362" operator="greaterThan">
      <formula>SUM(H36,N36,T36,Z36,AF36,AL36,AR36,AX36)</formula>
    </cfRule>
    <cfRule type="cellIs" dxfId="3" priority="1363" operator="greaterThan">
      <formula>SUM(IF(ISNUMBER(J36),I36,0),IF(ISNUMBER(P36),O36,0),IF(ISNUMBER(V36),U36,0),IF(ISNUMBER(AB36),AA36,0),IF(ISNUMBER(AH36),AG36,0),IF(ISNUMBER(AN36),AM36,0),IF(ISNUMBER(AT36),AS36,0),IF(ISNUMBER(AZ36),AY36,0))</formula>
    </cfRule>
  </conditionalFormatting>
  <conditionalFormatting sqref="E37">
    <cfRule type="expression" dxfId="4" priority="1364">
      <formula>AND(ISBLANK(D37),ISBLANK(L37),ISBLANK(R37),ISBLANK(X37),ISBLANK(AD37),ISBLANK(AJ37),ISBLANK(AP37),ISBLANK(AV37),ISBLANK(BB37))</formula>
    </cfRule>
    <cfRule type="expression" dxfId="0" priority="1365">
      <formula>IF(SUM(H37,N37,T37,Z37,AF37,AL37,AR37,AX37)=0,1,0)</formula>
    </cfRule>
    <cfRule type="cellIs" dxfId="1" priority="1366" operator="greaterThan">
      <formula>SUM(H37,N37,T37,Z37,AF37,AL37,AR37,AX37)</formula>
    </cfRule>
    <cfRule type="cellIs" dxfId="3" priority="1367" operator="greaterThan">
      <formula>SUM(IF(ISNUMBER(J37),I37,0),IF(ISNUMBER(P37),O37,0),IF(ISNUMBER(V37),U37,0),IF(ISNUMBER(AB37),AA37,0),IF(ISNUMBER(AH37),AG37,0),IF(ISNUMBER(AN37),AM37,0),IF(ISNUMBER(AT37),AS37,0),IF(ISNUMBER(AZ37),AY37,0))</formula>
    </cfRule>
  </conditionalFormatting>
  <conditionalFormatting sqref="E38">
    <cfRule type="expression" dxfId="4" priority="1368">
      <formula>AND(ISBLANK(D38),ISBLANK(L38),ISBLANK(R38),ISBLANK(X38),ISBLANK(AD38),ISBLANK(AJ38),ISBLANK(AP38),ISBLANK(AV38),ISBLANK(BB38))</formula>
    </cfRule>
    <cfRule type="expression" dxfId="0" priority="1369">
      <formula>IF(SUM(H38,N38,T38,Z38,AF38,AL38,AR38,AX38)=0,1,0)</formula>
    </cfRule>
    <cfRule type="cellIs" dxfId="1" priority="1370" operator="greaterThan">
      <formula>SUM(H38,N38,T38,Z38,AF38,AL38,AR38,AX38)</formula>
    </cfRule>
    <cfRule type="cellIs" dxfId="3" priority="1371" operator="greaterThan">
      <formula>SUM(IF(ISNUMBER(J38),I38,0),IF(ISNUMBER(P38),O38,0),IF(ISNUMBER(V38),U38,0),IF(ISNUMBER(AB38),AA38,0),IF(ISNUMBER(AH38),AG38,0),IF(ISNUMBER(AN38),AM38,0),IF(ISNUMBER(AT38),AS38,0),IF(ISNUMBER(AZ38),AY38,0))</formula>
    </cfRule>
  </conditionalFormatting>
  <conditionalFormatting sqref="E39">
    <cfRule type="expression" dxfId="4" priority="1372">
      <formula>AND(ISBLANK(D39),ISBLANK(L39),ISBLANK(R39),ISBLANK(X39),ISBLANK(AD39),ISBLANK(AJ39),ISBLANK(AP39),ISBLANK(AV39),ISBLANK(BB39))</formula>
    </cfRule>
    <cfRule type="expression" dxfId="0" priority="1373">
      <formula>IF(SUM(H39,N39,T39,Z39,AF39,AL39,AR39,AX39)=0,1,0)</formula>
    </cfRule>
    <cfRule type="cellIs" dxfId="1" priority="1374" operator="greaterThan">
      <formula>SUM(H39,N39,T39,Z39,AF39,AL39,AR39,AX39)</formula>
    </cfRule>
    <cfRule type="cellIs" dxfId="3" priority="1375" operator="greaterThan">
      <formula>SUM(IF(ISNUMBER(J39),I39,0),IF(ISNUMBER(P39),O39,0),IF(ISNUMBER(V39),U39,0),IF(ISNUMBER(AB39),AA39,0),IF(ISNUMBER(AH39),AG39,0),IF(ISNUMBER(AN39),AM39,0),IF(ISNUMBER(AT39),AS39,0),IF(ISNUMBER(AZ39),AY39,0))</formula>
    </cfRule>
  </conditionalFormatting>
  <conditionalFormatting sqref="E40">
    <cfRule type="expression" dxfId="4" priority="1376">
      <formula>AND(ISBLANK(D40),ISBLANK(L40),ISBLANK(R40),ISBLANK(X40),ISBLANK(AD40),ISBLANK(AJ40),ISBLANK(AP40),ISBLANK(AV40),ISBLANK(BB40))</formula>
    </cfRule>
    <cfRule type="expression" dxfId="0" priority="1377">
      <formula>IF(SUM(H40,N40,T40,Z40,AF40,AL40,AR40,AX40)=0,1,0)</formula>
    </cfRule>
    <cfRule type="cellIs" dxfId="1" priority="1378" operator="greaterThan">
      <formula>SUM(H40,N40,T40,Z40,AF40,AL40,AR40,AX40)</formula>
    </cfRule>
    <cfRule type="cellIs" dxfId="3" priority="1379" operator="greaterThan">
      <formula>SUM(IF(ISNUMBER(J40),I40,0),IF(ISNUMBER(P40),O40,0),IF(ISNUMBER(V40),U40,0),IF(ISNUMBER(AB40),AA40,0),IF(ISNUMBER(AH40),AG40,0),IF(ISNUMBER(AN40),AM40,0),IF(ISNUMBER(AT40),AS40,0),IF(ISNUMBER(AZ40),AY40,0))</formula>
    </cfRule>
  </conditionalFormatting>
  <conditionalFormatting sqref="E41">
    <cfRule type="expression" dxfId="4" priority="1380">
      <formula>AND(ISBLANK(D41),ISBLANK(L41),ISBLANK(R41),ISBLANK(X41),ISBLANK(AD41),ISBLANK(AJ41),ISBLANK(AP41),ISBLANK(AV41),ISBLANK(BB41))</formula>
    </cfRule>
    <cfRule type="expression" dxfId="0" priority="1381">
      <formula>IF(SUM(H41,N41,T41,Z41,AF41,AL41,AR41,AX41)=0,1,0)</formula>
    </cfRule>
    <cfRule type="cellIs" dxfId="1" priority="1382" operator="greaterThan">
      <formula>SUM(H41,N41,T41,Z41,AF41,AL41,AR41,AX41)</formula>
    </cfRule>
    <cfRule type="cellIs" dxfId="3" priority="1383" operator="greaterThan">
      <formula>SUM(IF(ISNUMBER(J41),I41,0),IF(ISNUMBER(P41),O41,0),IF(ISNUMBER(V41),U41,0),IF(ISNUMBER(AB41),AA41,0),IF(ISNUMBER(AH41),AG41,0),IF(ISNUMBER(AN41),AM41,0),IF(ISNUMBER(AT41),AS41,0),IF(ISNUMBER(AZ41),AY41,0))</formula>
    </cfRule>
  </conditionalFormatting>
  <conditionalFormatting sqref="E42">
    <cfRule type="expression" dxfId="4" priority="1384">
      <formula>AND(ISBLANK(D42),ISBLANK(L42),ISBLANK(R42),ISBLANK(X42),ISBLANK(AD42),ISBLANK(AJ42),ISBLANK(AP42),ISBLANK(AV42),ISBLANK(BB42))</formula>
    </cfRule>
    <cfRule type="expression" dxfId="0" priority="1385">
      <formula>IF(SUM(H42,N42,T42,Z42,AF42,AL42,AR42,AX42)=0,1,0)</formula>
    </cfRule>
    <cfRule type="cellIs" dxfId="1" priority="1386" operator="greaterThan">
      <formula>SUM(H42,N42,T42,Z42,AF42,AL42,AR42,AX42)</formula>
    </cfRule>
    <cfRule type="cellIs" dxfId="3" priority="1387" operator="greaterThan">
      <formula>SUM(IF(ISNUMBER(J42),I42,0),IF(ISNUMBER(P42),O42,0),IF(ISNUMBER(V42),U42,0),IF(ISNUMBER(AB42),AA42,0),IF(ISNUMBER(AH42),AG42,0),IF(ISNUMBER(AN42),AM42,0),IF(ISNUMBER(AT42),AS42,0),IF(ISNUMBER(AZ42),AY42,0))</formula>
    </cfRule>
  </conditionalFormatting>
  <conditionalFormatting sqref="E43">
    <cfRule type="expression" dxfId="4" priority="1388">
      <formula>AND(ISBLANK(D43),ISBLANK(L43),ISBLANK(R43),ISBLANK(X43),ISBLANK(AD43),ISBLANK(AJ43),ISBLANK(AP43),ISBLANK(AV43),ISBLANK(BB43))</formula>
    </cfRule>
    <cfRule type="expression" dxfId="0" priority="1389">
      <formula>IF(SUM(H43,N43,T43,Z43,AF43,AL43,AR43,AX43)=0,1,0)</formula>
    </cfRule>
    <cfRule type="cellIs" dxfId="1" priority="1390" operator="greaterThan">
      <formula>SUM(H43,N43,T43,Z43,AF43,AL43,AR43,AX43)</formula>
    </cfRule>
    <cfRule type="cellIs" dxfId="3" priority="1391" operator="greaterThan">
      <formula>SUM(IF(ISNUMBER(J43),I43,0),IF(ISNUMBER(P43),O43,0),IF(ISNUMBER(V43),U43,0),IF(ISNUMBER(AB43),AA43,0),IF(ISNUMBER(AH43),AG43,0),IF(ISNUMBER(AN43),AM43,0),IF(ISNUMBER(AT43),AS43,0),IF(ISNUMBER(AZ43),AY43,0))</formula>
    </cfRule>
  </conditionalFormatting>
  <conditionalFormatting sqref="E44">
    <cfRule type="expression" dxfId="4" priority="1392">
      <formula>AND(ISBLANK(D44),ISBLANK(L44),ISBLANK(R44),ISBLANK(X44),ISBLANK(AD44),ISBLANK(AJ44),ISBLANK(AP44),ISBLANK(AV44),ISBLANK(BB44))</formula>
    </cfRule>
    <cfRule type="expression" dxfId="0" priority="1393">
      <formula>IF(SUM(H44,N44,T44,Z44,AF44,AL44,AR44,AX44)=0,1,0)</formula>
    </cfRule>
    <cfRule type="cellIs" dxfId="1" priority="1394" operator="greaterThan">
      <formula>SUM(H44,N44,T44,Z44,AF44,AL44,AR44,AX44)</formula>
    </cfRule>
    <cfRule type="cellIs" dxfId="3" priority="1395" operator="greaterThan">
      <formula>SUM(IF(ISNUMBER(J44),I44,0),IF(ISNUMBER(P44),O44,0),IF(ISNUMBER(V44),U44,0),IF(ISNUMBER(AB44),AA44,0),IF(ISNUMBER(AH44),AG44,0),IF(ISNUMBER(AN44),AM44,0),IF(ISNUMBER(AT44),AS44,0),IF(ISNUMBER(AZ44),AY44,0))</formula>
    </cfRule>
  </conditionalFormatting>
  <conditionalFormatting sqref="E45">
    <cfRule type="expression" dxfId="4" priority="1396">
      <formula>AND(ISBLANK(D45),ISBLANK(L45),ISBLANK(R45),ISBLANK(X45),ISBLANK(AD45),ISBLANK(AJ45),ISBLANK(AP45),ISBLANK(AV45),ISBLANK(BB45))</formula>
    </cfRule>
    <cfRule type="expression" dxfId="0" priority="1397">
      <formula>IF(SUM(H45,N45,T45,Z45,AF45,AL45,AR45,AX45)=0,1,0)</formula>
    </cfRule>
    <cfRule type="cellIs" dxfId="1" priority="1398" operator="greaterThan">
      <formula>SUM(H45,N45,T45,Z45,AF45,AL45,AR45,AX45)</formula>
    </cfRule>
    <cfRule type="cellIs" dxfId="3" priority="1399" operator="greaterThan">
      <formula>SUM(IF(ISNUMBER(J45),I45,0),IF(ISNUMBER(P45),O45,0),IF(ISNUMBER(V45),U45,0),IF(ISNUMBER(AB45),AA45,0),IF(ISNUMBER(AH45),AG45,0),IF(ISNUMBER(AN45),AM45,0),IF(ISNUMBER(AT45),AS45,0),IF(ISNUMBER(AZ45),AY45,0))</formula>
    </cfRule>
  </conditionalFormatting>
  <conditionalFormatting sqref="E46">
    <cfRule type="expression" dxfId="4" priority="1400">
      <formula>AND(ISBLANK(D46),ISBLANK(L46),ISBLANK(R46),ISBLANK(X46),ISBLANK(AD46),ISBLANK(AJ46),ISBLANK(AP46),ISBLANK(AV46),ISBLANK(BB46))</formula>
    </cfRule>
    <cfRule type="expression" dxfId="0" priority="1401">
      <formula>IF(SUM(H46,N46,T46,Z46,AF46,AL46,AR46,AX46)=0,1,0)</formula>
    </cfRule>
    <cfRule type="cellIs" dxfId="1" priority="1402" operator="greaterThan">
      <formula>SUM(H46,N46,T46,Z46,AF46,AL46,AR46,AX46)</formula>
    </cfRule>
    <cfRule type="cellIs" dxfId="3" priority="1403" operator="greaterThan">
      <formula>SUM(IF(ISNUMBER(J46),I46,0),IF(ISNUMBER(P46),O46,0),IF(ISNUMBER(V46),U46,0),IF(ISNUMBER(AB46),AA46,0),IF(ISNUMBER(AH46),AG46,0),IF(ISNUMBER(AN46),AM46,0),IF(ISNUMBER(AT46),AS46,0),IF(ISNUMBER(AZ46),AY46,0))</formula>
    </cfRule>
  </conditionalFormatting>
  <conditionalFormatting sqref="E47">
    <cfRule type="expression" dxfId="4" priority="1404">
      <formula>AND(ISBLANK(D47),ISBLANK(L47),ISBLANK(R47),ISBLANK(X47),ISBLANK(AD47),ISBLANK(AJ47),ISBLANK(AP47),ISBLANK(AV47),ISBLANK(BB47))</formula>
    </cfRule>
    <cfRule type="expression" dxfId="0" priority="1405">
      <formula>IF(SUM(H47,N47,T47,Z47,AF47,AL47,AR47,AX47)=0,1,0)</formula>
    </cfRule>
    <cfRule type="cellIs" dxfId="1" priority="1406" operator="greaterThan">
      <formula>SUM(H47,N47,T47,Z47,AF47,AL47,AR47,AX47)</formula>
    </cfRule>
    <cfRule type="cellIs" dxfId="3" priority="1407" operator="greaterThan">
      <formula>SUM(IF(ISNUMBER(J47),I47,0),IF(ISNUMBER(P47),O47,0),IF(ISNUMBER(V47),U47,0),IF(ISNUMBER(AB47),AA47,0),IF(ISNUMBER(AH47),AG47,0),IF(ISNUMBER(AN47),AM47,0),IF(ISNUMBER(AT47),AS47,0),IF(ISNUMBER(AZ47),AY47,0))</formula>
    </cfRule>
  </conditionalFormatting>
  <conditionalFormatting sqref="E48">
    <cfRule type="expression" dxfId="4" priority="1408">
      <formula>AND(ISBLANK(D48),ISBLANK(L48),ISBLANK(R48),ISBLANK(X48),ISBLANK(AD48),ISBLANK(AJ48),ISBLANK(AP48),ISBLANK(AV48),ISBLANK(BB48))</formula>
    </cfRule>
    <cfRule type="expression" dxfId="0" priority="1409">
      <formula>IF(SUM(H48,N48,T48,Z48,AF48,AL48,AR48,AX48)=0,1,0)</formula>
    </cfRule>
    <cfRule type="cellIs" dxfId="1" priority="1410" operator="greaterThan">
      <formula>SUM(H48,N48,T48,Z48,AF48,AL48,AR48,AX48)</formula>
    </cfRule>
    <cfRule type="cellIs" dxfId="3" priority="1411" operator="greaterThan">
      <formula>SUM(IF(ISNUMBER(J48),I48,0),IF(ISNUMBER(P48),O48,0),IF(ISNUMBER(V48),U48,0),IF(ISNUMBER(AB48),AA48,0),IF(ISNUMBER(AH48),AG48,0),IF(ISNUMBER(AN48),AM48,0),IF(ISNUMBER(AT48),AS48,0),IF(ISNUMBER(AZ48),AY48,0))</formula>
    </cfRule>
  </conditionalFormatting>
  <conditionalFormatting sqref="E49">
    <cfRule type="expression" dxfId="4" priority="1412">
      <formula>AND(ISBLANK(D49),ISBLANK(L49),ISBLANK(R49),ISBLANK(X49),ISBLANK(AD49),ISBLANK(AJ49),ISBLANK(AP49),ISBLANK(AV49),ISBLANK(BB49))</formula>
    </cfRule>
    <cfRule type="expression" dxfId="0" priority="1413">
      <formula>IF(SUM(H49,N49,T49,Z49,AF49,AL49,AR49,AX49)=0,1,0)</formula>
    </cfRule>
    <cfRule type="cellIs" dxfId="1" priority="1414" operator="greaterThan">
      <formula>SUM(H49,N49,T49,Z49,AF49,AL49,AR49,AX49)</formula>
    </cfRule>
    <cfRule type="cellIs" dxfId="3" priority="1415" operator="greaterThan">
      <formula>SUM(IF(ISNUMBER(J49),I49,0),IF(ISNUMBER(P49),O49,0),IF(ISNUMBER(V49),U49,0),IF(ISNUMBER(AB49),AA49,0),IF(ISNUMBER(AH49),AG49,0),IF(ISNUMBER(AN49),AM49,0),IF(ISNUMBER(AT49),AS49,0),IF(ISNUMBER(AZ49),AY49,0))</formula>
    </cfRule>
  </conditionalFormatting>
  <conditionalFormatting sqref="E50">
    <cfRule type="expression" dxfId="4" priority="1416">
      <formula>AND(ISBLANK(D50),ISBLANK(L50),ISBLANK(R50),ISBLANK(X50),ISBLANK(AD50),ISBLANK(AJ50),ISBLANK(AP50),ISBLANK(AV50),ISBLANK(BB50))</formula>
    </cfRule>
    <cfRule type="expression" dxfId="0" priority="1417">
      <formula>IF(SUM(H50,N50,T50,Z50,AF50,AL50,AR50,AX50)=0,1,0)</formula>
    </cfRule>
    <cfRule type="cellIs" dxfId="1" priority="1418" operator="greaterThan">
      <formula>SUM(H50,N50,T50,Z50,AF50,AL50,AR50,AX50)</formula>
    </cfRule>
    <cfRule type="cellIs" dxfId="3" priority="1419" operator="greaterThan">
      <formula>SUM(IF(ISNUMBER(J50),I50,0),IF(ISNUMBER(P50),O50,0),IF(ISNUMBER(V50),U50,0),IF(ISNUMBER(AB50),AA50,0),IF(ISNUMBER(AH50),AG50,0),IF(ISNUMBER(AN50),AM50,0),IF(ISNUMBER(AT50),AS50,0),IF(ISNUMBER(AZ50),AY50,0))</formula>
    </cfRule>
  </conditionalFormatting>
  <conditionalFormatting sqref="E51">
    <cfRule type="expression" dxfId="4" priority="1420">
      <formula>AND(ISBLANK(D51),ISBLANK(L51),ISBLANK(R51),ISBLANK(X51),ISBLANK(AD51),ISBLANK(AJ51),ISBLANK(AP51),ISBLANK(AV51),ISBLANK(BB51))</formula>
    </cfRule>
    <cfRule type="expression" dxfId="0" priority="1421">
      <formula>IF(SUM(H51,N51,T51,Z51,AF51,AL51,AR51,AX51)=0,1,0)</formula>
    </cfRule>
    <cfRule type="cellIs" dxfId="1" priority="1422" operator="greaterThan">
      <formula>SUM(H51,N51,T51,Z51,AF51,AL51,AR51,AX51)</formula>
    </cfRule>
    <cfRule type="cellIs" dxfId="3" priority="1423" operator="greaterThan">
      <formula>SUM(IF(ISNUMBER(J51),I51,0),IF(ISNUMBER(P51),O51,0),IF(ISNUMBER(V51),U51,0),IF(ISNUMBER(AB51),AA51,0),IF(ISNUMBER(AH51),AG51,0),IF(ISNUMBER(AN51),AM51,0),IF(ISNUMBER(AT51),AS51,0),IF(ISNUMBER(AZ51),AY51,0))</formula>
    </cfRule>
  </conditionalFormatting>
  <conditionalFormatting sqref="E52">
    <cfRule type="expression" dxfId="4" priority="1424">
      <formula>AND(ISBLANK(D52),ISBLANK(L52),ISBLANK(R52),ISBLANK(X52),ISBLANK(AD52),ISBLANK(AJ52),ISBLANK(AP52),ISBLANK(AV52),ISBLANK(BB52))</formula>
    </cfRule>
    <cfRule type="expression" dxfId="0" priority="1425">
      <formula>IF(SUM(H52,N52,T52,Z52,AF52,AL52,AR52,AX52)=0,1,0)</formula>
    </cfRule>
    <cfRule type="cellIs" dxfId="1" priority="1426" operator="greaterThan">
      <formula>SUM(H52,N52,T52,Z52,AF52,AL52,AR52,AX52)</formula>
    </cfRule>
    <cfRule type="cellIs" dxfId="3" priority="1427" operator="greaterThan">
      <formula>SUM(IF(ISNUMBER(J52),I52,0),IF(ISNUMBER(P52),O52,0),IF(ISNUMBER(V52),U52,0),IF(ISNUMBER(AB52),AA52,0),IF(ISNUMBER(AH52),AG52,0),IF(ISNUMBER(AN52),AM52,0),IF(ISNUMBER(AT52),AS52,0),IF(ISNUMBER(AZ52),AY52,0))</formula>
    </cfRule>
  </conditionalFormatting>
  <conditionalFormatting sqref="E53">
    <cfRule type="expression" dxfId="4" priority="1428">
      <formula>AND(ISBLANK(D53),ISBLANK(L53),ISBLANK(R53),ISBLANK(X53),ISBLANK(AD53),ISBLANK(AJ53),ISBLANK(AP53),ISBLANK(AV53),ISBLANK(BB53))</formula>
    </cfRule>
    <cfRule type="expression" dxfId="0" priority="1429">
      <formula>IF(SUM(H53,N53,T53,Z53,AF53,AL53,AR53,AX53)=0,1,0)</formula>
    </cfRule>
    <cfRule type="cellIs" dxfId="1" priority="1430" operator="greaterThan">
      <formula>SUM(H53,N53,T53,Z53,AF53,AL53,AR53,AX53)</formula>
    </cfRule>
    <cfRule type="cellIs" dxfId="3" priority="1431" operator="greaterThan">
      <formula>SUM(IF(ISNUMBER(J53),I53,0),IF(ISNUMBER(P53),O53,0),IF(ISNUMBER(V53),U53,0),IF(ISNUMBER(AB53),AA53,0),IF(ISNUMBER(AH53),AG53,0),IF(ISNUMBER(AN53),AM53,0),IF(ISNUMBER(AT53),AS53,0),IF(ISNUMBER(AZ53),AY53,0))</formula>
    </cfRule>
  </conditionalFormatting>
  <conditionalFormatting sqref="E54">
    <cfRule type="expression" dxfId="4" priority="1432">
      <formula>AND(ISBLANK(D54),ISBLANK(L54),ISBLANK(R54),ISBLANK(X54),ISBLANK(AD54),ISBLANK(AJ54),ISBLANK(AP54),ISBLANK(AV54),ISBLANK(BB54))</formula>
    </cfRule>
    <cfRule type="expression" dxfId="0" priority="1433">
      <formula>IF(SUM(H54,N54,T54,Z54,AF54,AL54,AR54,AX54)=0,1,0)</formula>
    </cfRule>
    <cfRule type="cellIs" dxfId="1" priority="1434" operator="greaterThan">
      <formula>SUM(H54,N54,T54,Z54,AF54,AL54,AR54,AX54)</formula>
    </cfRule>
    <cfRule type="cellIs" dxfId="3" priority="1435" operator="greaterThan">
      <formula>SUM(IF(ISNUMBER(J54),I54,0),IF(ISNUMBER(P54),O54,0),IF(ISNUMBER(V54),U54,0),IF(ISNUMBER(AB54),AA54,0),IF(ISNUMBER(AH54),AG54,0),IF(ISNUMBER(AN54),AM54,0),IF(ISNUMBER(AT54),AS54,0),IF(ISNUMBER(AZ54),AY54,0))</formula>
    </cfRule>
  </conditionalFormatting>
  <conditionalFormatting sqref="E7">
    <cfRule type="expression" dxfId="4" priority="1244">
      <formula>AND(ISBLANK(D7),ISBLANK(L7),ISBLANK(R7),ISBLANK(X7),ISBLANK(AD7),ISBLANK(AJ7),ISBLANK(AP7),ISBLANK(AV7),ISBLANK(BB7))</formula>
    </cfRule>
    <cfRule type="expression" dxfId="0" priority="1245">
      <formula>IF(SUM(H7,N7,T7,Z7,AF7,AL7,AR7,AX7)=0,1,0)</formula>
    </cfRule>
    <cfRule type="cellIs" dxfId="1" priority="1246" operator="greaterThan">
      <formula>SUM(H7,N7,T7,Z7,AF7,AL7,AR7,AX7)</formula>
    </cfRule>
    <cfRule type="cellIs" dxfId="3" priority="1247" operator="greaterThan">
      <formula>SUM(IF(ISNUMBER(J7),I7,0),IF(ISNUMBER(P7),O7,0),IF(ISNUMBER(V7),U7,0),IF(ISNUMBER(AB7),AA7,0),IF(ISNUMBER(AH7),AG7,0),IF(ISNUMBER(AN7),AM7,0),IF(ISNUMBER(AT7),AS7,0),IF(ISNUMBER(AZ7),AY7,0))</formula>
    </cfRule>
  </conditionalFormatting>
  <conditionalFormatting sqref="E8">
    <cfRule type="expression" dxfId="4" priority="1248">
      <formula>AND(ISBLANK(D8),ISBLANK(L8),ISBLANK(R8),ISBLANK(X8),ISBLANK(AD8),ISBLANK(AJ8),ISBLANK(AP8),ISBLANK(AV8),ISBLANK(BB8))</formula>
    </cfRule>
    <cfRule type="expression" dxfId="0" priority="1249">
      <formula>IF(SUM(H8,N8,T8,Z8,AF8,AL8,AR8,AX8)=0,1,0)</formula>
    </cfRule>
    <cfRule type="cellIs" dxfId="1" priority="1250" operator="greaterThan">
      <formula>SUM(H8,N8,T8,Z8,AF8,AL8,AR8,AX8)</formula>
    </cfRule>
    <cfRule type="cellIs" dxfId="3" priority="1251" operator="greaterThan">
      <formula>SUM(IF(ISNUMBER(J8),I8,0),IF(ISNUMBER(P8),O8,0),IF(ISNUMBER(V8),U8,0),IF(ISNUMBER(AB8),AA8,0),IF(ISNUMBER(AH8),AG8,0),IF(ISNUMBER(AN8),AM8,0),IF(ISNUMBER(AT8),AS8,0),IF(ISNUMBER(AZ8),AY8,0))</formula>
    </cfRule>
  </conditionalFormatting>
  <conditionalFormatting sqref="E9">
    <cfRule type="expression" dxfId="4" priority="1252">
      <formula>AND(ISBLANK(D9),ISBLANK(L9),ISBLANK(R9),ISBLANK(X9),ISBLANK(AD9),ISBLANK(AJ9),ISBLANK(AP9),ISBLANK(AV9),ISBLANK(BB9))</formula>
    </cfRule>
    <cfRule type="expression" dxfId="0" priority="1253">
      <formula>IF(SUM(H9,N9,T9,Z9,AF9,AL9,AR9,AX9)=0,1,0)</formula>
    </cfRule>
    <cfRule type="cellIs" dxfId="1" priority="1254" operator="greaterThan">
      <formula>SUM(H9,N9,T9,Z9,AF9,AL9,AR9,AX9)</formula>
    </cfRule>
    <cfRule type="cellIs" dxfId="3" priority="1255" operator="greaterThan">
      <formula>SUM(IF(ISNUMBER(J9),I9,0),IF(ISNUMBER(P9),O9,0),IF(ISNUMBER(V9),U9,0),IF(ISNUMBER(AB9),AA9,0),IF(ISNUMBER(AH9),AG9,0),IF(ISNUMBER(AN9),AM9,0),IF(ISNUMBER(AT9),AS9,0),IF(ISNUMBER(AZ9),AY9,0))</formula>
    </cfRule>
  </conditionalFormatting>
  <conditionalFormatting sqref="H10">
    <cfRule type="cellIs" dxfId="0" priority="6" operator="equal">
      <formula>0</formula>
    </cfRule>
    <cfRule type="cellIs" dxfId="1" priority="7" operator="lessThan">
      <formula>E10</formula>
    </cfRule>
  </conditionalFormatting>
  <conditionalFormatting sqref="H11">
    <cfRule type="cellIs" dxfId="0" priority="15" operator="equal">
      <formula>0</formula>
    </cfRule>
    <cfRule type="cellIs" dxfId="1" priority="16" operator="lessThan">
      <formula>E11</formula>
    </cfRule>
  </conditionalFormatting>
  <conditionalFormatting sqref="H14">
    <cfRule type="cellIs" dxfId="0" priority="20" operator="equal">
      <formula>0</formula>
    </cfRule>
    <cfRule type="cellIs" dxfId="1" priority="21" operator="lessThan">
      <formula>E14</formula>
    </cfRule>
  </conditionalFormatting>
  <conditionalFormatting sqref="H16">
    <cfRule type="cellIs" dxfId="0" priority="29" operator="equal">
      <formula>0</formula>
    </cfRule>
    <cfRule type="cellIs" dxfId="1" priority="30" operator="lessThan">
      <formula>E16</formula>
    </cfRule>
  </conditionalFormatting>
  <conditionalFormatting sqref="H19">
    <cfRule type="cellIs" dxfId="0" priority="34" operator="equal">
      <formula>0</formula>
    </cfRule>
    <cfRule type="cellIs" dxfId="1" priority="35" operator="lessThan">
      <formula>E19</formula>
    </cfRule>
  </conditionalFormatting>
  <conditionalFormatting sqref="H20">
    <cfRule type="cellIs" dxfId="0" priority="43" operator="equal">
      <formula>0</formula>
    </cfRule>
    <cfRule type="cellIs" dxfId="1" priority="44" operator="lessThan">
      <formula>E20</formula>
    </cfRule>
  </conditionalFormatting>
  <conditionalFormatting sqref="H21">
    <cfRule type="cellIs" dxfId="0" priority="48" operator="equal">
      <formula>0</formula>
    </cfRule>
    <cfRule type="cellIs" dxfId="1" priority="49" operator="lessThan">
      <formula>E21</formula>
    </cfRule>
  </conditionalFormatting>
  <conditionalFormatting sqref="H22">
    <cfRule type="cellIs" dxfId="0" priority="57" operator="equal">
      <formula>0</formula>
    </cfRule>
    <cfRule type="cellIs" dxfId="1" priority="58" operator="lessThan">
      <formula>E22</formula>
    </cfRule>
  </conditionalFormatting>
  <conditionalFormatting sqref="H23">
    <cfRule type="cellIs" dxfId="0" priority="66" operator="equal">
      <formula>0</formula>
    </cfRule>
    <cfRule type="cellIs" dxfId="1" priority="67" operator="lessThan">
      <formula>E23</formula>
    </cfRule>
  </conditionalFormatting>
  <conditionalFormatting sqref="H24">
    <cfRule type="cellIs" dxfId="0" priority="75" operator="equal">
      <formula>0</formula>
    </cfRule>
    <cfRule type="cellIs" dxfId="1" priority="76" operator="lessThan">
      <formula>E24</formula>
    </cfRule>
  </conditionalFormatting>
  <conditionalFormatting sqref="H25">
    <cfRule type="cellIs" dxfId="0" priority="84" operator="equal">
      <formula>0</formula>
    </cfRule>
    <cfRule type="cellIs" dxfId="1" priority="85" operator="lessThan">
      <formula>E25</formula>
    </cfRule>
  </conditionalFormatting>
  <conditionalFormatting sqref="H26">
    <cfRule type="cellIs" dxfId="0" priority="89" operator="equal">
      <formula>0</formula>
    </cfRule>
    <cfRule type="cellIs" dxfId="1" priority="90" operator="lessThan">
      <formula>E26</formula>
    </cfRule>
  </conditionalFormatting>
  <conditionalFormatting sqref="H27">
    <cfRule type="cellIs" dxfId="0" priority="94" operator="equal">
      <formula>0</formula>
    </cfRule>
    <cfRule type="cellIs" dxfId="1" priority="95" operator="lessThan">
      <formula>E27</formula>
    </cfRule>
  </conditionalFormatting>
  <conditionalFormatting sqref="H28">
    <cfRule type="cellIs" dxfId="0" priority="99" operator="equal">
      <formula>0</formula>
    </cfRule>
    <cfRule type="cellIs" dxfId="1" priority="100" operator="lessThan">
      <formula>E28</formula>
    </cfRule>
  </conditionalFormatting>
  <conditionalFormatting sqref="H30">
    <cfRule type="cellIs" dxfId="0" priority="104" operator="equal">
      <formula>0</formula>
    </cfRule>
    <cfRule type="cellIs" dxfId="1" priority="105" operator="lessThan">
      <formula>E30</formula>
    </cfRule>
  </conditionalFormatting>
  <conditionalFormatting sqref="H32">
    <cfRule type="cellIs" dxfId="0" priority="109" operator="equal">
      <formula>0</formula>
    </cfRule>
    <cfRule type="cellIs" dxfId="1" priority="110" operator="lessThan">
      <formula>E32</formula>
    </cfRule>
  </conditionalFormatting>
  <conditionalFormatting sqref="H33">
    <cfRule type="cellIs" dxfId="0" priority="114" operator="equal">
      <formula>0</formula>
    </cfRule>
    <cfRule type="cellIs" dxfId="1" priority="115" operator="lessThan">
      <formula>E33</formula>
    </cfRule>
  </conditionalFormatting>
  <conditionalFormatting sqref="H35">
    <cfRule type="cellIs" dxfId="0" priority="123" operator="equal">
      <formula>0</formula>
    </cfRule>
    <cfRule type="cellIs" dxfId="1" priority="124" operator="lessThan">
      <formula>E35</formula>
    </cfRule>
  </conditionalFormatting>
  <conditionalFormatting sqref="H36">
    <cfRule type="cellIs" dxfId="0" priority="132" operator="equal">
      <formula>0</formula>
    </cfRule>
    <cfRule type="cellIs" dxfId="1" priority="133" operator="lessThan">
      <formula>E36</formula>
    </cfRule>
  </conditionalFormatting>
  <conditionalFormatting sqref="H38">
    <cfRule type="cellIs" dxfId="0" priority="141" operator="equal">
      <formula>0</formula>
    </cfRule>
    <cfRule type="cellIs" dxfId="1" priority="142" operator="lessThan">
      <formula>E38</formula>
    </cfRule>
  </conditionalFormatting>
  <conditionalFormatting sqref="H39">
    <cfRule type="cellIs" dxfId="0" priority="150" operator="equal">
      <formula>0</formula>
    </cfRule>
    <cfRule type="cellIs" dxfId="1" priority="151" operator="lessThan">
      <formula>E39</formula>
    </cfRule>
  </conditionalFormatting>
  <conditionalFormatting sqref="H40">
    <cfRule type="cellIs" dxfId="0" priority="159" operator="equal">
      <formula>0</formula>
    </cfRule>
    <cfRule type="cellIs" dxfId="1" priority="160" operator="lessThan">
      <formula>E40</formula>
    </cfRule>
  </conditionalFormatting>
  <conditionalFormatting sqref="H42">
    <cfRule type="cellIs" dxfId="0" priority="168" operator="equal">
      <formula>0</formula>
    </cfRule>
    <cfRule type="cellIs" dxfId="1" priority="169" operator="lessThan">
      <formula>E42</formula>
    </cfRule>
  </conditionalFormatting>
  <conditionalFormatting sqref="H43">
    <cfRule type="cellIs" dxfId="0" priority="177" operator="equal">
      <formula>0</formula>
    </cfRule>
    <cfRule type="cellIs" dxfId="1" priority="178" operator="lessThan">
      <formula>E43</formula>
    </cfRule>
  </conditionalFormatting>
  <conditionalFormatting sqref="H44">
    <cfRule type="cellIs" dxfId="0" priority="182" operator="equal">
      <formula>0</formula>
    </cfRule>
    <cfRule type="cellIs" dxfId="1" priority="183" operator="lessThan">
      <formula>E44</formula>
    </cfRule>
  </conditionalFormatting>
  <conditionalFormatting sqref="H45">
    <cfRule type="cellIs" dxfId="0" priority="191" operator="equal">
      <formula>0</formula>
    </cfRule>
    <cfRule type="cellIs" dxfId="1" priority="192" operator="lessThan">
      <formula>E45</formula>
    </cfRule>
  </conditionalFormatting>
  <conditionalFormatting sqref="H46">
    <cfRule type="cellIs" dxfId="0" priority="196" operator="equal">
      <formula>0</formula>
    </cfRule>
    <cfRule type="cellIs" dxfId="1" priority="197" operator="lessThan">
      <formula>E46</formula>
    </cfRule>
  </conditionalFormatting>
  <conditionalFormatting sqref="H48">
    <cfRule type="cellIs" dxfId="0" priority="205" operator="equal">
      <formula>0</formula>
    </cfRule>
    <cfRule type="cellIs" dxfId="1" priority="206" operator="lessThan">
      <formula>E48</formula>
    </cfRule>
  </conditionalFormatting>
  <conditionalFormatting sqref="H50">
    <cfRule type="cellIs" dxfId="0" priority="214" operator="equal">
      <formula>0</formula>
    </cfRule>
    <cfRule type="cellIs" dxfId="1" priority="215" operator="lessThan">
      <formula>E50</formula>
    </cfRule>
  </conditionalFormatting>
  <conditionalFormatting sqref="H51">
    <cfRule type="cellIs" dxfId="0" priority="223" operator="equal">
      <formula>0</formula>
    </cfRule>
    <cfRule type="cellIs" dxfId="1" priority="224" operator="lessThan">
      <formula>E51</formula>
    </cfRule>
  </conditionalFormatting>
  <conditionalFormatting sqref="H52">
    <cfRule type="cellIs" dxfId="0" priority="232" operator="equal">
      <formula>0</formula>
    </cfRule>
    <cfRule type="cellIs" dxfId="1" priority="233" operator="lessThan">
      <formula>E52</formula>
    </cfRule>
  </conditionalFormatting>
  <conditionalFormatting sqref="H53">
    <cfRule type="cellIs" dxfId="0" priority="238" operator="equal">
      <formula>0</formula>
    </cfRule>
    <cfRule type="cellIs" dxfId="1" priority="239" operator="lessThan">
      <formula>E53</formula>
    </cfRule>
  </conditionalFormatting>
  <conditionalFormatting sqref="H8">
    <cfRule type="cellIs" dxfId="0" priority="1" operator="equal">
      <formula>0</formula>
    </cfRule>
    <cfRule type="cellIs" dxfId="1" priority="2" operator="lessThan">
      <formula>E8</formula>
    </cfRule>
  </conditionalFormatting>
  <conditionalFormatting sqref="I10">
    <cfRule type="expression" dxfId="3" priority="8">
      <formula>AND(I10&gt;0,MOD(I10,K10)&lt;&gt;0)</formula>
    </cfRule>
    <cfRule type="cellIs" dxfId="0" priority="9" operator="greaterThan">
      <formula>H10</formula>
    </cfRule>
  </conditionalFormatting>
  <conditionalFormatting sqref="I11">
    <cfRule type="cellIs" dxfId="0" priority="17" operator="greaterThan">
      <formula>H11</formula>
    </cfRule>
  </conditionalFormatting>
  <conditionalFormatting sqref="I14">
    <cfRule type="expression" dxfId="3" priority="22">
      <formula>AND(I14&gt;0,MOD(I14,K14)&lt;&gt;0)</formula>
    </cfRule>
    <cfRule type="cellIs" dxfId="0" priority="23" operator="greaterThan">
      <formula>H14</formula>
    </cfRule>
  </conditionalFormatting>
  <conditionalFormatting sqref="I16">
    <cfRule type="cellIs" dxfId="0" priority="31" operator="greaterThan">
      <formula>H16</formula>
    </cfRule>
  </conditionalFormatting>
  <conditionalFormatting sqref="I19">
    <cfRule type="expression" dxfId="3" priority="36">
      <formula>AND(I19&gt;0,MOD(I19,K19)&lt;&gt;0)</formula>
    </cfRule>
    <cfRule type="cellIs" dxfId="0" priority="37" operator="greaterThan">
      <formula>H19</formula>
    </cfRule>
  </conditionalFormatting>
  <conditionalFormatting sqref="I20">
    <cfRule type="cellIs" dxfId="0" priority="45" operator="greaterThan">
      <formula>H20</formula>
    </cfRule>
  </conditionalFormatting>
  <conditionalFormatting sqref="I21">
    <cfRule type="expression" dxfId="3" priority="50">
      <formula>AND(I21&gt;0,MOD(I21,K21)&lt;&gt;0)</formula>
    </cfRule>
    <cfRule type="cellIs" dxfId="0" priority="51" operator="greaterThan">
      <formula>H21</formula>
    </cfRule>
  </conditionalFormatting>
  <conditionalFormatting sqref="I22">
    <cfRule type="expression" dxfId="3" priority="59">
      <formula>AND(I22&gt;0,MOD(I22,K22)&lt;&gt;0)</formula>
    </cfRule>
    <cfRule type="cellIs" dxfId="0" priority="60" operator="greaterThan">
      <formula>H22</formula>
    </cfRule>
  </conditionalFormatting>
  <conditionalFormatting sqref="I23">
    <cfRule type="expression" dxfId="3" priority="68">
      <formula>AND(I23&gt;0,MOD(I23,K23)&lt;&gt;0)</formula>
    </cfRule>
    <cfRule type="cellIs" dxfId="0" priority="69" operator="greaterThan">
      <formula>H23</formula>
    </cfRule>
  </conditionalFormatting>
  <conditionalFormatting sqref="I24">
    <cfRule type="expression" dxfId="3" priority="77">
      <formula>AND(I24&gt;0,MOD(I24,K24)&lt;&gt;0)</formula>
    </cfRule>
    <cfRule type="cellIs" dxfId="0" priority="78" operator="greaterThan">
      <formula>H24</formula>
    </cfRule>
  </conditionalFormatting>
  <conditionalFormatting sqref="I25">
    <cfRule type="cellIs" dxfId="0" priority="86" operator="greaterThan">
      <formula>H25</formula>
    </cfRule>
  </conditionalFormatting>
  <conditionalFormatting sqref="I26">
    <cfRule type="cellIs" dxfId="0" priority="91" operator="greaterThan">
      <formula>H26</formula>
    </cfRule>
  </conditionalFormatting>
  <conditionalFormatting sqref="I27">
    <cfRule type="cellIs" dxfId="0" priority="96" operator="greaterThan">
      <formula>H27</formula>
    </cfRule>
  </conditionalFormatting>
  <conditionalFormatting sqref="I28">
    <cfRule type="cellIs" dxfId="0" priority="101" operator="greaterThan">
      <formula>H28</formula>
    </cfRule>
  </conditionalFormatting>
  <conditionalFormatting sqref="I30">
    <cfRule type="cellIs" dxfId="0" priority="106" operator="greaterThan">
      <formula>H30</formula>
    </cfRule>
  </conditionalFormatting>
  <conditionalFormatting sqref="I32">
    <cfRule type="cellIs" dxfId="0" priority="111" operator="greaterThan">
      <formula>H32</formula>
    </cfRule>
  </conditionalFormatting>
  <conditionalFormatting sqref="I33">
    <cfRule type="expression" dxfId="3" priority="116">
      <formula>AND(I33&gt;0,MOD(I33,K33)&lt;&gt;0)</formula>
    </cfRule>
    <cfRule type="cellIs" dxfId="0" priority="117" operator="greaterThan">
      <formula>H33</formula>
    </cfRule>
  </conditionalFormatting>
  <conditionalFormatting sqref="I35">
    <cfRule type="expression" dxfId="3" priority="125">
      <formula>AND(I35&gt;0,MOD(I35,K35)&lt;&gt;0)</formula>
    </cfRule>
    <cfRule type="cellIs" dxfId="0" priority="126" operator="greaterThan">
      <formula>H35</formula>
    </cfRule>
  </conditionalFormatting>
  <conditionalFormatting sqref="I36">
    <cfRule type="expression" dxfId="3" priority="134">
      <formula>AND(I36&gt;0,MOD(I36,K36)&lt;&gt;0)</formula>
    </cfRule>
    <cfRule type="cellIs" dxfId="0" priority="135" operator="greaterThan">
      <formula>H36</formula>
    </cfRule>
  </conditionalFormatting>
  <conditionalFormatting sqref="I38">
    <cfRule type="expression" dxfId="3" priority="143">
      <formula>AND(I38&gt;0,MOD(I38,K38)&lt;&gt;0)</formula>
    </cfRule>
    <cfRule type="cellIs" dxfId="0" priority="144" operator="greaterThan">
      <formula>H38</formula>
    </cfRule>
  </conditionalFormatting>
  <conditionalFormatting sqref="I39">
    <cfRule type="expression" dxfId="3" priority="152">
      <formula>AND(I39&gt;0,MOD(I39,K39)&lt;&gt;0)</formula>
    </cfRule>
    <cfRule type="cellIs" dxfId="0" priority="153" operator="greaterThan">
      <formula>H39</formula>
    </cfRule>
  </conditionalFormatting>
  <conditionalFormatting sqref="I40">
    <cfRule type="expression" dxfId="3" priority="161">
      <formula>AND(I40&gt;0,MOD(I40,K40)&lt;&gt;0)</formula>
    </cfRule>
    <cfRule type="cellIs" dxfId="0" priority="162" operator="greaterThan">
      <formula>H40</formula>
    </cfRule>
  </conditionalFormatting>
  <conditionalFormatting sqref="I42">
    <cfRule type="expression" dxfId="3" priority="170">
      <formula>AND(I42&gt;0,MOD(I42,K42)&lt;&gt;0)</formula>
    </cfRule>
    <cfRule type="cellIs" dxfId="0" priority="171" operator="greaterThan">
      <formula>H42</formula>
    </cfRule>
  </conditionalFormatting>
  <conditionalFormatting sqref="I43">
    <cfRule type="cellIs" dxfId="0" priority="179" operator="greaterThan">
      <formula>H43</formula>
    </cfRule>
  </conditionalFormatting>
  <conditionalFormatting sqref="I44">
    <cfRule type="expression" dxfId="3" priority="184">
      <formula>AND(I44&gt;0,MOD(I44,K44)&lt;&gt;0)</formula>
    </cfRule>
    <cfRule type="cellIs" dxfId="0" priority="185" operator="greaterThan">
      <formula>H44</formula>
    </cfRule>
  </conditionalFormatting>
  <conditionalFormatting sqref="I45">
    <cfRule type="cellIs" dxfId="0" priority="193" operator="greaterThan">
      <formula>H45</formula>
    </cfRule>
  </conditionalFormatting>
  <conditionalFormatting sqref="I46">
    <cfRule type="expression" dxfId="3" priority="198">
      <formula>AND(I46&gt;0,MOD(I46,K46)&lt;&gt;0)</formula>
    </cfRule>
    <cfRule type="cellIs" dxfId="0" priority="199" operator="greaterThan">
      <formula>H46</formula>
    </cfRule>
  </conditionalFormatting>
  <conditionalFormatting sqref="I48">
    <cfRule type="expression" dxfId="3" priority="207">
      <formula>AND(I48&gt;0,MOD(I48,K48)&lt;&gt;0)</formula>
    </cfRule>
    <cfRule type="cellIs" dxfId="0" priority="208" operator="greaterThan">
      <formula>H48</formula>
    </cfRule>
  </conditionalFormatting>
  <conditionalFormatting sqref="I50">
    <cfRule type="expression" dxfId="3" priority="216">
      <formula>AND(I50&gt;0,MOD(I50,K50)&lt;&gt;0)</formula>
    </cfRule>
    <cfRule type="cellIs" dxfId="0" priority="217" operator="greaterThan">
      <formula>H50</formula>
    </cfRule>
  </conditionalFormatting>
  <conditionalFormatting sqref="I51">
    <cfRule type="expression" dxfId="3" priority="225">
      <formula>AND(I51&gt;0,MOD(I51,K51)&lt;&gt;0)</formula>
    </cfRule>
    <cfRule type="cellIs" dxfId="0" priority="226" operator="greaterThan">
      <formula>H51</formula>
    </cfRule>
  </conditionalFormatting>
  <conditionalFormatting sqref="I52">
    <cfRule type="expression" dxfId="3" priority="234">
      <formula>AND(I52&gt;0,MOD(I52,K52)&lt;&gt;0)</formula>
    </cfRule>
    <cfRule type="cellIs" dxfId="0" priority="235" operator="greaterThan">
      <formula>H52</formula>
    </cfRule>
  </conditionalFormatting>
  <conditionalFormatting sqref="I53">
    <cfRule type="expression" dxfId="3" priority="240">
      <formula>AND(I53&gt;0,MOD(I53,K53)&lt;&gt;0)</formula>
    </cfRule>
    <cfRule type="cellIs" dxfId="0" priority="241" operator="greaterThan">
      <formula>H53</formula>
    </cfRule>
  </conditionalFormatting>
  <conditionalFormatting sqref="I8">
    <cfRule type="cellIs" dxfId="0" priority="3" operator="greaterThan">
      <formula>H8</formula>
    </cfRule>
  </conditionalFormatting>
  <conditionalFormatting sqref="J10">
    <cfRule type="cellIs" dxfId="2" priority="11" operator="lessThanOrEqual">
      <formula>F10</formula>
    </cfRule>
    <cfRule type="expression" dxfId="3" priority="12">
      <formula>AND(E10&lt;2000,I10&lt;2000)</formula>
    </cfRule>
  </conditionalFormatting>
  <conditionalFormatting sqref="J11">
    <cfRule type="cellIs" dxfId="2" priority="19" operator="lessThanOrEqual">
      <formula>F11</formula>
    </cfRule>
  </conditionalFormatting>
  <conditionalFormatting sqref="J14">
    <cfRule type="cellIs" dxfId="2" priority="25" operator="lessThanOrEqual">
      <formula>F14</formula>
    </cfRule>
    <cfRule type="expression" dxfId="3" priority="26">
      <formula>AND(E14&lt;4000,I14&lt;4000)</formula>
    </cfRule>
  </conditionalFormatting>
  <conditionalFormatting sqref="J16">
    <cfRule type="cellIs" dxfId="2" priority="33" operator="lessThanOrEqual">
      <formula>F16</formula>
    </cfRule>
  </conditionalFormatting>
  <conditionalFormatting sqref="J19">
    <cfRule type="cellIs" dxfId="2" priority="39" operator="lessThanOrEqual">
      <formula>F19</formula>
    </cfRule>
    <cfRule type="expression" dxfId="3" priority="40">
      <formula>AND(E19&lt;15000,I19&lt;15000)</formula>
    </cfRule>
  </conditionalFormatting>
  <conditionalFormatting sqref="J20">
    <cfRule type="cellIs" dxfId="2" priority="47" operator="lessThanOrEqual">
      <formula>F20</formula>
    </cfRule>
  </conditionalFormatting>
  <conditionalFormatting sqref="J21">
    <cfRule type="cellIs" dxfId="2" priority="53" operator="lessThanOrEqual">
      <formula>F21</formula>
    </cfRule>
    <cfRule type="expression" dxfId="3" priority="54">
      <formula>AND(E21&lt;3000,I21&lt;3000)</formula>
    </cfRule>
  </conditionalFormatting>
  <conditionalFormatting sqref="J22">
    <cfRule type="cellIs" dxfId="2" priority="62" operator="lessThanOrEqual">
      <formula>F22</formula>
    </cfRule>
    <cfRule type="expression" dxfId="3" priority="63">
      <formula>AND(E22&lt;8000,I22&lt;8000)</formula>
    </cfRule>
  </conditionalFormatting>
  <conditionalFormatting sqref="J23">
    <cfRule type="cellIs" dxfId="2" priority="71" operator="lessThanOrEqual">
      <formula>F23</formula>
    </cfRule>
    <cfRule type="expression" dxfId="3" priority="72">
      <formula>AND(E23&lt;600,I23&lt;600)</formula>
    </cfRule>
  </conditionalFormatting>
  <conditionalFormatting sqref="J24">
    <cfRule type="cellIs" dxfId="2" priority="80" operator="lessThanOrEqual">
      <formula>F24</formula>
    </cfRule>
    <cfRule type="expression" dxfId="3" priority="81">
      <formula>AND(E24&lt;550,I24&lt;550)</formula>
    </cfRule>
  </conditionalFormatting>
  <conditionalFormatting sqref="J25">
    <cfRule type="cellIs" dxfId="2" priority="88" operator="lessThanOrEqual">
      <formula>F25</formula>
    </cfRule>
  </conditionalFormatting>
  <conditionalFormatting sqref="J26">
    <cfRule type="cellIs" dxfId="2" priority="93" operator="lessThanOrEqual">
      <formula>F26</formula>
    </cfRule>
  </conditionalFormatting>
  <conditionalFormatting sqref="J27">
    <cfRule type="cellIs" dxfId="2" priority="98" operator="lessThanOrEqual">
      <formula>F27</formula>
    </cfRule>
  </conditionalFormatting>
  <conditionalFormatting sqref="J28">
    <cfRule type="cellIs" dxfId="2" priority="103" operator="lessThanOrEqual">
      <formula>F28</formula>
    </cfRule>
  </conditionalFormatting>
  <conditionalFormatting sqref="J30">
    <cfRule type="cellIs" dxfId="2" priority="108" operator="lessThanOrEqual">
      <formula>F30</formula>
    </cfRule>
  </conditionalFormatting>
  <conditionalFormatting sqref="J32">
    <cfRule type="cellIs" dxfId="2" priority="113" operator="lessThanOrEqual">
      <formula>F32</formula>
    </cfRule>
  </conditionalFormatting>
  <conditionalFormatting sqref="J33">
    <cfRule type="cellIs" dxfId="2" priority="119" operator="lessThanOrEqual">
      <formula>F33</formula>
    </cfRule>
    <cfRule type="expression" dxfId="3" priority="120">
      <formula>AND(E33&lt;5000,I33&lt;5000)</formula>
    </cfRule>
  </conditionalFormatting>
  <conditionalFormatting sqref="J35">
    <cfRule type="cellIs" dxfId="2" priority="128" operator="lessThanOrEqual">
      <formula>F35</formula>
    </cfRule>
    <cfRule type="expression" dxfId="3" priority="129">
      <formula>AND(E35&lt;5000,I35&lt;5000)</formula>
    </cfRule>
  </conditionalFormatting>
  <conditionalFormatting sqref="J36">
    <cfRule type="cellIs" dxfId="2" priority="137" operator="lessThanOrEqual">
      <formula>F36</formula>
    </cfRule>
    <cfRule type="expression" dxfId="3" priority="138">
      <formula>AND(E36&lt;5000,I36&lt;5000)</formula>
    </cfRule>
  </conditionalFormatting>
  <conditionalFormatting sqref="J38">
    <cfRule type="cellIs" dxfId="2" priority="146" operator="lessThanOrEqual">
      <formula>F38</formula>
    </cfRule>
    <cfRule type="expression" dxfId="3" priority="147">
      <formula>AND(E38&lt;5000,I38&lt;5000)</formula>
    </cfRule>
  </conditionalFormatting>
  <conditionalFormatting sqref="J39">
    <cfRule type="cellIs" dxfId="2" priority="155" operator="lessThanOrEqual">
      <formula>F39</formula>
    </cfRule>
    <cfRule type="expression" dxfId="3" priority="156">
      <formula>AND(E39&lt;5000,I39&lt;5000)</formula>
    </cfRule>
  </conditionalFormatting>
  <conditionalFormatting sqref="J40">
    <cfRule type="cellIs" dxfId="2" priority="164" operator="lessThanOrEqual">
      <formula>F40</formula>
    </cfRule>
    <cfRule type="expression" dxfId="3" priority="165">
      <formula>AND(E40&lt;25000,I40&lt;25000)</formula>
    </cfRule>
  </conditionalFormatting>
  <conditionalFormatting sqref="J42">
    <cfRule type="cellIs" dxfId="2" priority="173" operator="lessThanOrEqual">
      <formula>F42</formula>
    </cfRule>
    <cfRule type="expression" dxfId="3" priority="174">
      <formula>AND(E42&lt;7000,I42&lt;7000)</formula>
    </cfRule>
  </conditionalFormatting>
  <conditionalFormatting sqref="J43">
    <cfRule type="cellIs" dxfId="2" priority="181" operator="lessThanOrEqual">
      <formula>F43</formula>
    </cfRule>
  </conditionalFormatting>
  <conditionalFormatting sqref="J44">
    <cfRule type="cellIs" dxfId="2" priority="187" operator="lessThanOrEqual">
      <formula>F44</formula>
    </cfRule>
    <cfRule type="expression" dxfId="3" priority="188">
      <formula>AND(E44&lt;1000,I44&lt;1000)</formula>
    </cfRule>
  </conditionalFormatting>
  <conditionalFormatting sqref="J45">
    <cfRule type="cellIs" dxfId="2" priority="195" operator="lessThanOrEqual">
      <formula>F45</formula>
    </cfRule>
  </conditionalFormatting>
  <conditionalFormatting sqref="J46">
    <cfRule type="cellIs" dxfId="2" priority="201" operator="lessThanOrEqual">
      <formula>F46</formula>
    </cfRule>
    <cfRule type="expression" dxfId="3" priority="202">
      <formula>AND(E46&lt;960,I46&lt;960)</formula>
    </cfRule>
  </conditionalFormatting>
  <conditionalFormatting sqref="J48">
    <cfRule type="cellIs" dxfId="2" priority="210" operator="lessThanOrEqual">
      <formula>F48</formula>
    </cfRule>
    <cfRule type="expression" dxfId="3" priority="211">
      <formula>AND(E48&lt;2500,I48&lt;2500)</formula>
    </cfRule>
  </conditionalFormatting>
  <conditionalFormatting sqref="J50">
    <cfRule type="cellIs" dxfId="2" priority="219" operator="lessThanOrEqual">
      <formula>F50</formula>
    </cfRule>
    <cfRule type="expression" dxfId="3" priority="220">
      <formula>AND(E50&lt;2500,I50&lt;2500)</formula>
    </cfRule>
  </conditionalFormatting>
  <conditionalFormatting sqref="J51">
    <cfRule type="cellIs" dxfId="2" priority="228" operator="lessThanOrEqual">
      <formula>F51</formula>
    </cfRule>
    <cfRule type="expression" dxfId="3" priority="229">
      <formula>AND(E51&lt;1000,I51&lt;1000)</formula>
    </cfRule>
  </conditionalFormatting>
  <conditionalFormatting sqref="J52">
    <cfRule type="cellIs" dxfId="2" priority="237" operator="lessThanOrEqual">
      <formula>F52</formula>
    </cfRule>
  </conditionalFormatting>
  <conditionalFormatting sqref="J53">
    <cfRule type="cellIs" dxfId="2" priority="243" operator="lessThanOrEqual">
      <formula>F53</formula>
    </cfRule>
  </conditionalFormatting>
  <conditionalFormatting sqref="J8">
    <cfRule type="cellIs" dxfId="2" priority="5" operator="lessThanOrEqual">
      <formula>F8</formula>
    </cfRule>
  </conditionalFormatting>
  <conditionalFormatting sqref="K10">
    <cfRule type="expression" dxfId="3" priority="13">
      <formula>AND(E10&lt;2000,I10&lt;2000)</formula>
    </cfRule>
  </conditionalFormatting>
  <conditionalFormatting sqref="K14">
    <cfRule type="expression" dxfId="3" priority="27">
      <formula>AND(E14&lt;4000,I14&lt;4000)</formula>
    </cfRule>
  </conditionalFormatting>
  <conditionalFormatting sqref="K19">
    <cfRule type="expression" dxfId="3" priority="41">
      <formula>AND(E19&lt;15000,I19&lt;15000)</formula>
    </cfRule>
  </conditionalFormatting>
  <conditionalFormatting sqref="K21">
    <cfRule type="expression" dxfId="3" priority="55">
      <formula>AND(E21&lt;3000,I21&lt;3000)</formula>
    </cfRule>
  </conditionalFormatting>
  <conditionalFormatting sqref="K22">
    <cfRule type="expression" dxfId="3" priority="64">
      <formula>AND(E22&lt;8000,I22&lt;8000)</formula>
    </cfRule>
  </conditionalFormatting>
  <conditionalFormatting sqref="K23">
    <cfRule type="expression" dxfId="3" priority="73">
      <formula>AND(E23&lt;600,I23&lt;600)</formula>
    </cfRule>
  </conditionalFormatting>
  <conditionalFormatting sqref="K24">
    <cfRule type="expression" dxfId="3" priority="82">
      <formula>AND(E24&lt;550,I24&lt;550)</formula>
    </cfRule>
  </conditionalFormatting>
  <conditionalFormatting sqref="K33">
    <cfRule type="expression" dxfId="3" priority="121">
      <formula>AND(E33&lt;5000,I33&lt;5000)</formula>
    </cfRule>
  </conditionalFormatting>
  <conditionalFormatting sqref="K35">
    <cfRule type="expression" dxfId="3" priority="130">
      <formula>AND(E35&lt;5000,I35&lt;5000)</formula>
    </cfRule>
  </conditionalFormatting>
  <conditionalFormatting sqref="K36">
    <cfRule type="expression" dxfId="3" priority="139">
      <formula>AND(E36&lt;5000,I36&lt;5000)</formula>
    </cfRule>
  </conditionalFormatting>
  <conditionalFormatting sqref="K38">
    <cfRule type="expression" dxfId="3" priority="148">
      <formula>AND(E38&lt;5000,I38&lt;5000)</formula>
    </cfRule>
  </conditionalFormatting>
  <conditionalFormatting sqref="K39">
    <cfRule type="expression" dxfId="3" priority="157">
      <formula>AND(E39&lt;5000,I39&lt;5000)</formula>
    </cfRule>
  </conditionalFormatting>
  <conditionalFormatting sqref="K40">
    <cfRule type="expression" dxfId="3" priority="166">
      <formula>AND(E40&lt;25000,I40&lt;25000)</formula>
    </cfRule>
  </conditionalFormatting>
  <conditionalFormatting sqref="K42">
    <cfRule type="expression" dxfId="3" priority="175">
      <formula>AND(E42&lt;7000,I42&lt;7000)</formula>
    </cfRule>
  </conditionalFormatting>
  <conditionalFormatting sqref="K44">
    <cfRule type="expression" dxfId="3" priority="189">
      <formula>AND(E44&lt;1000,I44&lt;1000)</formula>
    </cfRule>
  </conditionalFormatting>
  <conditionalFormatting sqref="K46">
    <cfRule type="expression" dxfId="3" priority="203">
      <formula>AND(E46&lt;960,I46&lt;960)</formula>
    </cfRule>
  </conditionalFormatting>
  <conditionalFormatting sqref="K48">
    <cfRule type="expression" dxfId="3" priority="212">
      <formula>AND(E48&lt;2500,I48&lt;2500)</formula>
    </cfRule>
  </conditionalFormatting>
  <conditionalFormatting sqref="K50">
    <cfRule type="expression" dxfId="3" priority="221">
      <formula>AND(E50&lt;2500,I50&lt;2500)</formula>
    </cfRule>
  </conditionalFormatting>
  <conditionalFormatting sqref="K51">
    <cfRule type="expression" dxfId="3" priority="230">
      <formula>AND(E51&lt;1000,I51&lt;1000)</formula>
    </cfRule>
  </conditionalFormatting>
  <conditionalFormatting sqref="L10">
    <cfRule type="cellIs" dxfId="2" priority="10" operator="lessThanOrEqual">
      <formula>G10</formula>
    </cfRule>
    <cfRule type="expression" dxfId="3" priority="14">
      <formula>AND(E10&lt;2000,I10&lt;2000)</formula>
    </cfRule>
  </conditionalFormatting>
  <conditionalFormatting sqref="L11">
    <cfRule type="cellIs" dxfId="2" priority="18" operator="lessThanOrEqual">
      <formula>G11</formula>
    </cfRule>
  </conditionalFormatting>
  <conditionalFormatting sqref="L14">
    <cfRule type="cellIs" dxfId="2" priority="24" operator="lessThanOrEqual">
      <formula>G14</formula>
    </cfRule>
    <cfRule type="expression" dxfId="3" priority="28">
      <formula>AND(E14&lt;4000,I14&lt;4000)</formula>
    </cfRule>
  </conditionalFormatting>
  <conditionalFormatting sqref="L16">
    <cfRule type="cellIs" dxfId="2" priority="32" operator="lessThanOrEqual">
      <formula>G16</formula>
    </cfRule>
  </conditionalFormatting>
  <conditionalFormatting sqref="L19">
    <cfRule type="cellIs" dxfId="2" priority="38" operator="lessThanOrEqual">
      <formula>G19</formula>
    </cfRule>
    <cfRule type="expression" dxfId="3" priority="42">
      <formula>AND(E19&lt;15000,I19&lt;15000)</formula>
    </cfRule>
  </conditionalFormatting>
  <conditionalFormatting sqref="L20">
    <cfRule type="cellIs" dxfId="2" priority="46" operator="lessThanOrEqual">
      <formula>G20</formula>
    </cfRule>
  </conditionalFormatting>
  <conditionalFormatting sqref="L21">
    <cfRule type="cellIs" dxfId="2" priority="52" operator="lessThanOrEqual">
      <formula>G21</formula>
    </cfRule>
    <cfRule type="expression" dxfId="3" priority="56">
      <formula>AND(E21&lt;3000,I21&lt;3000)</formula>
    </cfRule>
  </conditionalFormatting>
  <conditionalFormatting sqref="L22">
    <cfRule type="cellIs" dxfId="2" priority="61" operator="lessThanOrEqual">
      <formula>G22</formula>
    </cfRule>
    <cfRule type="expression" dxfId="3" priority="65">
      <formula>AND(E22&lt;8000,I22&lt;8000)</formula>
    </cfRule>
  </conditionalFormatting>
  <conditionalFormatting sqref="L23">
    <cfRule type="cellIs" dxfId="2" priority="70" operator="lessThanOrEqual">
      <formula>G23</formula>
    </cfRule>
    <cfRule type="expression" dxfId="3" priority="74">
      <formula>AND(E23&lt;600,I23&lt;600)</formula>
    </cfRule>
  </conditionalFormatting>
  <conditionalFormatting sqref="L24">
    <cfRule type="cellIs" dxfId="2" priority="79" operator="lessThanOrEqual">
      <formula>G24</formula>
    </cfRule>
    <cfRule type="expression" dxfId="3" priority="83">
      <formula>AND(E24&lt;550,I24&lt;550)</formula>
    </cfRule>
  </conditionalFormatting>
  <conditionalFormatting sqref="L25">
    <cfRule type="cellIs" dxfId="2" priority="87" operator="lessThanOrEqual">
      <formula>G25</formula>
    </cfRule>
  </conditionalFormatting>
  <conditionalFormatting sqref="L26">
    <cfRule type="cellIs" dxfId="2" priority="92" operator="lessThanOrEqual">
      <formula>G26</formula>
    </cfRule>
  </conditionalFormatting>
  <conditionalFormatting sqref="L27">
    <cfRule type="cellIs" dxfId="2" priority="97" operator="lessThanOrEqual">
      <formula>G27</formula>
    </cfRule>
  </conditionalFormatting>
  <conditionalFormatting sqref="L28">
    <cfRule type="cellIs" dxfId="2" priority="102" operator="lessThanOrEqual">
      <formula>G28</formula>
    </cfRule>
  </conditionalFormatting>
  <conditionalFormatting sqref="L30">
    <cfRule type="cellIs" dxfId="2" priority="107" operator="lessThanOrEqual">
      <formula>G30</formula>
    </cfRule>
  </conditionalFormatting>
  <conditionalFormatting sqref="L32">
    <cfRule type="cellIs" dxfId="2" priority="112" operator="lessThanOrEqual">
      <formula>G32</formula>
    </cfRule>
  </conditionalFormatting>
  <conditionalFormatting sqref="L33">
    <cfRule type="cellIs" dxfId="2" priority="118" operator="lessThanOrEqual">
      <formula>G33</formula>
    </cfRule>
    <cfRule type="expression" dxfId="3" priority="122">
      <formula>AND(E33&lt;5000,I33&lt;5000)</formula>
    </cfRule>
  </conditionalFormatting>
  <conditionalFormatting sqref="L35">
    <cfRule type="cellIs" dxfId="2" priority="127" operator="lessThanOrEqual">
      <formula>G35</formula>
    </cfRule>
    <cfRule type="expression" dxfId="3" priority="131">
      <formula>AND(E35&lt;5000,I35&lt;5000)</formula>
    </cfRule>
  </conditionalFormatting>
  <conditionalFormatting sqref="L36">
    <cfRule type="cellIs" dxfId="2" priority="136" operator="lessThanOrEqual">
      <formula>G36</formula>
    </cfRule>
    <cfRule type="expression" dxfId="3" priority="140">
      <formula>AND(E36&lt;5000,I36&lt;5000)</formula>
    </cfRule>
  </conditionalFormatting>
  <conditionalFormatting sqref="L38">
    <cfRule type="cellIs" dxfId="2" priority="145" operator="lessThanOrEqual">
      <formula>G38</formula>
    </cfRule>
    <cfRule type="expression" dxfId="3" priority="149">
      <formula>AND(E38&lt;5000,I38&lt;5000)</formula>
    </cfRule>
  </conditionalFormatting>
  <conditionalFormatting sqref="L39">
    <cfRule type="cellIs" dxfId="2" priority="154" operator="lessThanOrEqual">
      <formula>G39</formula>
    </cfRule>
    <cfRule type="expression" dxfId="3" priority="158">
      <formula>AND(E39&lt;5000,I39&lt;5000)</formula>
    </cfRule>
  </conditionalFormatting>
  <conditionalFormatting sqref="L40">
    <cfRule type="cellIs" dxfId="2" priority="163" operator="lessThanOrEqual">
      <formula>G40</formula>
    </cfRule>
    <cfRule type="expression" dxfId="3" priority="167">
      <formula>AND(E40&lt;25000,I40&lt;25000)</formula>
    </cfRule>
  </conditionalFormatting>
  <conditionalFormatting sqref="L42">
    <cfRule type="cellIs" dxfId="2" priority="172" operator="lessThanOrEqual">
      <formula>G42</formula>
    </cfRule>
    <cfRule type="expression" dxfId="3" priority="176">
      <formula>AND(E42&lt;7000,I42&lt;7000)</formula>
    </cfRule>
  </conditionalFormatting>
  <conditionalFormatting sqref="L43">
    <cfRule type="cellIs" dxfId="2" priority="180" operator="lessThanOrEqual">
      <formula>G43</formula>
    </cfRule>
  </conditionalFormatting>
  <conditionalFormatting sqref="L44">
    <cfRule type="cellIs" dxfId="2" priority="186" operator="lessThanOrEqual">
      <formula>G44</formula>
    </cfRule>
    <cfRule type="expression" dxfId="3" priority="190">
      <formula>AND(E44&lt;1000,I44&lt;1000)</formula>
    </cfRule>
  </conditionalFormatting>
  <conditionalFormatting sqref="L45">
    <cfRule type="cellIs" dxfId="2" priority="194" operator="lessThanOrEqual">
      <formula>G45</formula>
    </cfRule>
  </conditionalFormatting>
  <conditionalFormatting sqref="L46">
    <cfRule type="cellIs" dxfId="2" priority="200" operator="lessThanOrEqual">
      <formula>G46</formula>
    </cfRule>
    <cfRule type="expression" dxfId="3" priority="204">
      <formula>AND(E46&lt;960,I46&lt;960)</formula>
    </cfRule>
  </conditionalFormatting>
  <conditionalFormatting sqref="L48">
    <cfRule type="cellIs" dxfId="2" priority="209" operator="lessThanOrEqual">
      <formula>G48</formula>
    </cfRule>
    <cfRule type="expression" dxfId="3" priority="213">
      <formula>AND(E48&lt;2500,I48&lt;2500)</formula>
    </cfRule>
  </conditionalFormatting>
  <conditionalFormatting sqref="L50">
    <cfRule type="cellIs" dxfId="2" priority="218" operator="lessThanOrEqual">
      <formula>G50</formula>
    </cfRule>
    <cfRule type="expression" dxfId="3" priority="222">
      <formula>AND(E50&lt;2500,I50&lt;2500)</formula>
    </cfRule>
  </conditionalFormatting>
  <conditionalFormatting sqref="L51">
    <cfRule type="cellIs" dxfId="2" priority="227" operator="lessThanOrEqual">
      <formula>G51</formula>
    </cfRule>
    <cfRule type="expression" dxfId="3" priority="231">
      <formula>AND(E51&lt;1000,I51&lt;1000)</formula>
    </cfRule>
  </conditionalFormatting>
  <conditionalFormatting sqref="L52">
    <cfRule type="cellIs" dxfId="2" priority="236" operator="lessThanOrEqual">
      <formula>G52</formula>
    </cfRule>
  </conditionalFormatting>
  <conditionalFormatting sqref="L53">
    <cfRule type="cellIs" dxfId="2" priority="242" operator="lessThanOrEqual">
      <formula>G53</formula>
    </cfRule>
  </conditionalFormatting>
  <conditionalFormatting sqref="L8">
    <cfRule type="cellIs" dxfId="2" priority="4" operator="lessThanOrEqual">
      <formula>G8</formula>
    </cfRule>
  </conditionalFormatting>
  <conditionalFormatting sqref="N10">
    <cfRule type="cellIs" dxfId="0" priority="254" operator="equal">
      <formula>0</formula>
    </cfRule>
    <cfRule type="cellIs" dxfId="1" priority="255" operator="lessThan">
      <formula>E10</formula>
    </cfRule>
  </conditionalFormatting>
  <conditionalFormatting sqref="N11">
    <cfRule type="cellIs" dxfId="0" priority="259" operator="equal">
      <formula>0</formula>
    </cfRule>
    <cfRule type="cellIs" dxfId="1" priority="260" operator="lessThan">
      <formula>E11</formula>
    </cfRule>
  </conditionalFormatting>
  <conditionalFormatting sqref="N12">
    <cfRule type="cellIs" dxfId="0" priority="264" operator="equal">
      <formula>0</formula>
    </cfRule>
    <cfRule type="cellIs" dxfId="1" priority="265" operator="lessThan">
      <formula>E12</formula>
    </cfRule>
  </conditionalFormatting>
  <conditionalFormatting sqref="N13">
    <cfRule type="cellIs" dxfId="0" priority="269" operator="equal">
      <formula>0</formula>
    </cfRule>
    <cfRule type="cellIs" dxfId="1" priority="270" operator="lessThan">
      <formula>E13</formula>
    </cfRule>
  </conditionalFormatting>
  <conditionalFormatting sqref="N14">
    <cfRule type="cellIs" dxfId="0" priority="274" operator="equal">
      <formula>0</formula>
    </cfRule>
    <cfRule type="cellIs" dxfId="1" priority="275" operator="lessThan">
      <formula>E14</formula>
    </cfRule>
  </conditionalFormatting>
  <conditionalFormatting sqref="N15">
    <cfRule type="cellIs" dxfId="0" priority="279" operator="equal">
      <formula>0</formula>
    </cfRule>
    <cfRule type="cellIs" dxfId="1" priority="280" operator="lessThan">
      <formula>E15</formula>
    </cfRule>
  </conditionalFormatting>
  <conditionalFormatting sqref="N16">
    <cfRule type="cellIs" dxfId="0" priority="284" operator="equal">
      <formula>0</formula>
    </cfRule>
    <cfRule type="cellIs" dxfId="1" priority="285" operator="lessThan">
      <formula>E16</formula>
    </cfRule>
  </conditionalFormatting>
  <conditionalFormatting sqref="N17">
    <cfRule type="cellIs" dxfId="0" priority="289" operator="equal">
      <formula>0</formula>
    </cfRule>
    <cfRule type="cellIs" dxfId="1" priority="290" operator="lessThan">
      <formula>E17</formula>
    </cfRule>
  </conditionalFormatting>
  <conditionalFormatting sqref="N18">
    <cfRule type="cellIs" dxfId="0" priority="294" operator="equal">
      <formula>0</formula>
    </cfRule>
    <cfRule type="cellIs" dxfId="1" priority="295" operator="lessThan">
      <formula>E18</formula>
    </cfRule>
  </conditionalFormatting>
  <conditionalFormatting sqref="N19">
    <cfRule type="cellIs" dxfId="0" priority="299" operator="equal">
      <formula>0</formula>
    </cfRule>
    <cfRule type="cellIs" dxfId="1" priority="300" operator="lessThan">
      <formula>E19</formula>
    </cfRule>
  </conditionalFormatting>
  <conditionalFormatting sqref="N20">
    <cfRule type="cellIs" dxfId="0" priority="304" operator="equal">
      <formula>0</formula>
    </cfRule>
    <cfRule type="cellIs" dxfId="1" priority="305" operator="lessThan">
      <formula>E20</formula>
    </cfRule>
  </conditionalFormatting>
  <conditionalFormatting sqref="N21">
    <cfRule type="cellIs" dxfId="0" priority="309" operator="equal">
      <formula>0</formula>
    </cfRule>
    <cfRule type="cellIs" dxfId="1" priority="310" operator="lessThan">
      <formula>E21</formula>
    </cfRule>
  </conditionalFormatting>
  <conditionalFormatting sqref="N22">
    <cfRule type="cellIs" dxfId="0" priority="314" operator="equal">
      <formula>0</formula>
    </cfRule>
    <cfRule type="cellIs" dxfId="1" priority="315" operator="lessThan">
      <formula>E22</formula>
    </cfRule>
  </conditionalFormatting>
  <conditionalFormatting sqref="N23">
    <cfRule type="cellIs" dxfId="0" priority="323" operator="equal">
      <formula>0</formula>
    </cfRule>
    <cfRule type="cellIs" dxfId="1" priority="324" operator="lessThan">
      <formula>E23</formula>
    </cfRule>
  </conditionalFormatting>
  <conditionalFormatting sqref="N24">
    <cfRule type="cellIs" dxfId="0" priority="328" operator="equal">
      <formula>0</formula>
    </cfRule>
    <cfRule type="cellIs" dxfId="1" priority="329" operator="lessThan">
      <formula>E24</formula>
    </cfRule>
  </conditionalFormatting>
  <conditionalFormatting sqref="N25">
    <cfRule type="cellIs" dxfId="0" priority="333" operator="equal">
      <formula>0</formula>
    </cfRule>
    <cfRule type="cellIs" dxfId="1" priority="334" operator="lessThan">
      <formula>E25</formula>
    </cfRule>
  </conditionalFormatting>
  <conditionalFormatting sqref="N26">
    <cfRule type="cellIs" dxfId="0" priority="338" operator="equal">
      <formula>0</formula>
    </cfRule>
    <cfRule type="cellIs" dxfId="1" priority="339" operator="lessThan">
      <formula>E26</formula>
    </cfRule>
  </conditionalFormatting>
  <conditionalFormatting sqref="N27">
    <cfRule type="cellIs" dxfId="0" priority="343" operator="equal">
      <formula>0</formula>
    </cfRule>
    <cfRule type="cellIs" dxfId="1" priority="344" operator="lessThan">
      <formula>E27</formula>
    </cfRule>
  </conditionalFormatting>
  <conditionalFormatting sqref="N28">
    <cfRule type="cellIs" dxfId="0" priority="348" operator="equal">
      <formula>0</formula>
    </cfRule>
    <cfRule type="cellIs" dxfId="1" priority="349" operator="lessThan">
      <formula>E28</formula>
    </cfRule>
  </conditionalFormatting>
  <conditionalFormatting sqref="N29">
    <cfRule type="cellIs" dxfId="0" priority="353" operator="equal">
      <formula>0</formula>
    </cfRule>
    <cfRule type="cellIs" dxfId="1" priority="354" operator="lessThan">
      <formula>E29</formula>
    </cfRule>
  </conditionalFormatting>
  <conditionalFormatting sqref="N30">
    <cfRule type="cellIs" dxfId="0" priority="358" operator="equal">
      <formula>0</formula>
    </cfRule>
    <cfRule type="cellIs" dxfId="1" priority="359" operator="lessThan">
      <formula>E30</formula>
    </cfRule>
  </conditionalFormatting>
  <conditionalFormatting sqref="N31">
    <cfRule type="cellIs" dxfId="0" priority="363" operator="equal">
      <formula>0</formula>
    </cfRule>
    <cfRule type="cellIs" dxfId="1" priority="364" operator="lessThan">
      <formula>E31</formula>
    </cfRule>
  </conditionalFormatting>
  <conditionalFormatting sqref="N32">
    <cfRule type="cellIs" dxfId="0" priority="368" operator="equal">
      <formula>0</formula>
    </cfRule>
    <cfRule type="cellIs" dxfId="1" priority="369" operator="lessThan">
      <formula>E32</formula>
    </cfRule>
  </conditionalFormatting>
  <conditionalFormatting sqref="N34">
    <cfRule type="cellIs" dxfId="0" priority="373" operator="equal">
      <formula>0</formula>
    </cfRule>
    <cfRule type="cellIs" dxfId="1" priority="374" operator="lessThan">
      <formula>E34</formula>
    </cfRule>
  </conditionalFormatting>
  <conditionalFormatting sqref="N35">
    <cfRule type="cellIs" dxfId="0" priority="378" operator="equal">
      <formula>0</formula>
    </cfRule>
    <cfRule type="cellIs" dxfId="1" priority="379" operator="lessThan">
      <formula>E35</formula>
    </cfRule>
  </conditionalFormatting>
  <conditionalFormatting sqref="N36">
    <cfRule type="cellIs" dxfId="0" priority="383" operator="equal">
      <formula>0</formula>
    </cfRule>
    <cfRule type="cellIs" dxfId="1" priority="384" operator="lessThan">
      <formula>E36</formula>
    </cfRule>
  </conditionalFormatting>
  <conditionalFormatting sqref="N37">
    <cfRule type="cellIs" dxfId="0" priority="388" operator="equal">
      <formula>0</formula>
    </cfRule>
    <cfRule type="cellIs" dxfId="1" priority="389" operator="lessThan">
      <formula>E37</formula>
    </cfRule>
  </conditionalFormatting>
  <conditionalFormatting sqref="N38">
    <cfRule type="cellIs" dxfId="0" priority="393" operator="equal">
      <formula>0</formula>
    </cfRule>
    <cfRule type="cellIs" dxfId="1" priority="394" operator="lessThan">
      <formula>E38</formula>
    </cfRule>
  </conditionalFormatting>
  <conditionalFormatting sqref="N39">
    <cfRule type="cellIs" dxfId="0" priority="398" operator="equal">
      <formula>0</formula>
    </cfRule>
    <cfRule type="cellIs" dxfId="1" priority="399" operator="lessThan">
      <formula>E39</formula>
    </cfRule>
  </conditionalFormatting>
  <conditionalFormatting sqref="N40">
    <cfRule type="cellIs" dxfId="0" priority="403" operator="equal">
      <formula>0</formula>
    </cfRule>
    <cfRule type="cellIs" dxfId="1" priority="404" operator="lessThan">
      <formula>E40</formula>
    </cfRule>
  </conditionalFormatting>
  <conditionalFormatting sqref="N42">
    <cfRule type="cellIs" dxfId="0" priority="408" operator="equal">
      <formula>0</formula>
    </cfRule>
    <cfRule type="cellIs" dxfId="1" priority="409" operator="lessThan">
      <formula>E42</formula>
    </cfRule>
  </conditionalFormatting>
  <conditionalFormatting sqref="N43">
    <cfRule type="cellIs" dxfId="0" priority="413" operator="equal">
      <formula>0</formula>
    </cfRule>
    <cfRule type="cellIs" dxfId="1" priority="414" operator="lessThan">
      <formula>E43</formula>
    </cfRule>
  </conditionalFormatting>
  <conditionalFormatting sqref="N44">
    <cfRule type="cellIs" dxfId="0" priority="418" operator="equal">
      <formula>0</formula>
    </cfRule>
    <cfRule type="cellIs" dxfId="1" priority="419" operator="lessThan">
      <formula>E44</formula>
    </cfRule>
  </conditionalFormatting>
  <conditionalFormatting sqref="N45">
    <cfRule type="cellIs" dxfId="0" priority="423" operator="equal">
      <formula>0</formula>
    </cfRule>
    <cfRule type="cellIs" dxfId="1" priority="424" operator="lessThan">
      <formula>E45</formula>
    </cfRule>
  </conditionalFormatting>
  <conditionalFormatting sqref="N46">
    <cfRule type="cellIs" dxfId="0" priority="428" operator="equal">
      <formula>0</formula>
    </cfRule>
    <cfRule type="cellIs" dxfId="1" priority="429" operator="lessThan">
      <formula>E46</formula>
    </cfRule>
  </conditionalFormatting>
  <conditionalFormatting sqref="N48">
    <cfRule type="cellIs" dxfId="0" priority="433" operator="equal">
      <formula>0</formula>
    </cfRule>
    <cfRule type="cellIs" dxfId="1" priority="434" operator="lessThan">
      <formula>E48</formula>
    </cfRule>
  </conditionalFormatting>
  <conditionalFormatting sqref="N50">
    <cfRule type="cellIs" dxfId="0" priority="438" operator="equal">
      <formula>0</formula>
    </cfRule>
    <cfRule type="cellIs" dxfId="1" priority="439" operator="lessThan">
      <formula>E50</formula>
    </cfRule>
  </conditionalFormatting>
  <conditionalFormatting sqref="N51">
    <cfRule type="cellIs" dxfId="0" priority="443" operator="equal">
      <formula>0</formula>
    </cfRule>
    <cfRule type="cellIs" dxfId="1" priority="444" operator="lessThan">
      <formula>E51</formula>
    </cfRule>
  </conditionalFormatting>
  <conditionalFormatting sqref="N52">
    <cfRule type="cellIs" dxfId="0" priority="448" operator="equal">
      <formula>0</formula>
    </cfRule>
    <cfRule type="cellIs" dxfId="1" priority="449" operator="lessThan">
      <formula>E52</formula>
    </cfRule>
  </conditionalFormatting>
  <conditionalFormatting sqref="N53">
    <cfRule type="cellIs" dxfId="0" priority="453" operator="equal">
      <formula>0</formula>
    </cfRule>
    <cfRule type="cellIs" dxfId="1" priority="454" operator="lessThan">
      <formula>E53</formula>
    </cfRule>
  </conditionalFormatting>
  <conditionalFormatting sqref="N54">
    <cfRule type="cellIs" dxfId="0" priority="458" operator="equal">
      <formula>0</formula>
    </cfRule>
    <cfRule type="cellIs" dxfId="1" priority="459" operator="lessThan">
      <formula>E54</formula>
    </cfRule>
  </conditionalFormatting>
  <conditionalFormatting sqref="N7">
    <cfRule type="cellIs" dxfId="0" priority="244" operator="equal">
      <formula>0</formula>
    </cfRule>
    <cfRule type="cellIs" dxfId="1" priority="245" operator="lessThan">
      <formula>E7</formula>
    </cfRule>
  </conditionalFormatting>
  <conditionalFormatting sqref="N8">
    <cfRule type="cellIs" dxfId="0" priority="249" operator="equal">
      <formula>0</formula>
    </cfRule>
    <cfRule type="cellIs" dxfId="1" priority="250" operator="lessThan">
      <formula>E8</formula>
    </cfRule>
  </conditionalFormatting>
  <conditionalFormatting sqref="O10">
    <cfRule type="cellIs" dxfId="0" priority="256" operator="greaterThan">
      <formula>N10</formula>
    </cfRule>
  </conditionalFormatting>
  <conditionalFormatting sqref="O11">
    <cfRule type="cellIs" dxfId="0" priority="261" operator="greaterThan">
      <formula>N11</formula>
    </cfRule>
  </conditionalFormatting>
  <conditionalFormatting sqref="O12">
    <cfRule type="cellIs" dxfId="0" priority="266" operator="greaterThan">
      <formula>N12</formula>
    </cfRule>
  </conditionalFormatting>
  <conditionalFormatting sqref="O13">
    <cfRule type="cellIs" dxfId="0" priority="271" operator="greaterThan">
      <formula>N13</formula>
    </cfRule>
  </conditionalFormatting>
  <conditionalFormatting sqref="O14">
    <cfRule type="cellIs" dxfId="0" priority="276" operator="greaterThan">
      <formula>N14</formula>
    </cfRule>
  </conditionalFormatting>
  <conditionalFormatting sqref="O15">
    <cfRule type="cellIs" dxfId="0" priority="281" operator="greaterThan">
      <formula>N15</formula>
    </cfRule>
  </conditionalFormatting>
  <conditionalFormatting sqref="O16">
    <cfRule type="cellIs" dxfId="0" priority="286" operator="greaterThan">
      <formula>N16</formula>
    </cfRule>
  </conditionalFormatting>
  <conditionalFormatting sqref="O17">
    <cfRule type="cellIs" dxfId="0" priority="291" operator="greaterThan">
      <formula>N17</formula>
    </cfRule>
  </conditionalFormatting>
  <conditionalFormatting sqref="O18">
    <cfRule type="cellIs" dxfId="0" priority="296" operator="greaterThan">
      <formula>N18</formula>
    </cfRule>
  </conditionalFormatting>
  <conditionalFormatting sqref="O19">
    <cfRule type="cellIs" dxfId="0" priority="301" operator="greaterThan">
      <formula>N19</formula>
    </cfRule>
  </conditionalFormatting>
  <conditionalFormatting sqref="O20">
    <cfRule type="cellIs" dxfId="0" priority="306" operator="greaterThan">
      <formula>N20</formula>
    </cfRule>
  </conditionalFormatting>
  <conditionalFormatting sqref="O21">
    <cfRule type="cellIs" dxfId="0" priority="311" operator="greaterThan">
      <formula>N21</formula>
    </cfRule>
  </conditionalFormatting>
  <conditionalFormatting sqref="O22">
    <cfRule type="expression" dxfId="3" priority="316">
      <formula>AND(O22&gt;0,MOD(O22,Q22)&lt;&gt;0)</formula>
    </cfRule>
    <cfRule type="cellIs" dxfId="0" priority="317" operator="greaterThan">
      <formula>N22</formula>
    </cfRule>
  </conditionalFormatting>
  <conditionalFormatting sqref="O23">
    <cfRule type="cellIs" dxfId="0" priority="325" operator="greaterThan">
      <formula>N23</formula>
    </cfRule>
  </conditionalFormatting>
  <conditionalFormatting sqref="O24">
    <cfRule type="cellIs" dxfId="0" priority="330" operator="greaterThan">
      <formula>N24</formula>
    </cfRule>
  </conditionalFormatting>
  <conditionalFormatting sqref="O25">
    <cfRule type="cellIs" dxfId="0" priority="335" operator="greaterThan">
      <formula>N25</formula>
    </cfRule>
  </conditionalFormatting>
  <conditionalFormatting sqref="O26">
    <cfRule type="cellIs" dxfId="0" priority="340" operator="greaterThan">
      <formula>N26</formula>
    </cfRule>
  </conditionalFormatting>
  <conditionalFormatting sqref="O27">
    <cfRule type="cellIs" dxfId="0" priority="345" operator="greaterThan">
      <formula>N27</formula>
    </cfRule>
  </conditionalFormatting>
  <conditionalFormatting sqref="O28">
    <cfRule type="cellIs" dxfId="0" priority="350" operator="greaterThan">
      <formula>N28</formula>
    </cfRule>
  </conditionalFormatting>
  <conditionalFormatting sqref="O29">
    <cfRule type="cellIs" dxfId="0" priority="355" operator="greaterThan">
      <formula>N29</formula>
    </cfRule>
  </conditionalFormatting>
  <conditionalFormatting sqref="O30">
    <cfRule type="cellIs" dxfId="0" priority="360" operator="greaterThan">
      <formula>N30</formula>
    </cfRule>
  </conditionalFormatting>
  <conditionalFormatting sqref="O31">
    <cfRule type="cellIs" dxfId="0" priority="365" operator="greaterThan">
      <formula>N31</formula>
    </cfRule>
  </conditionalFormatting>
  <conditionalFormatting sqref="O32">
    <cfRule type="cellIs" dxfId="0" priority="370" operator="greaterThan">
      <formula>N32</formula>
    </cfRule>
  </conditionalFormatting>
  <conditionalFormatting sqref="O34">
    <cfRule type="cellIs" dxfId="0" priority="375" operator="greaterThan">
      <formula>N34</formula>
    </cfRule>
  </conditionalFormatting>
  <conditionalFormatting sqref="O35">
    <cfRule type="cellIs" dxfId="0" priority="380" operator="greaterThan">
      <formula>N35</formula>
    </cfRule>
  </conditionalFormatting>
  <conditionalFormatting sqref="O36">
    <cfRule type="cellIs" dxfId="0" priority="385" operator="greaterThan">
      <formula>N36</formula>
    </cfRule>
  </conditionalFormatting>
  <conditionalFormatting sqref="O37">
    <cfRule type="cellIs" dxfId="0" priority="390" operator="greaterThan">
      <formula>N37</formula>
    </cfRule>
  </conditionalFormatting>
  <conditionalFormatting sqref="O38">
    <cfRule type="cellIs" dxfId="0" priority="395" operator="greaterThan">
      <formula>N38</formula>
    </cfRule>
  </conditionalFormatting>
  <conditionalFormatting sqref="O39">
    <cfRule type="cellIs" dxfId="0" priority="400" operator="greaterThan">
      <formula>N39</formula>
    </cfRule>
  </conditionalFormatting>
  <conditionalFormatting sqref="O40">
    <cfRule type="cellIs" dxfId="0" priority="405" operator="greaterThan">
      <formula>N40</formula>
    </cfRule>
  </conditionalFormatting>
  <conditionalFormatting sqref="O42">
    <cfRule type="cellIs" dxfId="0" priority="410" operator="greaterThan">
      <formula>N42</formula>
    </cfRule>
  </conditionalFormatting>
  <conditionalFormatting sqref="O43">
    <cfRule type="cellIs" dxfId="0" priority="415" operator="greaterThan">
      <formula>N43</formula>
    </cfRule>
  </conditionalFormatting>
  <conditionalFormatting sqref="O44">
    <cfRule type="cellIs" dxfId="0" priority="420" operator="greaterThan">
      <formula>N44</formula>
    </cfRule>
  </conditionalFormatting>
  <conditionalFormatting sqref="O45">
    <cfRule type="cellIs" dxfId="0" priority="425" operator="greaterThan">
      <formula>N45</formula>
    </cfRule>
  </conditionalFormatting>
  <conditionalFormatting sqref="O46">
    <cfRule type="cellIs" dxfId="0" priority="430" operator="greaterThan">
      <formula>N46</formula>
    </cfRule>
  </conditionalFormatting>
  <conditionalFormatting sqref="O48">
    <cfRule type="cellIs" dxfId="0" priority="435" operator="greaterThan">
      <formula>N48</formula>
    </cfRule>
  </conditionalFormatting>
  <conditionalFormatting sqref="O50">
    <cfRule type="cellIs" dxfId="0" priority="440" operator="greaterThan">
      <formula>N50</formula>
    </cfRule>
  </conditionalFormatting>
  <conditionalFormatting sqref="O51">
    <cfRule type="cellIs" dxfId="0" priority="445" operator="greaterThan">
      <formula>N51</formula>
    </cfRule>
  </conditionalFormatting>
  <conditionalFormatting sqref="O52">
    <cfRule type="cellIs" dxfId="0" priority="450" operator="greaterThan">
      <formula>N52</formula>
    </cfRule>
  </conditionalFormatting>
  <conditionalFormatting sqref="O53">
    <cfRule type="cellIs" dxfId="0" priority="455" operator="greaterThan">
      <formula>N53</formula>
    </cfRule>
  </conditionalFormatting>
  <conditionalFormatting sqref="O54">
    <cfRule type="cellIs" dxfId="0" priority="460" operator="greaterThan">
      <formula>N54</formula>
    </cfRule>
  </conditionalFormatting>
  <conditionalFormatting sqref="O7">
    <cfRule type="cellIs" dxfId="0" priority="246" operator="greaterThan">
      <formula>N7</formula>
    </cfRule>
  </conditionalFormatting>
  <conditionalFormatting sqref="O8">
    <cfRule type="cellIs" dxfId="0" priority="251" operator="greaterThan">
      <formula>N8</formula>
    </cfRule>
  </conditionalFormatting>
  <conditionalFormatting sqref="P10">
    <cfRule type="cellIs" dxfId="2" priority="258" operator="lessThanOrEqual">
      <formula>F10</formula>
    </cfRule>
  </conditionalFormatting>
  <conditionalFormatting sqref="P11">
    <cfRule type="cellIs" dxfId="2" priority="263" operator="lessThanOrEqual">
      <formula>F11</formula>
    </cfRule>
  </conditionalFormatting>
  <conditionalFormatting sqref="P12">
    <cfRule type="cellIs" dxfId="2" priority="268" operator="lessThanOrEqual">
      <formula>F12</formula>
    </cfRule>
  </conditionalFormatting>
  <conditionalFormatting sqref="P13">
    <cfRule type="cellIs" dxfId="2" priority="273" operator="lessThanOrEqual">
      <formula>F13</formula>
    </cfRule>
  </conditionalFormatting>
  <conditionalFormatting sqref="P14">
    <cfRule type="cellIs" dxfId="2" priority="278" operator="lessThanOrEqual">
      <formula>F14</formula>
    </cfRule>
  </conditionalFormatting>
  <conditionalFormatting sqref="P15">
    <cfRule type="cellIs" dxfId="2" priority="283" operator="lessThanOrEqual">
      <formula>F15</formula>
    </cfRule>
  </conditionalFormatting>
  <conditionalFormatting sqref="P16">
    <cfRule type="cellIs" dxfId="2" priority="288" operator="lessThanOrEqual">
      <formula>F16</formula>
    </cfRule>
  </conditionalFormatting>
  <conditionalFormatting sqref="P17">
    <cfRule type="cellIs" dxfId="2" priority="293" operator="lessThanOrEqual">
      <formula>F17</formula>
    </cfRule>
  </conditionalFormatting>
  <conditionalFormatting sqref="P18">
    <cfRule type="cellIs" dxfId="2" priority="298" operator="lessThanOrEqual">
      <formula>F18</formula>
    </cfRule>
  </conditionalFormatting>
  <conditionalFormatting sqref="P19">
    <cfRule type="cellIs" dxfId="2" priority="303" operator="lessThanOrEqual">
      <formula>F19</formula>
    </cfRule>
  </conditionalFormatting>
  <conditionalFormatting sqref="P20">
    <cfRule type="cellIs" dxfId="2" priority="308" operator="lessThanOrEqual">
      <formula>F20</formula>
    </cfRule>
  </conditionalFormatting>
  <conditionalFormatting sqref="P21">
    <cfRule type="cellIs" dxfId="2" priority="313" operator="lessThanOrEqual">
      <formula>F21</formula>
    </cfRule>
  </conditionalFormatting>
  <conditionalFormatting sqref="P22">
    <cfRule type="cellIs" dxfId="2" priority="319" operator="lessThanOrEqual">
      <formula>F22</formula>
    </cfRule>
    <cfRule type="expression" dxfId="3" priority="320">
      <formula>AND(E22&lt;8000,O22&lt;8000)</formula>
    </cfRule>
  </conditionalFormatting>
  <conditionalFormatting sqref="P23">
    <cfRule type="cellIs" dxfId="2" priority="327" operator="lessThanOrEqual">
      <formula>F23</formula>
    </cfRule>
  </conditionalFormatting>
  <conditionalFormatting sqref="P24">
    <cfRule type="cellIs" dxfId="2" priority="332" operator="lessThanOrEqual">
      <formula>F24</formula>
    </cfRule>
  </conditionalFormatting>
  <conditionalFormatting sqref="P25">
    <cfRule type="cellIs" dxfId="2" priority="337" operator="lessThanOrEqual">
      <formula>F25</formula>
    </cfRule>
  </conditionalFormatting>
  <conditionalFormatting sqref="P26">
    <cfRule type="cellIs" dxfId="2" priority="342" operator="lessThanOrEqual">
      <formula>F26</formula>
    </cfRule>
  </conditionalFormatting>
  <conditionalFormatting sqref="P27">
    <cfRule type="cellIs" dxfId="2" priority="347" operator="lessThanOrEqual">
      <formula>F27</formula>
    </cfRule>
  </conditionalFormatting>
  <conditionalFormatting sqref="P28">
    <cfRule type="cellIs" dxfId="2" priority="352" operator="lessThanOrEqual">
      <formula>F28</formula>
    </cfRule>
  </conditionalFormatting>
  <conditionalFormatting sqref="P29">
    <cfRule type="cellIs" dxfId="2" priority="357" operator="lessThanOrEqual">
      <formula>F29</formula>
    </cfRule>
  </conditionalFormatting>
  <conditionalFormatting sqref="P30">
    <cfRule type="cellIs" dxfId="2" priority="362" operator="lessThanOrEqual">
      <formula>F30</formula>
    </cfRule>
  </conditionalFormatting>
  <conditionalFormatting sqref="P31">
    <cfRule type="cellIs" dxfId="2" priority="367" operator="lessThanOrEqual">
      <formula>F31</formula>
    </cfRule>
  </conditionalFormatting>
  <conditionalFormatting sqref="P32">
    <cfRule type="cellIs" dxfId="2" priority="372" operator="lessThanOrEqual">
      <formula>F32</formula>
    </cfRule>
  </conditionalFormatting>
  <conditionalFormatting sqref="P34">
    <cfRule type="cellIs" dxfId="2" priority="377" operator="lessThanOrEqual">
      <formula>F34</formula>
    </cfRule>
  </conditionalFormatting>
  <conditionalFormatting sqref="P35">
    <cfRule type="cellIs" dxfId="2" priority="382" operator="lessThanOrEqual">
      <formula>F35</formula>
    </cfRule>
  </conditionalFormatting>
  <conditionalFormatting sqref="P36">
    <cfRule type="cellIs" dxfId="2" priority="387" operator="lessThanOrEqual">
      <formula>F36</formula>
    </cfRule>
  </conditionalFormatting>
  <conditionalFormatting sqref="P37">
    <cfRule type="cellIs" dxfId="2" priority="392" operator="lessThanOrEqual">
      <formula>F37</formula>
    </cfRule>
  </conditionalFormatting>
  <conditionalFormatting sqref="P38">
    <cfRule type="cellIs" dxfId="2" priority="397" operator="lessThanOrEqual">
      <formula>F38</formula>
    </cfRule>
  </conditionalFormatting>
  <conditionalFormatting sqref="P39">
    <cfRule type="cellIs" dxfId="2" priority="402" operator="lessThanOrEqual">
      <formula>F39</formula>
    </cfRule>
  </conditionalFormatting>
  <conditionalFormatting sqref="P40">
    <cfRule type="cellIs" dxfId="2" priority="407" operator="lessThanOrEqual">
      <formula>F40</formula>
    </cfRule>
  </conditionalFormatting>
  <conditionalFormatting sqref="P42">
    <cfRule type="cellIs" dxfId="2" priority="412" operator="lessThanOrEqual">
      <formula>F42</formula>
    </cfRule>
  </conditionalFormatting>
  <conditionalFormatting sqref="P43">
    <cfRule type="cellIs" dxfId="2" priority="417" operator="lessThanOrEqual">
      <formula>F43</formula>
    </cfRule>
  </conditionalFormatting>
  <conditionalFormatting sqref="P44">
    <cfRule type="cellIs" dxfId="2" priority="422" operator="lessThanOrEqual">
      <formula>F44</formula>
    </cfRule>
  </conditionalFormatting>
  <conditionalFormatting sqref="P45">
    <cfRule type="cellIs" dxfId="2" priority="427" operator="lessThanOrEqual">
      <formula>F45</formula>
    </cfRule>
  </conditionalFormatting>
  <conditionalFormatting sqref="P46">
    <cfRule type="cellIs" dxfId="2" priority="432" operator="lessThanOrEqual">
      <formula>F46</formula>
    </cfRule>
  </conditionalFormatting>
  <conditionalFormatting sqref="P48">
    <cfRule type="cellIs" dxfId="2" priority="437" operator="lessThanOrEqual">
      <formula>F48</formula>
    </cfRule>
  </conditionalFormatting>
  <conditionalFormatting sqref="P50">
    <cfRule type="cellIs" dxfId="2" priority="442" operator="lessThanOrEqual">
      <formula>F50</formula>
    </cfRule>
  </conditionalFormatting>
  <conditionalFormatting sqref="P51">
    <cfRule type="cellIs" dxfId="2" priority="447" operator="lessThanOrEqual">
      <formula>F51</formula>
    </cfRule>
  </conditionalFormatting>
  <conditionalFormatting sqref="P52">
    <cfRule type="cellIs" dxfId="2" priority="452" operator="lessThanOrEqual">
      <formula>F52</formula>
    </cfRule>
  </conditionalFormatting>
  <conditionalFormatting sqref="P53">
    <cfRule type="cellIs" dxfId="2" priority="457" operator="lessThanOrEqual">
      <formula>F53</formula>
    </cfRule>
  </conditionalFormatting>
  <conditionalFormatting sqref="P54">
    <cfRule type="cellIs" dxfId="2" priority="462" operator="lessThanOrEqual">
      <formula>F54</formula>
    </cfRule>
  </conditionalFormatting>
  <conditionalFormatting sqref="P7">
    <cfRule type="cellIs" dxfId="2" priority="248" operator="lessThanOrEqual">
      <formula>F7</formula>
    </cfRule>
  </conditionalFormatting>
  <conditionalFormatting sqref="P8">
    <cfRule type="cellIs" dxfId="2" priority="253" operator="lessThanOrEqual">
      <formula>F8</formula>
    </cfRule>
  </conditionalFormatting>
  <conditionalFormatting sqref="Q22">
    <cfRule type="expression" dxfId="3" priority="321">
      <formula>AND(E22&lt;8000,O22&lt;8000)</formula>
    </cfRule>
  </conditionalFormatting>
  <conditionalFormatting sqref="R10">
    <cfRule type="cellIs" dxfId="2" priority="257" operator="lessThanOrEqual">
      <formula>G10</formula>
    </cfRule>
  </conditionalFormatting>
  <conditionalFormatting sqref="R11">
    <cfRule type="cellIs" dxfId="2" priority="262" operator="lessThanOrEqual">
      <formula>G11</formula>
    </cfRule>
  </conditionalFormatting>
  <conditionalFormatting sqref="R12">
    <cfRule type="cellIs" dxfId="2" priority="267" operator="lessThanOrEqual">
      <formula>G12</formula>
    </cfRule>
  </conditionalFormatting>
  <conditionalFormatting sqref="R13">
    <cfRule type="cellIs" dxfId="2" priority="272" operator="lessThanOrEqual">
      <formula>G13</formula>
    </cfRule>
  </conditionalFormatting>
  <conditionalFormatting sqref="R14">
    <cfRule type="cellIs" dxfId="2" priority="277" operator="lessThanOrEqual">
      <formula>G14</formula>
    </cfRule>
  </conditionalFormatting>
  <conditionalFormatting sqref="R15">
    <cfRule type="cellIs" dxfId="2" priority="282" operator="lessThanOrEqual">
      <formula>G15</formula>
    </cfRule>
  </conditionalFormatting>
  <conditionalFormatting sqref="R16">
    <cfRule type="cellIs" dxfId="2" priority="287" operator="lessThanOrEqual">
      <formula>G16</formula>
    </cfRule>
  </conditionalFormatting>
  <conditionalFormatting sqref="R17">
    <cfRule type="cellIs" dxfId="2" priority="292" operator="lessThanOrEqual">
      <formula>G17</formula>
    </cfRule>
  </conditionalFormatting>
  <conditionalFormatting sqref="R18">
    <cfRule type="cellIs" dxfId="2" priority="297" operator="lessThanOrEqual">
      <formula>G18</formula>
    </cfRule>
  </conditionalFormatting>
  <conditionalFormatting sqref="R19">
    <cfRule type="cellIs" dxfId="2" priority="302" operator="lessThanOrEqual">
      <formula>G19</formula>
    </cfRule>
  </conditionalFormatting>
  <conditionalFormatting sqref="R20">
    <cfRule type="cellIs" dxfId="2" priority="307" operator="lessThanOrEqual">
      <formula>G20</formula>
    </cfRule>
  </conditionalFormatting>
  <conditionalFormatting sqref="R21">
    <cfRule type="cellIs" dxfId="2" priority="312" operator="lessThanOrEqual">
      <formula>G21</formula>
    </cfRule>
  </conditionalFormatting>
  <conditionalFormatting sqref="R22">
    <cfRule type="cellIs" dxfId="2" priority="318" operator="lessThanOrEqual">
      <formula>G22</formula>
    </cfRule>
    <cfRule type="expression" dxfId="3" priority="322">
      <formula>AND(E22&lt;8000,O22&lt;8000)</formula>
    </cfRule>
  </conditionalFormatting>
  <conditionalFormatting sqref="R23">
    <cfRule type="cellIs" dxfId="2" priority="326" operator="lessThanOrEqual">
      <formula>G23</formula>
    </cfRule>
  </conditionalFormatting>
  <conditionalFormatting sqref="R24">
    <cfRule type="cellIs" dxfId="2" priority="331" operator="lessThanOrEqual">
      <formula>G24</formula>
    </cfRule>
  </conditionalFormatting>
  <conditionalFormatting sqref="R25">
    <cfRule type="cellIs" dxfId="2" priority="336" operator="lessThanOrEqual">
      <formula>G25</formula>
    </cfRule>
  </conditionalFormatting>
  <conditionalFormatting sqref="R26">
    <cfRule type="cellIs" dxfId="2" priority="341" operator="lessThanOrEqual">
      <formula>G26</formula>
    </cfRule>
  </conditionalFormatting>
  <conditionalFormatting sqref="R27">
    <cfRule type="cellIs" dxfId="2" priority="346" operator="lessThanOrEqual">
      <formula>G27</formula>
    </cfRule>
  </conditionalFormatting>
  <conditionalFormatting sqref="R28">
    <cfRule type="cellIs" dxfId="2" priority="351" operator="lessThanOrEqual">
      <formula>G28</formula>
    </cfRule>
  </conditionalFormatting>
  <conditionalFormatting sqref="R29">
    <cfRule type="cellIs" dxfId="2" priority="356" operator="lessThanOrEqual">
      <formula>G29</formula>
    </cfRule>
  </conditionalFormatting>
  <conditionalFormatting sqref="R30">
    <cfRule type="cellIs" dxfId="2" priority="361" operator="lessThanOrEqual">
      <formula>G30</formula>
    </cfRule>
  </conditionalFormatting>
  <conditionalFormatting sqref="R31">
    <cfRule type="cellIs" dxfId="2" priority="366" operator="lessThanOrEqual">
      <formula>G31</formula>
    </cfRule>
  </conditionalFormatting>
  <conditionalFormatting sqref="R32">
    <cfRule type="cellIs" dxfId="2" priority="371" operator="lessThanOrEqual">
      <formula>G32</formula>
    </cfRule>
  </conditionalFormatting>
  <conditionalFormatting sqref="R34">
    <cfRule type="cellIs" dxfId="2" priority="376" operator="lessThanOrEqual">
      <formula>G34</formula>
    </cfRule>
  </conditionalFormatting>
  <conditionalFormatting sqref="R35">
    <cfRule type="cellIs" dxfId="2" priority="381" operator="lessThanOrEqual">
      <formula>G35</formula>
    </cfRule>
  </conditionalFormatting>
  <conditionalFormatting sqref="R36">
    <cfRule type="cellIs" dxfId="2" priority="386" operator="lessThanOrEqual">
      <formula>G36</formula>
    </cfRule>
  </conditionalFormatting>
  <conditionalFormatting sqref="R37">
    <cfRule type="cellIs" dxfId="2" priority="391" operator="lessThanOrEqual">
      <formula>G37</formula>
    </cfRule>
  </conditionalFormatting>
  <conditionalFormatting sqref="R38">
    <cfRule type="cellIs" dxfId="2" priority="396" operator="lessThanOrEqual">
      <formula>G38</formula>
    </cfRule>
  </conditionalFormatting>
  <conditionalFormatting sqref="R39">
    <cfRule type="cellIs" dxfId="2" priority="401" operator="lessThanOrEqual">
      <formula>G39</formula>
    </cfRule>
  </conditionalFormatting>
  <conditionalFormatting sqref="R40">
    <cfRule type="cellIs" dxfId="2" priority="406" operator="lessThanOrEqual">
      <formula>G40</formula>
    </cfRule>
  </conditionalFormatting>
  <conditionalFormatting sqref="R42">
    <cfRule type="cellIs" dxfId="2" priority="411" operator="lessThanOrEqual">
      <formula>G42</formula>
    </cfRule>
  </conditionalFormatting>
  <conditionalFormatting sqref="R43">
    <cfRule type="cellIs" dxfId="2" priority="416" operator="lessThanOrEqual">
      <formula>G43</formula>
    </cfRule>
  </conditionalFormatting>
  <conditionalFormatting sqref="R44">
    <cfRule type="cellIs" dxfId="2" priority="421" operator="lessThanOrEqual">
      <formula>G44</formula>
    </cfRule>
  </conditionalFormatting>
  <conditionalFormatting sqref="R45">
    <cfRule type="cellIs" dxfId="2" priority="426" operator="lessThanOrEqual">
      <formula>G45</formula>
    </cfRule>
  </conditionalFormatting>
  <conditionalFormatting sqref="R46">
    <cfRule type="cellIs" dxfId="2" priority="431" operator="lessThanOrEqual">
      <formula>G46</formula>
    </cfRule>
  </conditionalFormatting>
  <conditionalFormatting sqref="R48">
    <cfRule type="cellIs" dxfId="2" priority="436" operator="lessThanOrEqual">
      <formula>G48</formula>
    </cfRule>
  </conditionalFormatting>
  <conditionalFormatting sqref="R50">
    <cfRule type="cellIs" dxfId="2" priority="441" operator="lessThanOrEqual">
      <formula>G50</formula>
    </cfRule>
  </conditionalFormatting>
  <conditionalFormatting sqref="R51">
    <cfRule type="cellIs" dxfId="2" priority="446" operator="lessThanOrEqual">
      <formula>G51</formula>
    </cfRule>
  </conditionalFormatting>
  <conditionalFormatting sqref="R52">
    <cfRule type="cellIs" dxfId="2" priority="451" operator="lessThanOrEqual">
      <formula>G52</formula>
    </cfRule>
  </conditionalFormatting>
  <conditionalFormatting sqref="R53">
    <cfRule type="cellIs" dxfId="2" priority="456" operator="lessThanOrEqual">
      <formula>G53</formula>
    </cfRule>
  </conditionalFormatting>
  <conditionalFormatting sqref="R54">
    <cfRule type="cellIs" dxfId="2" priority="461" operator="lessThanOrEqual">
      <formula>G54</formula>
    </cfRule>
  </conditionalFormatting>
  <conditionalFormatting sqref="R7">
    <cfRule type="cellIs" dxfId="2" priority="247" operator="lessThanOrEqual">
      <formula>G7</formula>
    </cfRule>
  </conditionalFormatting>
  <conditionalFormatting sqref="R8">
    <cfRule type="cellIs" dxfId="2" priority="252" operator="lessThanOrEqual">
      <formula>G8</formula>
    </cfRule>
  </conditionalFormatting>
  <conditionalFormatting sqref="T10">
    <cfRule type="cellIs" dxfId="0" priority="468" operator="equal">
      <formula>0</formula>
    </cfRule>
    <cfRule type="cellIs" dxfId="1" priority="469" operator="lessThan">
      <formula>E10</formula>
    </cfRule>
  </conditionalFormatting>
  <conditionalFormatting sqref="T12">
    <cfRule type="cellIs" dxfId="0" priority="474" operator="equal">
      <formula>0</formula>
    </cfRule>
    <cfRule type="cellIs" dxfId="1" priority="475" operator="lessThan">
      <formula>E12</formula>
    </cfRule>
  </conditionalFormatting>
  <conditionalFormatting sqref="T13">
    <cfRule type="cellIs" dxfId="0" priority="480" operator="equal">
      <formula>0</formula>
    </cfRule>
    <cfRule type="cellIs" dxfId="1" priority="481" operator="lessThan">
      <formula>E13</formula>
    </cfRule>
  </conditionalFormatting>
  <conditionalFormatting sqref="T14">
    <cfRule type="cellIs" dxfId="0" priority="485" operator="equal">
      <formula>0</formula>
    </cfRule>
    <cfRule type="cellIs" dxfId="1" priority="486" operator="lessThan">
      <formula>E14</formula>
    </cfRule>
  </conditionalFormatting>
  <conditionalFormatting sqref="T17">
    <cfRule type="cellIs" dxfId="0" priority="491" operator="equal">
      <formula>0</formula>
    </cfRule>
    <cfRule type="cellIs" dxfId="1" priority="492" operator="lessThan">
      <formula>E17</formula>
    </cfRule>
  </conditionalFormatting>
  <conditionalFormatting sqref="T18">
    <cfRule type="cellIs" dxfId="0" priority="496" operator="equal">
      <formula>0</formula>
    </cfRule>
    <cfRule type="cellIs" dxfId="1" priority="497" operator="lessThan">
      <formula>E18</formula>
    </cfRule>
  </conditionalFormatting>
  <conditionalFormatting sqref="T20">
    <cfRule type="cellIs" dxfId="0" priority="502" operator="equal">
      <formula>0</formula>
    </cfRule>
    <cfRule type="cellIs" dxfId="1" priority="503" operator="lessThan">
      <formula>E20</formula>
    </cfRule>
  </conditionalFormatting>
  <conditionalFormatting sqref="T21">
    <cfRule type="cellIs" dxfId="0" priority="508" operator="equal">
      <formula>0</formula>
    </cfRule>
    <cfRule type="cellIs" dxfId="1" priority="509" operator="lessThan">
      <formula>E21</formula>
    </cfRule>
  </conditionalFormatting>
  <conditionalFormatting sqref="T24">
    <cfRule type="cellIs" dxfId="0" priority="513" operator="equal">
      <formula>0</formula>
    </cfRule>
    <cfRule type="cellIs" dxfId="1" priority="514" operator="lessThan">
      <formula>E24</formula>
    </cfRule>
  </conditionalFormatting>
  <conditionalFormatting sqref="T25">
    <cfRule type="cellIs" dxfId="0" priority="518" operator="equal">
      <formula>0</formula>
    </cfRule>
    <cfRule type="cellIs" dxfId="1" priority="519" operator="lessThan">
      <formula>E25</formula>
    </cfRule>
  </conditionalFormatting>
  <conditionalFormatting sqref="T26">
    <cfRule type="cellIs" dxfId="0" priority="524" operator="equal">
      <formula>0</formula>
    </cfRule>
    <cfRule type="cellIs" dxfId="1" priority="525" operator="lessThan">
      <formula>E26</formula>
    </cfRule>
  </conditionalFormatting>
  <conditionalFormatting sqref="T27">
    <cfRule type="cellIs" dxfId="0" priority="530" operator="equal">
      <formula>0</formula>
    </cfRule>
    <cfRule type="cellIs" dxfId="1" priority="531" operator="lessThan">
      <formula>E27</formula>
    </cfRule>
  </conditionalFormatting>
  <conditionalFormatting sqref="T28">
    <cfRule type="cellIs" dxfId="0" priority="535" operator="equal">
      <formula>0</formula>
    </cfRule>
    <cfRule type="cellIs" dxfId="1" priority="536" operator="lessThan">
      <formula>E28</formula>
    </cfRule>
  </conditionalFormatting>
  <conditionalFormatting sqref="T29">
    <cfRule type="cellIs" dxfId="0" priority="541" operator="equal">
      <formula>0</formula>
    </cfRule>
    <cfRule type="cellIs" dxfId="1" priority="542" operator="lessThan">
      <formula>E29</formula>
    </cfRule>
  </conditionalFormatting>
  <conditionalFormatting sqref="T30">
    <cfRule type="cellIs" dxfId="0" priority="547" operator="equal">
      <formula>0</formula>
    </cfRule>
    <cfRule type="cellIs" dxfId="1" priority="548" operator="lessThan">
      <formula>E30</formula>
    </cfRule>
  </conditionalFormatting>
  <conditionalFormatting sqref="T31">
    <cfRule type="cellIs" dxfId="0" priority="552" operator="equal">
      <formula>0</formula>
    </cfRule>
    <cfRule type="cellIs" dxfId="1" priority="553" operator="lessThan">
      <formula>E31</formula>
    </cfRule>
  </conditionalFormatting>
  <conditionalFormatting sqref="T32">
    <cfRule type="cellIs" dxfId="0" priority="557" operator="equal">
      <formula>0</formula>
    </cfRule>
    <cfRule type="cellIs" dxfId="1" priority="558" operator="lessThan">
      <formula>E32</formula>
    </cfRule>
  </conditionalFormatting>
  <conditionalFormatting sqref="T37">
    <cfRule type="cellIs" dxfId="0" priority="563" operator="equal">
      <formula>0</formula>
    </cfRule>
    <cfRule type="cellIs" dxfId="1" priority="564" operator="lessThan">
      <formula>E37</formula>
    </cfRule>
  </conditionalFormatting>
  <conditionalFormatting sqref="T38">
    <cfRule type="cellIs" dxfId="0" priority="568" operator="equal">
      <formula>0</formula>
    </cfRule>
    <cfRule type="cellIs" dxfId="1" priority="569" operator="lessThan">
      <formula>E38</formula>
    </cfRule>
  </conditionalFormatting>
  <conditionalFormatting sqref="T40">
    <cfRule type="cellIs" dxfId="0" priority="574" operator="equal">
      <formula>0</formula>
    </cfRule>
    <cfRule type="cellIs" dxfId="1" priority="575" operator="lessThan">
      <formula>E40</formula>
    </cfRule>
  </conditionalFormatting>
  <conditionalFormatting sqref="T43">
    <cfRule type="cellIs" dxfId="0" priority="579" operator="equal">
      <formula>0</formula>
    </cfRule>
    <cfRule type="cellIs" dxfId="1" priority="580" operator="lessThan">
      <formula>E43</formula>
    </cfRule>
  </conditionalFormatting>
  <conditionalFormatting sqref="T44">
    <cfRule type="cellIs" dxfId="0" priority="585" operator="equal">
      <formula>0</formula>
    </cfRule>
    <cfRule type="cellIs" dxfId="1" priority="586" operator="lessThan">
      <formula>E44</formula>
    </cfRule>
  </conditionalFormatting>
  <conditionalFormatting sqref="T45">
    <cfRule type="cellIs" dxfId="0" priority="590" operator="equal">
      <formula>0</formula>
    </cfRule>
    <cfRule type="cellIs" dxfId="1" priority="591" operator="lessThan">
      <formula>E45</formula>
    </cfRule>
  </conditionalFormatting>
  <conditionalFormatting sqref="T46">
    <cfRule type="cellIs" dxfId="0" priority="595" operator="equal">
      <formula>0</formula>
    </cfRule>
    <cfRule type="cellIs" dxfId="1" priority="596" operator="lessThan">
      <formula>E46</formula>
    </cfRule>
  </conditionalFormatting>
  <conditionalFormatting sqref="T49">
    <cfRule type="cellIs" dxfId="0" priority="600" operator="equal">
      <formula>0</formula>
    </cfRule>
    <cfRule type="cellIs" dxfId="1" priority="601" operator="lessThan">
      <formula>E49</formula>
    </cfRule>
  </conditionalFormatting>
  <conditionalFormatting sqref="T52">
    <cfRule type="cellIs" dxfId="0" priority="606" operator="equal">
      <formula>0</formula>
    </cfRule>
    <cfRule type="cellIs" dxfId="1" priority="607" operator="lessThan">
      <formula>E52</formula>
    </cfRule>
  </conditionalFormatting>
  <conditionalFormatting sqref="T53">
    <cfRule type="cellIs" dxfId="0" priority="611" operator="equal">
      <formula>0</formula>
    </cfRule>
    <cfRule type="cellIs" dxfId="1" priority="612" operator="lessThan">
      <formula>E53</formula>
    </cfRule>
  </conditionalFormatting>
  <conditionalFormatting sqref="T8">
    <cfRule type="cellIs" dxfId="0" priority="463" operator="equal">
      <formula>0</formula>
    </cfRule>
    <cfRule type="cellIs" dxfId="1" priority="464" operator="lessThan">
      <formula>E8</formula>
    </cfRule>
  </conditionalFormatting>
  <conditionalFormatting sqref="U10">
    <cfRule type="expression" dxfId="3" priority="470">
      <formula>AND(U10&gt;0,MOD(U10,W10)&lt;&gt;0)</formula>
    </cfRule>
    <cfRule type="cellIs" dxfId="0" priority="471" operator="greaterThan">
      <formula>T10</formula>
    </cfRule>
  </conditionalFormatting>
  <conditionalFormatting sqref="U12">
    <cfRule type="expression" dxfId="3" priority="476">
      <formula>AND(U12&gt;0,MOD(U12,W12)&lt;&gt;0)</formula>
    </cfRule>
    <cfRule type="cellIs" dxfId="0" priority="477" operator="greaterThan">
      <formula>T12</formula>
    </cfRule>
  </conditionalFormatting>
  <conditionalFormatting sqref="U13">
    <cfRule type="cellIs" dxfId="0" priority="482" operator="greaterThan">
      <formula>T13</formula>
    </cfRule>
  </conditionalFormatting>
  <conditionalFormatting sqref="U14">
    <cfRule type="expression" dxfId="3" priority="487">
      <formula>AND(U14&gt;0,MOD(U14,W14)&lt;&gt;0)</formula>
    </cfRule>
    <cfRule type="cellIs" dxfId="0" priority="488" operator="greaterThan">
      <formula>T14</formula>
    </cfRule>
  </conditionalFormatting>
  <conditionalFormatting sqref="U17">
    <cfRule type="cellIs" dxfId="0" priority="493" operator="greaterThan">
      <formula>T17</formula>
    </cfRule>
  </conditionalFormatting>
  <conditionalFormatting sqref="U18">
    <cfRule type="expression" dxfId="3" priority="498">
      <formula>AND(U18&gt;0,MOD(U18,W18)&lt;&gt;0)</formula>
    </cfRule>
    <cfRule type="cellIs" dxfId="0" priority="499" operator="greaterThan">
      <formula>T18</formula>
    </cfRule>
  </conditionalFormatting>
  <conditionalFormatting sqref="U20">
    <cfRule type="expression" dxfId="3" priority="504">
      <formula>AND(U20&gt;0,MOD(U20,W20)&lt;&gt;0)</formula>
    </cfRule>
    <cfRule type="cellIs" dxfId="0" priority="505" operator="greaterThan">
      <formula>T20</formula>
    </cfRule>
  </conditionalFormatting>
  <conditionalFormatting sqref="U21">
    <cfRule type="cellIs" dxfId="0" priority="510" operator="greaterThan">
      <formula>T21</formula>
    </cfRule>
  </conditionalFormatting>
  <conditionalFormatting sqref="U24">
    <cfRule type="cellIs" dxfId="0" priority="515" operator="greaterThan">
      <formula>T24</formula>
    </cfRule>
  </conditionalFormatting>
  <conditionalFormatting sqref="U25">
    <cfRule type="expression" dxfId="3" priority="520">
      <formula>AND(U25&gt;0,MOD(U25,W25)&lt;&gt;0)</formula>
    </cfRule>
    <cfRule type="cellIs" dxfId="0" priority="521" operator="greaterThan">
      <formula>T25</formula>
    </cfRule>
  </conditionalFormatting>
  <conditionalFormatting sqref="U26">
    <cfRule type="expression" dxfId="3" priority="526">
      <formula>AND(U26&gt;0,MOD(U26,W26)&lt;&gt;0)</formula>
    </cfRule>
    <cfRule type="cellIs" dxfId="0" priority="527" operator="greaterThan">
      <formula>T26</formula>
    </cfRule>
  </conditionalFormatting>
  <conditionalFormatting sqref="U27">
    <cfRule type="cellIs" dxfId="0" priority="532" operator="greaterThan">
      <formula>T27</formula>
    </cfRule>
  </conditionalFormatting>
  <conditionalFormatting sqref="U28">
    <cfRule type="expression" dxfId="3" priority="537">
      <formula>AND(U28&gt;0,MOD(U28,W28)&lt;&gt;0)</formula>
    </cfRule>
    <cfRule type="cellIs" dxfId="0" priority="538" operator="greaterThan">
      <formula>T28</formula>
    </cfRule>
  </conditionalFormatting>
  <conditionalFormatting sqref="U29">
    <cfRule type="expression" dxfId="3" priority="543">
      <formula>AND(U29&gt;0,MOD(U29,W29)&lt;&gt;0)</formula>
    </cfRule>
    <cfRule type="cellIs" dxfId="0" priority="544" operator="greaterThan">
      <formula>T29</formula>
    </cfRule>
  </conditionalFormatting>
  <conditionalFormatting sqref="U30">
    <cfRule type="cellIs" dxfId="0" priority="549" operator="greaterThan">
      <formula>T30</formula>
    </cfRule>
  </conditionalFormatting>
  <conditionalFormatting sqref="U31">
    <cfRule type="cellIs" dxfId="0" priority="554" operator="greaterThan">
      <formula>T31</formula>
    </cfRule>
  </conditionalFormatting>
  <conditionalFormatting sqref="U32">
    <cfRule type="expression" dxfId="3" priority="559">
      <formula>AND(U32&gt;0,MOD(U32,W32)&lt;&gt;0)</formula>
    </cfRule>
    <cfRule type="cellIs" dxfId="0" priority="560" operator="greaterThan">
      <formula>T32</formula>
    </cfRule>
  </conditionalFormatting>
  <conditionalFormatting sqref="U37">
    <cfRule type="cellIs" dxfId="0" priority="565" operator="greaterThan">
      <formula>T37</formula>
    </cfRule>
  </conditionalFormatting>
  <conditionalFormatting sqref="U38">
    <cfRule type="expression" dxfId="3" priority="570">
      <formula>AND(U38&gt;0,MOD(U38,W38)&lt;&gt;0)</formula>
    </cfRule>
    <cfRule type="cellIs" dxfId="0" priority="571" operator="greaterThan">
      <formula>T38</formula>
    </cfRule>
  </conditionalFormatting>
  <conditionalFormatting sqref="U40">
    <cfRule type="cellIs" dxfId="0" priority="576" operator="greaterThan">
      <formula>T40</formula>
    </cfRule>
  </conditionalFormatting>
  <conditionalFormatting sqref="U43">
    <cfRule type="expression" dxfId="3" priority="581">
      <formula>AND(U43&gt;0,MOD(U43,W43)&lt;&gt;0)</formula>
    </cfRule>
    <cfRule type="cellIs" dxfId="0" priority="582" operator="greaterThan">
      <formula>T43</formula>
    </cfRule>
  </conditionalFormatting>
  <conditionalFormatting sqref="U44">
    <cfRule type="cellIs" dxfId="0" priority="587" operator="greaterThan">
      <formula>T44</formula>
    </cfRule>
  </conditionalFormatting>
  <conditionalFormatting sqref="U45">
    <cfRule type="cellIs" dxfId="0" priority="592" operator="greaterThan">
      <formula>T45</formula>
    </cfRule>
  </conditionalFormatting>
  <conditionalFormatting sqref="U46">
    <cfRule type="cellIs" dxfId="0" priority="597" operator="greaterThan">
      <formula>T46</formula>
    </cfRule>
  </conditionalFormatting>
  <conditionalFormatting sqref="U49">
    <cfRule type="expression" dxfId="3" priority="602">
      <formula>AND(U49&gt;0,MOD(U49,W49)&lt;&gt;0)</formula>
    </cfRule>
    <cfRule type="cellIs" dxfId="0" priority="603" operator="greaterThan">
      <formula>T49</formula>
    </cfRule>
  </conditionalFormatting>
  <conditionalFormatting sqref="U52">
    <cfRule type="cellIs" dxfId="0" priority="608" operator="greaterThan">
      <formula>T52</formula>
    </cfRule>
  </conditionalFormatting>
  <conditionalFormatting sqref="U53">
    <cfRule type="cellIs" dxfId="0" priority="613" operator="greaterThan">
      <formula>T53</formula>
    </cfRule>
  </conditionalFormatting>
  <conditionalFormatting sqref="U8">
    <cfRule type="cellIs" dxfId="0" priority="465" operator="greaterThan">
      <formula>T8</formula>
    </cfRule>
  </conditionalFormatting>
  <conditionalFormatting sqref="V10">
    <cfRule type="cellIs" dxfId="2" priority="473" operator="lessThanOrEqual">
      <formula>F10</formula>
    </cfRule>
  </conditionalFormatting>
  <conditionalFormatting sqref="V12">
    <cfRule type="cellIs" dxfId="2" priority="479" operator="lessThanOrEqual">
      <formula>F12</formula>
    </cfRule>
  </conditionalFormatting>
  <conditionalFormatting sqref="V13">
    <cfRule type="cellIs" dxfId="2" priority="484" operator="lessThanOrEqual">
      <formula>F13</formula>
    </cfRule>
  </conditionalFormatting>
  <conditionalFormatting sqref="V14">
    <cfRule type="cellIs" dxfId="2" priority="490" operator="lessThanOrEqual">
      <formula>F14</formula>
    </cfRule>
  </conditionalFormatting>
  <conditionalFormatting sqref="V17">
    <cfRule type="cellIs" dxfId="2" priority="495" operator="lessThanOrEqual">
      <formula>F17</formula>
    </cfRule>
  </conditionalFormatting>
  <conditionalFormatting sqref="V18">
    <cfRule type="cellIs" dxfId="2" priority="501" operator="lessThanOrEqual">
      <formula>F18</formula>
    </cfRule>
  </conditionalFormatting>
  <conditionalFormatting sqref="V20">
    <cfRule type="cellIs" dxfId="2" priority="507" operator="lessThanOrEqual">
      <formula>F20</formula>
    </cfRule>
  </conditionalFormatting>
  <conditionalFormatting sqref="V21">
    <cfRule type="cellIs" dxfId="2" priority="512" operator="lessThanOrEqual">
      <formula>F21</formula>
    </cfRule>
  </conditionalFormatting>
  <conditionalFormatting sqref="V24">
    <cfRule type="cellIs" dxfId="2" priority="517" operator="lessThanOrEqual">
      <formula>F24</formula>
    </cfRule>
  </conditionalFormatting>
  <conditionalFormatting sqref="V25">
    <cfRule type="cellIs" dxfId="2" priority="523" operator="lessThanOrEqual">
      <formula>F25</formula>
    </cfRule>
  </conditionalFormatting>
  <conditionalFormatting sqref="V26">
    <cfRule type="cellIs" dxfId="2" priority="529" operator="lessThanOrEqual">
      <formula>F26</formula>
    </cfRule>
  </conditionalFormatting>
  <conditionalFormatting sqref="V27">
    <cfRule type="cellIs" dxfId="2" priority="534" operator="lessThanOrEqual">
      <formula>F27</formula>
    </cfRule>
  </conditionalFormatting>
  <conditionalFormatting sqref="V28">
    <cfRule type="cellIs" dxfId="2" priority="540" operator="lessThanOrEqual">
      <formula>F28</formula>
    </cfRule>
  </conditionalFormatting>
  <conditionalFormatting sqref="V29">
    <cfRule type="cellIs" dxfId="2" priority="546" operator="lessThanOrEqual">
      <formula>F29</formula>
    </cfRule>
  </conditionalFormatting>
  <conditionalFormatting sqref="V30">
    <cfRule type="cellIs" dxfId="2" priority="551" operator="lessThanOrEqual">
      <formula>F30</formula>
    </cfRule>
  </conditionalFormatting>
  <conditionalFormatting sqref="V31">
    <cfRule type="cellIs" dxfId="2" priority="556" operator="lessThanOrEqual">
      <formula>F31</formula>
    </cfRule>
  </conditionalFormatting>
  <conditionalFormatting sqref="V32">
    <cfRule type="cellIs" dxfId="2" priority="562" operator="lessThanOrEqual">
      <formula>F32</formula>
    </cfRule>
  </conditionalFormatting>
  <conditionalFormatting sqref="V37">
    <cfRule type="cellIs" dxfId="2" priority="567" operator="lessThanOrEqual">
      <formula>F37</formula>
    </cfRule>
  </conditionalFormatting>
  <conditionalFormatting sqref="V38">
    <cfRule type="cellIs" dxfId="2" priority="573" operator="lessThanOrEqual">
      <formula>F38</formula>
    </cfRule>
  </conditionalFormatting>
  <conditionalFormatting sqref="V40">
    <cfRule type="cellIs" dxfId="2" priority="578" operator="lessThanOrEqual">
      <formula>F40</formula>
    </cfRule>
  </conditionalFormatting>
  <conditionalFormatting sqref="V43">
    <cfRule type="cellIs" dxfId="2" priority="584" operator="lessThanOrEqual">
      <formula>F43</formula>
    </cfRule>
  </conditionalFormatting>
  <conditionalFormatting sqref="V44">
    <cfRule type="cellIs" dxfId="2" priority="589" operator="lessThanOrEqual">
      <formula>F44</formula>
    </cfRule>
  </conditionalFormatting>
  <conditionalFormatting sqref="V45">
    <cfRule type="cellIs" dxfId="2" priority="594" operator="lessThanOrEqual">
      <formula>F45</formula>
    </cfRule>
  </conditionalFormatting>
  <conditionalFormatting sqref="V46">
    <cfRule type="cellIs" dxfId="2" priority="599" operator="lessThanOrEqual">
      <formula>F46</formula>
    </cfRule>
  </conditionalFormatting>
  <conditionalFormatting sqref="V49">
    <cfRule type="cellIs" dxfId="2" priority="605" operator="lessThanOrEqual">
      <formula>F49</formula>
    </cfRule>
  </conditionalFormatting>
  <conditionalFormatting sqref="V52">
    <cfRule type="cellIs" dxfId="2" priority="610" operator="lessThanOrEqual">
      <formula>F52</formula>
    </cfRule>
  </conditionalFormatting>
  <conditionalFormatting sqref="V53">
    <cfRule type="cellIs" dxfId="2" priority="615" operator="lessThanOrEqual">
      <formula>F53</formula>
    </cfRule>
  </conditionalFormatting>
  <conditionalFormatting sqref="V8">
    <cfRule type="cellIs" dxfId="2" priority="467" operator="lessThanOrEqual">
      <formula>F8</formula>
    </cfRule>
  </conditionalFormatting>
  <conditionalFormatting sqref="X10">
    <cfRule type="cellIs" dxfId="2" priority="472" operator="lessThanOrEqual">
      <formula>G10</formula>
    </cfRule>
  </conditionalFormatting>
  <conditionalFormatting sqref="X12">
    <cfRule type="cellIs" dxfId="2" priority="478" operator="lessThanOrEqual">
      <formula>G12</formula>
    </cfRule>
  </conditionalFormatting>
  <conditionalFormatting sqref="X13">
    <cfRule type="cellIs" dxfId="2" priority="483" operator="lessThanOrEqual">
      <formula>G13</formula>
    </cfRule>
  </conditionalFormatting>
  <conditionalFormatting sqref="X14">
    <cfRule type="cellIs" dxfId="2" priority="489" operator="lessThanOrEqual">
      <formula>G14</formula>
    </cfRule>
  </conditionalFormatting>
  <conditionalFormatting sqref="X17">
    <cfRule type="cellIs" dxfId="2" priority="494" operator="lessThanOrEqual">
      <formula>G17</formula>
    </cfRule>
  </conditionalFormatting>
  <conditionalFormatting sqref="X18">
    <cfRule type="cellIs" dxfId="2" priority="500" operator="lessThanOrEqual">
      <formula>G18</formula>
    </cfRule>
  </conditionalFormatting>
  <conditionalFormatting sqref="X20">
    <cfRule type="cellIs" dxfId="2" priority="506" operator="lessThanOrEqual">
      <formula>G20</formula>
    </cfRule>
  </conditionalFormatting>
  <conditionalFormatting sqref="X21">
    <cfRule type="cellIs" dxfId="2" priority="511" operator="lessThanOrEqual">
      <formula>G21</formula>
    </cfRule>
  </conditionalFormatting>
  <conditionalFormatting sqref="X24">
    <cfRule type="cellIs" dxfId="2" priority="516" operator="lessThanOrEqual">
      <formula>G24</formula>
    </cfRule>
  </conditionalFormatting>
  <conditionalFormatting sqref="X25">
    <cfRule type="cellIs" dxfId="2" priority="522" operator="lessThanOrEqual">
      <formula>G25</formula>
    </cfRule>
  </conditionalFormatting>
  <conditionalFormatting sqref="X26">
    <cfRule type="cellIs" dxfId="2" priority="528" operator="lessThanOrEqual">
      <formula>G26</formula>
    </cfRule>
  </conditionalFormatting>
  <conditionalFormatting sqref="X27">
    <cfRule type="cellIs" dxfId="2" priority="533" operator="lessThanOrEqual">
      <formula>G27</formula>
    </cfRule>
  </conditionalFormatting>
  <conditionalFormatting sqref="X28">
    <cfRule type="cellIs" dxfId="2" priority="539" operator="lessThanOrEqual">
      <formula>G28</formula>
    </cfRule>
  </conditionalFormatting>
  <conditionalFormatting sqref="X29">
    <cfRule type="cellIs" dxfId="2" priority="545" operator="lessThanOrEqual">
      <formula>G29</formula>
    </cfRule>
  </conditionalFormatting>
  <conditionalFormatting sqref="X30">
    <cfRule type="cellIs" dxfId="2" priority="550" operator="lessThanOrEqual">
      <formula>G30</formula>
    </cfRule>
  </conditionalFormatting>
  <conditionalFormatting sqref="X31">
    <cfRule type="cellIs" dxfId="2" priority="555" operator="lessThanOrEqual">
      <formula>G31</formula>
    </cfRule>
  </conditionalFormatting>
  <conditionalFormatting sqref="X32">
    <cfRule type="cellIs" dxfId="2" priority="561" operator="lessThanOrEqual">
      <formula>G32</formula>
    </cfRule>
  </conditionalFormatting>
  <conditionalFormatting sqref="X37">
    <cfRule type="cellIs" dxfId="2" priority="566" operator="lessThanOrEqual">
      <formula>G37</formula>
    </cfRule>
  </conditionalFormatting>
  <conditionalFormatting sqref="X38">
    <cfRule type="cellIs" dxfId="2" priority="572" operator="lessThanOrEqual">
      <formula>G38</formula>
    </cfRule>
  </conditionalFormatting>
  <conditionalFormatting sqref="X40">
    <cfRule type="cellIs" dxfId="2" priority="577" operator="lessThanOrEqual">
      <formula>G40</formula>
    </cfRule>
  </conditionalFormatting>
  <conditionalFormatting sqref="X43">
    <cfRule type="cellIs" dxfId="2" priority="583" operator="lessThanOrEqual">
      <formula>G43</formula>
    </cfRule>
  </conditionalFormatting>
  <conditionalFormatting sqref="X44">
    <cfRule type="cellIs" dxfId="2" priority="588" operator="lessThanOrEqual">
      <formula>G44</formula>
    </cfRule>
  </conditionalFormatting>
  <conditionalFormatting sqref="X45">
    <cfRule type="cellIs" dxfId="2" priority="593" operator="lessThanOrEqual">
      <formula>G45</formula>
    </cfRule>
  </conditionalFormatting>
  <conditionalFormatting sqref="X46">
    <cfRule type="cellIs" dxfId="2" priority="598" operator="lessThanOrEqual">
      <formula>G46</formula>
    </cfRule>
  </conditionalFormatting>
  <conditionalFormatting sqref="X49">
    <cfRule type="cellIs" dxfId="2" priority="604" operator="lessThanOrEqual">
      <formula>G49</formula>
    </cfRule>
  </conditionalFormatting>
  <conditionalFormatting sqref="X52">
    <cfRule type="cellIs" dxfId="2" priority="609" operator="lessThanOrEqual">
      <formula>G52</formula>
    </cfRule>
  </conditionalFormatting>
  <conditionalFormatting sqref="X53">
    <cfRule type="cellIs" dxfId="2" priority="614" operator="lessThanOrEqual">
      <formula>G53</formula>
    </cfRule>
  </conditionalFormatting>
  <conditionalFormatting sqref="X8">
    <cfRule type="cellIs" dxfId="2" priority="466" operator="lessThanOrEqual">
      <formula>G8</formula>
    </cfRule>
  </conditionalFormatting>
  <conditionalFormatting sqref="Z17">
    <cfRule type="cellIs" dxfId="0" priority="616" operator="equal">
      <formula>0</formula>
    </cfRule>
    <cfRule type="cellIs" dxfId="1" priority="617" operator="lessThan">
      <formula>E17</formula>
    </cfRule>
  </conditionalFormatting>
  <conditionalFormatting sqref="Z36">
    <cfRule type="cellIs" dxfId="0" priority="621" operator="equal">
      <formula>0</formula>
    </cfRule>
    <cfRule type="cellIs" dxfId="1" priority="622" operator="lessThan">
      <formula>E36</formula>
    </cfRule>
  </conditionalFormatting>
  <conditionalFormatting sqref="Z45">
    <cfRule type="cellIs" dxfId="0" priority="627" operator="equal">
      <formula>0</formula>
    </cfRule>
    <cfRule type="cellIs" dxfId="1" priority="628" operator="lessThan">
      <formula>E45</formula>
    </cfRule>
  </conditionalFormatting>
  <conditionalFormatting sqref="Z48">
    <cfRule type="cellIs" dxfId="0" priority="632" operator="equal">
      <formula>0</formula>
    </cfRule>
    <cfRule type="cellIs" dxfId="1" priority="633" operator="lessThan">
      <formula>E48</formula>
    </cfRule>
  </conditionalFormatting>
  <hyperlinks>
    <hyperlink ref="D7" r:id="rId1"/>
    <hyperlink ref="S7" r:id="rId2"/>
    <hyperlink ref="AW7" r:id="rId3"/>
    <hyperlink ref="M8" r:id="rId4"/>
    <hyperlink ref="S8" r:id="rId5"/>
    <hyperlink ref="Y8" r:id="rId6"/>
    <hyperlink ref="AK8" r:id="rId7"/>
    <hyperlink ref="AQ8" r:id="rId8"/>
    <hyperlink ref="AW8" r:id="rId9"/>
    <hyperlink ref="BC8" r:id="rId10"/>
    <hyperlink ref="AK9" r:id="rId11"/>
    <hyperlink ref="M10" r:id="rId12"/>
    <hyperlink ref="S10" r:id="rId13"/>
    <hyperlink ref="Y10" r:id="rId14"/>
    <hyperlink ref="AK10" r:id="rId15"/>
    <hyperlink ref="AQ10" r:id="rId16"/>
    <hyperlink ref="M11" r:id="rId17"/>
    <hyperlink ref="S11" r:id="rId18"/>
    <hyperlink ref="AK11" r:id="rId19"/>
    <hyperlink ref="S12" r:id="rId20"/>
    <hyperlink ref="Y12" r:id="rId21"/>
    <hyperlink ref="AK12" r:id="rId22"/>
    <hyperlink ref="AQ12" r:id="rId23"/>
    <hyperlink ref="S13" r:id="rId24"/>
    <hyperlink ref="Y13" r:id="rId25"/>
    <hyperlink ref="AK13" r:id="rId26"/>
    <hyperlink ref="AQ13" r:id="rId27"/>
    <hyperlink ref="AW13" r:id="rId28"/>
    <hyperlink ref="M14" r:id="rId29"/>
    <hyperlink ref="S14" r:id="rId30"/>
    <hyperlink ref="Y14" r:id="rId31"/>
    <hyperlink ref="AK14" r:id="rId32"/>
    <hyperlink ref="AQ14" r:id="rId33"/>
    <hyperlink ref="AW14" r:id="rId34"/>
    <hyperlink ref="M15" r:id="rId35"/>
    <hyperlink ref="S15" r:id="rId36"/>
    <hyperlink ref="AK15" r:id="rId37"/>
    <hyperlink ref="M16" r:id="rId38"/>
    <hyperlink ref="S16" r:id="rId39"/>
    <hyperlink ref="AK16" r:id="rId40"/>
    <hyperlink ref="M17" r:id="rId41"/>
    <hyperlink ref="S17" r:id="rId42"/>
    <hyperlink ref="Y17" r:id="rId43"/>
    <hyperlink ref="AE17" r:id="rId44"/>
    <hyperlink ref="AK17" r:id="rId45"/>
    <hyperlink ref="AQ17" r:id="rId46"/>
    <hyperlink ref="AW17" r:id="rId47"/>
    <hyperlink ref="D18" r:id="rId48"/>
    <hyperlink ref="S18" r:id="rId49"/>
    <hyperlink ref="Y18" r:id="rId50"/>
    <hyperlink ref="AK18" r:id="rId51"/>
    <hyperlink ref="AQ18" r:id="rId52"/>
    <hyperlink ref="D19" r:id="rId53"/>
    <hyperlink ref="M19" r:id="rId54"/>
    <hyperlink ref="S19" r:id="rId55"/>
    <hyperlink ref="AK19" r:id="rId56"/>
    <hyperlink ref="D20" r:id="rId57"/>
    <hyperlink ref="M20" r:id="rId58"/>
    <hyperlink ref="S20" r:id="rId59"/>
    <hyperlink ref="Y20" r:id="rId60"/>
    <hyperlink ref="AK20" r:id="rId61"/>
    <hyperlink ref="AQ20" r:id="rId62"/>
    <hyperlink ref="AW20" r:id="rId63"/>
    <hyperlink ref="BC20" r:id="rId64"/>
    <hyperlink ref="D21" r:id="rId65"/>
    <hyperlink ref="M21" r:id="rId66"/>
    <hyperlink ref="S21" r:id="rId67"/>
    <hyperlink ref="Y21" r:id="rId68"/>
    <hyperlink ref="AK21" r:id="rId69"/>
    <hyperlink ref="AQ21" r:id="rId70"/>
    <hyperlink ref="BC21" r:id="rId71"/>
    <hyperlink ref="D22" r:id="rId72"/>
    <hyperlink ref="M22" r:id="rId73"/>
    <hyperlink ref="S22" r:id="rId74"/>
    <hyperlink ref="AK22" r:id="rId75"/>
    <hyperlink ref="AQ22" r:id="rId76"/>
    <hyperlink ref="D23" r:id="rId77"/>
    <hyperlink ref="M23" r:id="rId78"/>
    <hyperlink ref="S23" r:id="rId79"/>
    <hyperlink ref="AK23" r:id="rId80"/>
    <hyperlink ref="D24" r:id="rId81"/>
    <hyperlink ref="M24" r:id="rId82"/>
    <hyperlink ref="S24" r:id="rId83"/>
    <hyperlink ref="Y24" r:id="rId84"/>
    <hyperlink ref="AK24" r:id="rId85"/>
    <hyperlink ref="AQ24" r:id="rId86"/>
    <hyperlink ref="D25" r:id="rId87"/>
    <hyperlink ref="M25" r:id="rId88"/>
    <hyperlink ref="S25" r:id="rId89"/>
    <hyperlink ref="Y25" r:id="rId90"/>
    <hyperlink ref="AK25" r:id="rId91"/>
    <hyperlink ref="AQ25" r:id="rId92"/>
    <hyperlink ref="AW25" r:id="rId93"/>
    <hyperlink ref="D26" r:id="rId94"/>
    <hyperlink ref="M26" r:id="rId95"/>
    <hyperlink ref="S26" r:id="rId96"/>
    <hyperlink ref="Y26" r:id="rId97"/>
    <hyperlink ref="AK26" r:id="rId98"/>
    <hyperlink ref="AQ26" r:id="rId99"/>
    <hyperlink ref="AW26" r:id="rId100"/>
    <hyperlink ref="D27" r:id="rId101"/>
    <hyperlink ref="M27" r:id="rId102"/>
    <hyperlink ref="S27" r:id="rId103"/>
    <hyperlink ref="Y27" r:id="rId104"/>
    <hyperlink ref="AK27" r:id="rId105"/>
    <hyperlink ref="AQ27" r:id="rId106"/>
    <hyperlink ref="AW27" r:id="rId107"/>
    <hyperlink ref="D28" r:id="rId108"/>
    <hyperlink ref="M28" r:id="rId109"/>
    <hyperlink ref="S28" r:id="rId110"/>
    <hyperlink ref="Y28" r:id="rId111"/>
    <hyperlink ref="AK28" r:id="rId112"/>
    <hyperlink ref="AQ28" r:id="rId113"/>
    <hyperlink ref="AW28" r:id="rId114"/>
    <hyperlink ref="D29" r:id="rId115"/>
    <hyperlink ref="S29" r:id="rId116"/>
    <hyperlink ref="Y29" r:id="rId117"/>
    <hyperlink ref="AK29" r:id="rId118"/>
    <hyperlink ref="AQ29" r:id="rId119"/>
    <hyperlink ref="AW29" r:id="rId120"/>
    <hyperlink ref="D30" r:id="rId121"/>
    <hyperlink ref="M30" r:id="rId122"/>
    <hyperlink ref="S30" r:id="rId123"/>
    <hyperlink ref="Y30" r:id="rId124"/>
    <hyperlink ref="AK30" r:id="rId125"/>
    <hyperlink ref="AQ30" r:id="rId126"/>
    <hyperlink ref="D31" r:id="rId127"/>
    <hyperlink ref="M31" r:id="rId128"/>
    <hyperlink ref="S31" r:id="rId129"/>
    <hyperlink ref="Y31" r:id="rId130"/>
    <hyperlink ref="AK31" r:id="rId131"/>
    <hyperlink ref="AQ31" r:id="rId132"/>
    <hyperlink ref="M32" r:id="rId133"/>
    <hyperlink ref="S32" r:id="rId134"/>
    <hyperlink ref="Y32" r:id="rId135"/>
    <hyperlink ref="AK32" r:id="rId136"/>
    <hyperlink ref="AQ32" r:id="rId137"/>
    <hyperlink ref="M33" r:id="rId138"/>
    <hyperlink ref="AK33" r:id="rId139"/>
    <hyperlink ref="S34" r:id="rId140"/>
    <hyperlink ref="AK34" r:id="rId141"/>
    <hyperlink ref="M35" r:id="rId142"/>
    <hyperlink ref="S35" r:id="rId143"/>
    <hyperlink ref="AK35" r:id="rId144"/>
    <hyperlink ref="AQ35" r:id="rId145"/>
    <hyperlink ref="M36" r:id="rId146"/>
    <hyperlink ref="S36" r:id="rId147"/>
    <hyperlink ref="AE36" r:id="rId148"/>
    <hyperlink ref="AK36" r:id="rId149"/>
    <hyperlink ref="AQ36" r:id="rId150"/>
    <hyperlink ref="AW36" r:id="rId151"/>
    <hyperlink ref="M37" r:id="rId152"/>
    <hyperlink ref="S37" r:id="rId153"/>
    <hyperlink ref="Y37" r:id="rId154"/>
    <hyperlink ref="AK37" r:id="rId155"/>
    <hyperlink ref="AQ37" r:id="rId156"/>
    <hyperlink ref="M38" r:id="rId157"/>
    <hyperlink ref="S38" r:id="rId158"/>
    <hyperlink ref="Y38" r:id="rId159"/>
    <hyperlink ref="AK38" r:id="rId160"/>
    <hyperlink ref="AQ38" r:id="rId161"/>
    <hyperlink ref="AW38" r:id="rId162"/>
    <hyperlink ref="BC38" r:id="rId163"/>
    <hyperlink ref="M39" r:id="rId164"/>
    <hyperlink ref="S39" r:id="rId165"/>
    <hyperlink ref="AK39" r:id="rId166"/>
    <hyperlink ref="AQ39" r:id="rId167"/>
    <hyperlink ref="M40" r:id="rId168"/>
    <hyperlink ref="S40" r:id="rId169"/>
    <hyperlink ref="Y40" r:id="rId170"/>
    <hyperlink ref="AK40" r:id="rId171"/>
    <hyperlink ref="AQ40" r:id="rId172"/>
    <hyperlink ref="AW40" r:id="rId173"/>
    <hyperlink ref="AK41" r:id="rId174"/>
    <hyperlink ref="AQ41" r:id="rId175"/>
    <hyperlink ref="D42" r:id="rId176"/>
    <hyperlink ref="M42" r:id="rId177"/>
    <hyperlink ref="S42" r:id="rId178"/>
    <hyperlink ref="AK42" r:id="rId179"/>
    <hyperlink ref="AQ42" r:id="rId180"/>
    <hyperlink ref="D43" r:id="rId181"/>
    <hyperlink ref="M43" r:id="rId182"/>
    <hyperlink ref="S43" r:id="rId183"/>
    <hyperlink ref="Y43" r:id="rId184"/>
    <hyperlink ref="AK43" r:id="rId185"/>
    <hyperlink ref="AQ43" r:id="rId186"/>
    <hyperlink ref="AW43" r:id="rId187"/>
    <hyperlink ref="D44" r:id="rId188"/>
    <hyperlink ref="M44" r:id="rId189"/>
    <hyperlink ref="S44" r:id="rId190"/>
    <hyperlink ref="Y44" r:id="rId191"/>
    <hyperlink ref="AK44" r:id="rId192"/>
    <hyperlink ref="AQ44" r:id="rId193"/>
    <hyperlink ref="D45" r:id="rId194"/>
    <hyperlink ref="M45" r:id="rId195"/>
    <hyperlink ref="S45" r:id="rId196"/>
    <hyperlink ref="Y45" r:id="rId197"/>
    <hyperlink ref="AE45" r:id="rId198"/>
    <hyperlink ref="AK45" r:id="rId199"/>
    <hyperlink ref="AQ45" r:id="rId200"/>
    <hyperlink ref="D46" r:id="rId201"/>
    <hyperlink ref="M46" r:id="rId202"/>
    <hyperlink ref="S46" r:id="rId203"/>
    <hyperlink ref="Y46" r:id="rId204"/>
    <hyperlink ref="AK46" r:id="rId205"/>
    <hyperlink ref="AQ46" r:id="rId206"/>
    <hyperlink ref="D47" r:id="rId207"/>
    <hyperlink ref="S47" r:id="rId208"/>
    <hyperlink ref="AK47" r:id="rId209"/>
    <hyperlink ref="D48" r:id="rId210"/>
    <hyperlink ref="M48" r:id="rId211"/>
    <hyperlink ref="S48" r:id="rId212"/>
    <hyperlink ref="AE48" r:id="rId213"/>
    <hyperlink ref="AK48" r:id="rId214"/>
    <hyperlink ref="D49" r:id="rId215"/>
    <hyperlink ref="M49" r:id="rId216"/>
    <hyperlink ref="Y49" r:id="rId217"/>
    <hyperlink ref="AK49" r:id="rId218"/>
    <hyperlink ref="AQ49" r:id="rId219"/>
    <hyperlink ref="AW49" r:id="rId220"/>
    <hyperlink ref="BC49" r:id="rId221"/>
    <hyperlink ref="D50" r:id="rId222"/>
    <hyperlink ref="M50" r:id="rId223"/>
    <hyperlink ref="S50" r:id="rId224"/>
    <hyperlink ref="AK50" r:id="rId225"/>
    <hyperlink ref="D51" r:id="rId226"/>
    <hyperlink ref="M51" r:id="rId227"/>
    <hyperlink ref="S51" r:id="rId228"/>
    <hyperlink ref="AK51" r:id="rId229"/>
    <hyperlink ref="BC51" r:id="rId230"/>
    <hyperlink ref="D52" r:id="rId231"/>
    <hyperlink ref="M52" r:id="rId232"/>
    <hyperlink ref="S52" r:id="rId233"/>
    <hyperlink ref="Y52" r:id="rId234"/>
    <hyperlink ref="AK52" r:id="rId235"/>
    <hyperlink ref="AQ52" r:id="rId236"/>
    <hyperlink ref="AW52" r:id="rId237"/>
    <hyperlink ref="BC52" r:id="rId238"/>
    <hyperlink ref="D53" r:id="rId239"/>
    <hyperlink ref="M53" r:id="rId240"/>
    <hyperlink ref="S53" r:id="rId241"/>
    <hyperlink ref="Y53" r:id="rId242"/>
    <hyperlink ref="AK53" r:id="rId243"/>
    <hyperlink ref="AQ53" r:id="rId244"/>
    <hyperlink ref="AW53" r:id="rId245"/>
    <hyperlink ref="D54" r:id="rId246"/>
    <hyperlink ref="S54" r:id="rId247"/>
    <hyperlink ref="AK54" r:id="rId248"/>
    <hyperlink ref="H56" r:id="rId249"/>
    <hyperlink ref="N56" r:id="rId250"/>
    <hyperlink ref="T56" r:id="rId251"/>
    <hyperlink ref="Z56" r:id="rId252"/>
    <hyperlink ref="AF56" r:id="rId253"/>
    <hyperlink ref="AL56" r:id="rId254"/>
    <hyperlink ref="AR56" r:id="rId255"/>
    <hyperlink ref="AX56" r:id="rId256"/>
  </hyperlinks>
  <pageMargins left="0.7" right="0.7" top="0.75" bottom="0.75" header="0.3" footer="0.3"/>
  <legacyDrawing r:id="rId2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Shield_Nucleo</vt:lpstr>
      <vt:lpstr>'Shield_Nucleo'!BoardQty</vt:lpstr>
      <vt:lpstr>'Shield_Nucleo'!PURCHASE_DESCRIPTION</vt:lpstr>
      <vt:lpstr>'Shield_Nucleo'!TotalCost</vt:lpstr>
      <vt:lpstr>'Shield_Nucleo'!USD_GBP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2021-06-02T09:23:56Z</dcterms:created>
  <dcterms:modified xsi:type="dcterms:W3CDTF">2021-06-02T09:23:56Z</dcterms:modified>
</cp:coreProperties>
</file>