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cad\preload\xlsxtemplates\modelinxlsx\"/>
    </mc:Choice>
  </mc:AlternateContent>
  <xr:revisionPtr revIDLastSave="0" documentId="13_ncr:1_{CB42B9D7-A086-46A2-B4FE-2C9324BFFE6C}" xr6:coauthVersionLast="45" xr6:coauthVersionMax="45" xr10:uidLastSave="{00000000-0000-0000-0000-000000000000}"/>
  <bookViews>
    <workbookView xWindow="23205" yWindow="2100" windowWidth="23985" windowHeight="14895" xr2:uid="{456AB35E-0355-4F16-B1D8-5CF582B696FE}"/>
  </bookViews>
  <sheets>
    <sheet name="&lt;workbook&gt;SET" sheetId="7" r:id="rId1"/>
    <sheet name="BD" sheetId="4" r:id="rId2"/>
    <sheet name="&lt;zmain&gt;SET" sheetId="8" r:id="rId3"/>
    <sheet name="&lt;zmain&gt;DEVEXPORT" sheetId="9" r:id="rId4"/>
    <sheet name="&lt;zmain&gt;" sheetId="10" r:id="rId5"/>
    <sheet name="&lt;zlight&gt;SET" sheetId="1" r:id="rId6"/>
    <sheet name="&lt;zlight&gt;TOCAD" sheetId="6" r:id="rId7"/>
    <sheet name="&lt;zlight&gt;" sheetId="3" r:id="rId8"/>
    <sheet name="&lt;zlight&gt;DEVEXPORT" sheetId="2" r:id="rId9"/>
    <sheet name="&lt;zlight&gt;CABEXPORT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3" l="1"/>
  <c r="AD8" i="6" s="1"/>
  <c r="I24" i="3"/>
  <c r="R24" i="3"/>
  <c r="S24" i="3" l="1"/>
  <c r="E8" i="6"/>
  <c r="BO24" i="3" l="1"/>
  <c r="BM24" i="3" s="1"/>
  <c r="L5" i="5" l="1"/>
  <c r="N5" i="5" s="1"/>
  <c r="K5" i="5"/>
  <c r="J5" i="5"/>
  <c r="M5" i="5" l="1"/>
  <c r="J5" i="2"/>
  <c r="O24" i="3" l="1"/>
  <c r="J24" i="3"/>
  <c r="G24" i="3"/>
  <c r="H24" i="3"/>
  <c r="C5" i="4"/>
  <c r="C4" i="4"/>
  <c r="P5" i="2" l="1"/>
  <c r="R5" i="2" s="1"/>
  <c r="O5" i="2"/>
  <c r="K24" i="3" s="1"/>
  <c r="X8" i="6" s="1"/>
  <c r="N5" i="2"/>
  <c r="E24" i="3" l="1"/>
  <c r="D24" i="3"/>
  <c r="H8" i="6" s="1"/>
  <c r="U5" i="2"/>
  <c r="P24" i="3"/>
  <c r="S5" i="2"/>
  <c r="L24" i="3"/>
  <c r="V5" i="2"/>
  <c r="Q5" i="2"/>
  <c r="AU24" i="3" l="1"/>
  <c r="J8" i="6" s="1"/>
  <c r="AW24" i="3"/>
  <c r="AS24" i="3"/>
  <c r="AK24" i="3"/>
  <c r="M24" i="3"/>
  <c r="AB8" i="6" s="1"/>
  <c r="Z8" i="6"/>
  <c r="Y24" i="3"/>
  <c r="X24" i="3"/>
  <c r="F14" i="3" s="1"/>
  <c r="X5" i="2"/>
  <c r="Y5" i="2" s="1"/>
  <c r="T5" i="2"/>
  <c r="W5" i="2" s="1"/>
  <c r="U24" i="3" s="1"/>
  <c r="Q24" i="3"/>
  <c r="V24" i="3"/>
  <c r="T24" i="3"/>
  <c r="S14" i="3"/>
  <c r="Z24" i="3" l="1"/>
  <c r="W24" i="3"/>
  <c r="BK24" i="3"/>
  <c r="AL24" i="3" l="1"/>
  <c r="AM24" i="3" s="1"/>
  <c r="AX24" i="3" s="1"/>
  <c r="L8" i="6" s="1"/>
  <c r="W14" i="3"/>
  <c r="AA24" i="3"/>
  <c r="V8" i="6" s="1"/>
  <c r="T8" i="6"/>
  <c r="AV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Dmitry</author>
    <author>SNARK</author>
    <author>BobrovV</author>
  </authors>
  <commentList>
    <comment ref="D23" authorId="0" shapeId="0" xr:uid="{02CAB05E-E9B8-41C7-893C-C17EBEAA675B}">
      <text>
        <r>
          <rPr>
            <b/>
            <sz val="9"/>
            <color indexed="81"/>
            <rFont val="Tahoma"/>
            <family val="2"/>
            <charset val="204"/>
          </rPr>
          <t>Маркировка 
аппарата защиты</t>
        </r>
      </text>
    </comment>
    <comment ref="F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G23" authorId="1" shapeId="0" xr:uid="{1EA26015-6968-458A-858D-1689591729E8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J23" authorId="2" shapeId="0" xr:uid="{8FEDAEBB-B176-4024-90E8-340FA773D028}">
      <text>
        <r>
          <rPr>
            <sz val="9"/>
            <color indexed="81"/>
            <rFont val="Tahoma"/>
            <charset val="1"/>
          </rPr>
          <t>Единичная мощность однофазного
электроприемника</t>
        </r>
      </text>
    </comment>
    <comment ref="K23" authorId="0" shapeId="0" xr:uid="{9A322F4D-A22C-47DF-8B79-28DE6D9D4F10}">
      <text>
        <r>
          <rPr>
            <b/>
            <sz val="9"/>
            <color indexed="81"/>
            <rFont val="Tahoma"/>
            <family val="2"/>
            <charset val="204"/>
          </rPr>
          <t>Количество однотипных электроприемников на фазу</t>
        </r>
      </text>
    </comment>
    <comment ref="L23" authorId="0" shapeId="0" xr:uid="{7C935C6A-248D-4564-BF59-170DC136775A}">
      <text>
        <r>
          <rPr>
            <b/>
            <sz val="9"/>
            <color indexed="81"/>
            <rFont val="Tahoma"/>
            <family val="2"/>
            <charset val="204"/>
          </rPr>
          <t>Суммарная 
мощность группы устройств</t>
        </r>
      </text>
    </comment>
    <comment ref="N23" authorId="2" shapeId="0" xr:uid="{FF8BBDDD-907F-4B48-A902-EA1672446C28}">
      <text>
        <r>
          <rPr>
            <b/>
            <sz val="9"/>
            <color indexed="81"/>
            <rFont val="Tahoma"/>
            <charset val="1"/>
          </rPr>
          <t>BobrovV:</t>
        </r>
        <r>
          <rPr>
            <sz val="9"/>
            <color indexed="81"/>
            <rFont val="Tahoma"/>
            <charset val="1"/>
          </rPr>
          <t xml:space="preserve">
Коэффициент спроса</t>
        </r>
      </text>
    </comment>
    <comment ref="O23" authorId="0" shapeId="0" xr:uid="{6A8E660C-FFF5-454A-BBA4-9F0DA326FEF5}">
      <text>
        <r>
          <rPr>
            <b/>
            <sz val="9"/>
            <color indexed="81"/>
            <rFont val="Tahoma"/>
            <family val="2"/>
            <charset val="204"/>
          </rPr>
          <t>Заданный 
коэффициент мощности</t>
        </r>
      </text>
    </comment>
    <comment ref="AJ23" authorId="1" shapeId="0" xr:uid="{AF43BA0E-8DF1-48FC-BF61-747F3D9E902C}">
      <text>
        <r>
          <rPr>
            <b/>
            <sz val="9"/>
            <color indexed="81"/>
            <rFont val="Tahoma"/>
            <family val="2"/>
            <charset val="204"/>
          </rPr>
          <t>число фаз</t>
        </r>
      </text>
    </comment>
    <comment ref="AK23" authorId="1" shapeId="0" xr:uid="{AAB9244C-21E7-4664-951D-2AF3B749AE92}">
      <text>
        <r>
          <rPr>
            <b/>
            <sz val="9"/>
            <color indexed="81"/>
            <rFont val="Tahoma"/>
            <family val="2"/>
            <charset val="204"/>
          </rPr>
          <t xml:space="preserve">заданный запас в % по номинальному току автоматов
</t>
        </r>
        <r>
          <rPr>
            <sz val="9"/>
            <color indexed="81"/>
            <rFont val="Tahoma"/>
            <family val="2"/>
            <charset val="204"/>
          </rPr>
          <t>(если пропущен, используется значение 30%)</t>
        </r>
      </text>
    </comment>
    <comment ref="AL23" authorId="1" shapeId="0" xr:uid="{5A505B10-E5E0-4614-8FCF-B351841E2ED8}">
      <text>
        <r>
          <rPr>
            <b/>
            <sz val="9"/>
            <color indexed="81"/>
            <rFont val="Tahoma"/>
            <family val="2"/>
            <charset val="204"/>
          </rPr>
          <t>расчетный ток автомата</t>
        </r>
      </text>
    </comment>
    <comment ref="AM23" authorId="1" shapeId="0" xr:uid="{66F16152-3692-40EC-8E19-EED1F757DFBB}">
      <text>
        <r>
          <rPr>
            <b/>
            <sz val="9"/>
            <color indexed="81"/>
            <rFont val="Tahoma"/>
            <family val="2"/>
            <charset val="204"/>
          </rPr>
          <t>Предлагаемый 
номинал автомата</t>
        </r>
      </text>
    </comment>
    <comment ref="AN23" authorId="0" shapeId="0" xr:uid="{C1D5FE68-54CC-4210-883D-ED11CDC0CAC9}">
      <text>
        <r>
          <rPr>
            <b/>
            <sz val="9"/>
            <color indexed="81"/>
            <rFont val="Tahoma"/>
            <family val="2"/>
            <charset val="204"/>
          </rPr>
          <t>предлагаемый номинал автомата 
с учетом минимально разрешенной величины</t>
        </r>
      </text>
    </comment>
    <comment ref="AO23" authorId="1" shapeId="0" xr:uid="{1DE29F77-6118-43D8-866F-28A7F5CDF2DF}">
      <text>
        <r>
          <rPr>
            <b/>
            <sz val="9"/>
            <color indexed="81"/>
            <rFont val="Tahoma"/>
            <family val="2"/>
            <charset val="204"/>
          </rPr>
          <t>Заданный 
номинал автомата</t>
        </r>
      </text>
    </comment>
    <comment ref="AP23" authorId="1" shapeId="0" xr:uid="{DDE62562-91DE-40E5-972E-0C5D7B3A2D8C}">
      <text>
        <r>
          <rPr>
            <b/>
            <sz val="9"/>
            <color indexed="81"/>
            <rFont val="Tahoma"/>
            <family val="2"/>
            <charset val="204"/>
          </rPr>
          <t>Принятый 
номинал автомата</t>
        </r>
      </text>
    </comment>
    <comment ref="AQ23" authorId="1" shapeId="0" xr:uid="{03EF722C-5783-4D83-879F-7853C00FF8D2}">
      <text>
        <r>
          <rPr>
            <b/>
            <sz val="9"/>
            <color indexed="81"/>
            <rFont val="Tahoma"/>
            <family val="2"/>
            <charset val="204"/>
          </rPr>
          <t>расчетный запас в % 
по номинальному току автомата
по отношению к расчетному току линии</t>
        </r>
      </text>
    </comment>
    <comment ref="AR23" authorId="0" shapeId="0" xr:uid="{00C4FF95-294C-479F-AAC4-6BA65F9141D1}">
      <text>
        <r>
          <rPr>
            <b/>
            <sz val="9"/>
            <color indexed="81"/>
            <rFont val="Tahoma"/>
            <family val="2"/>
            <charset val="204"/>
          </rPr>
          <t>Уставка расцепителя
автомата</t>
        </r>
      </text>
    </comment>
    <comment ref="AS23" authorId="0" shapeId="0" xr:uid="{B7C2C372-BC25-43A4-BA25-F2C915483DD8}">
      <text>
        <r>
          <rPr>
            <b/>
            <sz val="9"/>
            <color indexed="81"/>
            <rFont val="Tahoma"/>
            <family val="2"/>
            <charset val="204"/>
          </rPr>
          <t>коммутация нейтрали</t>
        </r>
      </text>
    </comment>
    <comment ref="AT23" authorId="1" shapeId="0" xr:uid="{95A2EAB1-C343-488B-A419-FA2792615F52}">
      <text>
        <r>
          <rPr>
            <b/>
            <sz val="9"/>
            <color indexed="81"/>
            <rFont val="Tahoma"/>
            <family val="2"/>
            <charset val="204"/>
          </rPr>
          <t>число полюсов 
автомата</t>
        </r>
      </text>
    </comment>
    <comment ref="AU23" authorId="0" shapeId="0" xr:uid="{BB4CBCFC-F599-4704-A5A5-3BFAD7AF814C}">
      <text>
        <r>
          <rPr>
            <b/>
            <sz val="9"/>
            <color indexed="81"/>
            <rFont val="Tahoma"/>
            <family val="2"/>
            <charset val="204"/>
          </rPr>
          <t>Тип автомата</t>
        </r>
      </text>
    </comment>
    <comment ref="AV23" authorId="0" shapeId="0" xr:uid="{8ECD34C8-8B0D-46D4-B3E9-BF1D7B63CB59}">
      <text>
        <r>
          <rPr>
            <b/>
            <sz val="9"/>
            <color indexed="81"/>
            <rFont val="Tahoma"/>
            <family val="2"/>
            <charset val="204"/>
          </rPr>
          <t>номинал автомата</t>
        </r>
      </text>
    </comment>
    <comment ref="AW23" authorId="0" shapeId="0" xr:uid="{5D2F0B4B-75DC-4D91-A263-A9D1C2505946}">
      <text>
        <r>
          <rPr>
            <b/>
            <sz val="9"/>
            <color indexed="81"/>
            <rFont val="Tahoma"/>
            <family val="2"/>
            <charset val="204"/>
          </rPr>
          <t>тип расцепителя
или тип характеристики срабатывания</t>
        </r>
      </text>
    </comment>
    <comment ref="AX23" authorId="0" shapeId="0" xr:uid="{DD544D15-13FC-4E43-8EC1-27BEADA5A209}">
      <text>
        <r>
          <rPr>
            <b/>
            <sz val="9"/>
            <color indexed="81"/>
            <rFont val="Tahoma"/>
            <family val="2"/>
            <charset val="204"/>
          </rPr>
          <t>Уставка расцепителя
автомата</t>
        </r>
      </text>
    </comment>
  </commentList>
</comments>
</file>

<file path=xl/sharedStrings.xml><?xml version="1.0" encoding="utf-8"?>
<sst xmlns="http://schemas.openxmlformats.org/spreadsheetml/2006/main" count="184" uniqueCount="140">
  <si>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</si>
  <si>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</si>
  <si>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</si>
  <si>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</si>
  <si>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</si>
  <si>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</si>
  <si>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</si>
  <si>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</si>
  <si>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</si>
  <si>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</si>
  <si>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</si>
  <si>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</si>
  <si>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</si>
  <si>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</si>
  <si>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</si>
  <si>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</si>
  <si>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</si>
  <si>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</si>
  <si>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</si>
  <si>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</si>
  <si>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</si>
  <si>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</si>
  <si>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</si>
  <si>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</si>
  <si>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</si>
  <si>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</si>
  <si>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</si>
  <si>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</si>
  <si>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</si>
  <si>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</si>
  <si>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</si>
  <si>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</si>
  <si>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</si>
  <si>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</si>
  <si>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</si>
  <si>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</si>
  <si>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расчетные электрические характеристики присоединений</t>
  </si>
  <si>
    <t>№</t>
  </si>
  <si>
    <t>Un, 
V</t>
  </si>
  <si>
    <t>фаза</t>
  </si>
  <si>
    <t>Имя устр.</t>
  </si>
  <si>
    <t>Pi,
kW</t>
  </si>
  <si>
    <t>Ni</t>
  </si>
  <si>
    <t>Pni, 
kW</t>
  </si>
  <si>
    <t>Ini, 
A</t>
  </si>
  <si>
    <t>Кс</t>
  </si>
  <si>
    <t>Cos φ</t>
  </si>
  <si>
    <t>Pm, 
kW</t>
  </si>
  <si>
    <t>Qm, 
kvar</t>
  </si>
  <si>
    <t>Pp, 
kW</t>
  </si>
  <si>
    <t>Qp, 
kvar</t>
  </si>
  <si>
    <t>Sp, 
kVA</t>
  </si>
  <si>
    <t>Ip, 
A</t>
  </si>
  <si>
    <t xml:space="preserve">фаза
</t>
  </si>
  <si>
    <t>Pn, 
kW</t>
  </si>
  <si>
    <t>_AC_380V_50Hz</t>
  </si>
  <si>
    <t>_AC_220V_50Hz</t>
  </si>
  <si>
    <t>Исходные данные по нагрузкам присоединений</t>
  </si>
  <si>
    <t>Нагрузка по позициям ТХ</t>
  </si>
  <si>
    <t>Нагрузка на группу</t>
  </si>
  <si>
    <t>&lt;zcopyrow targetsheet="&lt;zlight&gt;DEVEXPORT" targetcodename="zimportdev" keynumcol="16"&gt;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</si>
  <si>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</si>
  <si>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</si>
  <si>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</si>
  <si>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</si>
  <si>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</si>
  <si>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</si>
  <si>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</si>
  <si>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Группа</t>
  </si>
  <si>
    <t>Длина, м</t>
  </si>
  <si>
    <t>№ группы</t>
  </si>
  <si>
    <t>&lt;zlight&gt;TOCAD</t>
  </si>
  <si>
    <t>&lt;zimporttozcad&gt;</t>
  </si>
  <si>
    <t>&lt;/zimporttozcad&gt;</t>
  </si>
  <si>
    <t>&lt;zcopyrow targetsheet="&lt;zlight&gt;" targetcodename="zimporttozcad" keynumcol="35"&gt;</t>
  </si>
  <si>
    <t>Привет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</si>
  <si>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</si>
  <si>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</si>
  <si>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</si>
  <si>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</si>
  <si>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</si>
  <si>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</si>
  <si>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</si>
  <si>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</si>
  <si>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</si>
  <si>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</si>
  <si>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</si>
  <si>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</si>
  <si>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</si>
  <si>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</si>
  <si>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</si>
  <si>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r>
      <t>In,</t>
    </r>
    <r>
      <rPr>
        <sz val="8"/>
        <color indexed="47"/>
        <rFont val="Arial Cyr"/>
        <charset val="204"/>
      </rPr>
      <t xml:space="preserve">
A</t>
    </r>
  </si>
  <si>
    <r>
      <t>R</t>
    </r>
    <r>
      <rPr>
        <sz val="6"/>
        <color indexed="47"/>
        <rFont val="Arial Cyr"/>
        <charset val="204"/>
      </rPr>
      <t>авт</t>
    </r>
    <r>
      <rPr>
        <b/>
        <sz val="8"/>
        <color indexed="47"/>
        <rFont val="Arial Cyr"/>
        <charset val="204"/>
      </rPr>
      <t>,</t>
    </r>
    <r>
      <rPr>
        <sz val="8"/>
        <color indexed="47"/>
        <rFont val="Arial Cyr"/>
        <charset val="204"/>
      </rPr>
      <t xml:space="preserve">
мОм</t>
    </r>
  </si>
  <si>
    <r>
      <t>X</t>
    </r>
    <r>
      <rPr>
        <sz val="6"/>
        <color indexed="47"/>
        <rFont val="Arial Cyr"/>
        <charset val="204"/>
      </rPr>
      <t>авт</t>
    </r>
    <r>
      <rPr>
        <b/>
        <sz val="8"/>
        <color indexed="47"/>
        <rFont val="Arial Cyr"/>
        <charset val="204"/>
      </rPr>
      <t>,</t>
    </r>
    <r>
      <rPr>
        <sz val="8"/>
        <color indexed="47"/>
        <rFont val="Arial Cyr"/>
        <charset val="204"/>
      </rPr>
      <t xml:space="preserve">
мОм</t>
    </r>
  </si>
  <si>
    <t>шкала номинальных токов автоматических выключателей</t>
  </si>
  <si>
    <t>Алгоритм выбора автоматического выключателя</t>
  </si>
  <si>
    <t>протокол выбора выключателей</t>
  </si>
  <si>
    <t>ph</t>
  </si>
  <si>
    <t>ka,
%</t>
  </si>
  <si>
    <t>Ipa, 
A</t>
  </si>
  <si>
    <t>A1</t>
  </si>
  <si>
    <t>A1'</t>
  </si>
  <si>
    <t>A2</t>
  </si>
  <si>
    <t>Ia,
A</t>
  </si>
  <si>
    <t>kap,
%</t>
  </si>
  <si>
    <t>Ir,
A</t>
  </si>
  <si>
    <t>Np</t>
  </si>
  <si>
    <t>pa</t>
  </si>
  <si>
    <t>Тип 
автомата</t>
  </si>
  <si>
    <t>Калибр
автомата</t>
  </si>
  <si>
    <t>Расцепит.
Харак-ка.</t>
  </si>
  <si>
    <t>T11</t>
  </si>
  <si>
    <t>T10</t>
  </si>
  <si>
    <t>T14</t>
  </si>
  <si>
    <t>T15</t>
  </si>
  <si>
    <t>T16</t>
  </si>
  <si>
    <t>реальное имя</t>
  </si>
  <si>
    <t>realnamedev</t>
  </si>
  <si>
    <t>Реальное имя</t>
  </si>
  <si>
    <t>T17</t>
  </si>
  <si>
    <t>T26</t>
  </si>
  <si>
    <t>Имя щита</t>
  </si>
  <si>
    <t>Общая мощность</t>
  </si>
  <si>
    <t>Общий ток</t>
  </si>
  <si>
    <t>Импортируемые данные по кабелю</t>
  </si>
  <si>
    <t>СИСТЕМНАЯ</t>
  </si>
  <si>
    <t>T27</t>
  </si>
  <si>
    <t>BOOLEAN_1</t>
  </si>
  <si>
    <t>BOOLEAN_0</t>
  </si>
  <si>
    <t>T31</t>
  </si>
  <si>
    <t>INTEGER_2</t>
  </si>
  <si>
    <t>suffix</t>
  </si>
  <si>
    <t>Electrical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</si>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</sst>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8"/>
      <color indexed="9"/>
      <name val="Arial"/>
      <family val="2"/>
      <charset val="204"/>
    </font>
    <font>
      <sz val="10"/>
      <name val="Arial Cyr"/>
      <charset val="204"/>
    </font>
    <font>
      <b/>
      <i/>
      <sz val="8"/>
      <color indexed="9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8"/>
      <color indexed="47"/>
      <name val="Arial Cyr"/>
      <charset val="204"/>
    </font>
    <font>
      <b/>
      <sz val="8"/>
      <color indexed="47"/>
      <name val="Arial Cyr"/>
      <charset val="204"/>
    </font>
    <font>
      <sz val="6"/>
      <color indexed="47"/>
      <name val="Arial Cyr"/>
      <charset val="204"/>
    </font>
    <font>
      <sz val="6"/>
      <name val="Arial Cyr"/>
      <charset val="204"/>
    </font>
    <font>
      <sz val="8"/>
      <color indexed="60"/>
      <name val="Arial Cyr"/>
      <charset val="204"/>
    </font>
    <font>
      <sz val="8"/>
      <color indexed="55"/>
      <name val="Arial Cyr"/>
      <charset val="204"/>
    </font>
    <font>
      <sz val="8"/>
      <color indexed="60"/>
      <name val="Arial Unicode MS"/>
      <family val="2"/>
      <charset val="204"/>
    </font>
    <font>
      <b/>
      <sz val="8"/>
      <name val="Arial Unicode MS"/>
      <family val="2"/>
      <charset val="204"/>
    </font>
    <font>
      <sz val="9"/>
      <color indexed="81"/>
      <name val="Tahoma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4" borderId="2" xfId="1" applyFont="1" applyFill="1" applyBorder="1" applyAlignment="1" applyProtection="1">
      <alignment horizontal="right" vertical="center"/>
      <protection hidden="1"/>
    </xf>
    <xf numFmtId="0" fontId="2" fillId="4" borderId="3" xfId="1" applyFont="1" applyFill="1" applyBorder="1" applyAlignment="1" applyProtection="1">
      <alignment horizontal="left" vertical="center"/>
      <protection hidden="1"/>
    </xf>
    <xf numFmtId="0" fontId="2" fillId="4" borderId="8" xfId="1" applyFont="1" applyFill="1" applyBorder="1" applyAlignment="1" applyProtection="1">
      <alignment horizontal="center" vertical="center" wrapText="1"/>
      <protection hidden="1"/>
    </xf>
    <xf numFmtId="0" fontId="2" fillId="4" borderId="8" xfId="1" applyFont="1" applyFill="1" applyBorder="1" applyAlignment="1" applyProtection="1">
      <alignment horizontal="center" vertical="center"/>
      <protection hidden="1"/>
    </xf>
    <xf numFmtId="0" fontId="2" fillId="4" borderId="9" xfId="1" applyFont="1" applyFill="1" applyBorder="1" applyAlignment="1" applyProtection="1">
      <alignment horizontal="center" vertical="center" wrapText="1"/>
      <protection hidden="1"/>
    </xf>
    <xf numFmtId="49" fontId="2" fillId="4" borderId="7" xfId="1" applyNumberFormat="1" applyFont="1" applyFill="1" applyBorder="1" applyAlignment="1" applyProtection="1">
      <alignment horizontal="center" vertical="center" wrapText="1"/>
      <protection hidden="1"/>
    </xf>
    <xf numFmtId="0" fontId="2" fillId="4" borderId="6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2" fillId="4" borderId="6" xfId="1" applyFont="1" applyFill="1" applyBorder="1" applyAlignment="1" applyProtection="1">
      <alignment horizontal="center" vertical="center" wrapText="1"/>
      <protection hidden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8" fillId="5" borderId="16" xfId="0" applyFont="1" applyFill="1" applyBorder="1" applyAlignment="1" applyProtection="1">
      <alignment horizontal="center" vertical="center" wrapText="1"/>
      <protection hidden="1"/>
    </xf>
    <xf numFmtId="0" fontId="8" fillId="5" borderId="12" xfId="1" applyFont="1" applyFill="1" applyBorder="1" applyAlignment="1" applyProtection="1">
      <alignment horizontal="center" vertical="center" wrapText="1"/>
      <protection hidden="1"/>
    </xf>
    <xf numFmtId="0" fontId="8" fillId="5" borderId="17" xfId="1" applyFont="1" applyFill="1" applyBorder="1" applyAlignment="1" applyProtection="1">
      <alignment horizontal="center" vertical="center" wrapText="1"/>
      <protection hidden="1"/>
    </xf>
    <xf numFmtId="0" fontId="8" fillId="5" borderId="17" xfId="2" applyFont="1" applyFill="1" applyBorder="1" applyAlignment="1" applyProtection="1">
      <alignment horizontal="center" vertical="center"/>
      <protection hidden="1"/>
    </xf>
    <xf numFmtId="0" fontId="8" fillId="5" borderId="17" xfId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left" vertical="center"/>
    </xf>
    <xf numFmtId="0" fontId="2" fillId="4" borderId="19" xfId="1" applyFont="1" applyFill="1" applyBorder="1" applyAlignment="1" applyProtection="1">
      <alignment horizontal="center" vertical="center" wrapText="1"/>
      <protection hidden="1"/>
    </xf>
    <xf numFmtId="0" fontId="10" fillId="7" borderId="1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164" fontId="14" fillId="9" borderId="24" xfId="0" applyNumberFormat="1" applyFont="1" applyFill="1" applyBorder="1" applyAlignment="1">
      <alignment horizontal="center" vertical="center"/>
    </xf>
    <xf numFmtId="164" fontId="14" fillId="9" borderId="26" xfId="0" applyNumberFormat="1" applyFont="1" applyFill="1" applyBorder="1" applyAlignment="1">
      <alignment horizontal="center" vertical="center"/>
    </xf>
    <xf numFmtId="164" fontId="15" fillId="9" borderId="24" xfId="0" applyNumberFormat="1" applyFont="1" applyFill="1" applyBorder="1" applyAlignment="1">
      <alignment horizontal="center" vertical="center"/>
    </xf>
    <xf numFmtId="164" fontId="15" fillId="9" borderId="26" xfId="0" applyNumberFormat="1" applyFont="1" applyFill="1" applyBorder="1" applyAlignment="1">
      <alignment horizontal="center" vertical="center"/>
    </xf>
    <xf numFmtId="165" fontId="15" fillId="9" borderId="24" xfId="0" applyNumberFormat="1" applyFont="1" applyFill="1" applyBorder="1" applyAlignment="1">
      <alignment horizontal="center" vertical="center"/>
    </xf>
    <xf numFmtId="165" fontId="15" fillId="9" borderId="26" xfId="0" applyNumberFormat="1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49" fontId="4" fillId="4" borderId="0" xfId="1" applyNumberFormat="1" applyFont="1" applyFill="1" applyBorder="1" applyAlignment="1" applyProtection="1">
      <alignment horizontal="center" vertical="center"/>
      <protection hidden="1"/>
    </xf>
    <xf numFmtId="0" fontId="2" fillId="4" borderId="0" xfId="1" applyFont="1" applyFill="1" applyBorder="1" applyAlignment="1" applyProtection="1">
      <alignment horizontal="center" vertical="center" wrapText="1"/>
      <protection hidden="1"/>
    </xf>
    <xf numFmtId="0" fontId="0" fillId="3" borderId="0" xfId="0" applyFill="1" applyBorder="1" applyAlignment="1">
      <alignment horizontal="center" vertical="center"/>
    </xf>
    <xf numFmtId="49" fontId="2" fillId="4" borderId="16" xfId="0" applyNumberFormat="1" applyFont="1" applyFill="1" applyBorder="1" applyAlignment="1" applyProtection="1">
      <alignment horizontal="center" vertical="center"/>
      <protection hidden="1"/>
    </xf>
    <xf numFmtId="49" fontId="2" fillId="4" borderId="17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7" xfId="0" applyNumberFormat="1" applyFont="1" applyFill="1" applyBorder="1" applyAlignment="1" applyProtection="1">
      <alignment horizontal="center" vertical="center"/>
      <protection hidden="1"/>
    </xf>
    <xf numFmtId="0" fontId="2" fillId="4" borderId="17" xfId="0" applyFont="1" applyFill="1" applyBorder="1" applyAlignment="1" applyProtection="1">
      <alignment horizontal="center" vertical="center"/>
      <protection hidden="1"/>
    </xf>
    <xf numFmtId="49" fontId="2" fillId="4" borderId="18" xfId="0" applyNumberFormat="1" applyFont="1" applyFill="1" applyBorder="1" applyAlignment="1" applyProtection="1">
      <alignment horizontal="center" vertical="center"/>
      <protection hidden="1"/>
    </xf>
    <xf numFmtId="49" fontId="2" fillId="4" borderId="16" xfId="0" applyNumberFormat="1" applyFont="1" applyFill="1" applyBorder="1" applyAlignment="1" applyProtection="1">
      <alignment horizontal="center" vertical="top" wrapText="1"/>
      <protection hidden="1"/>
    </xf>
    <xf numFmtId="49" fontId="2" fillId="4" borderId="17" xfId="0" applyNumberFormat="1" applyFont="1" applyFill="1" applyBorder="1" applyAlignment="1" applyProtection="1">
      <alignment horizontal="center" vertical="top" wrapText="1"/>
      <protection hidden="1"/>
    </xf>
    <xf numFmtId="0" fontId="16" fillId="10" borderId="29" xfId="0" applyFont="1" applyFill="1" applyBorder="1" applyAlignment="1" applyProtection="1">
      <alignment horizontal="right" vertical="center"/>
      <protection hidden="1"/>
    </xf>
    <xf numFmtId="0" fontId="17" fillId="10" borderId="1" xfId="0" applyFont="1" applyFill="1" applyBorder="1" applyAlignment="1" applyProtection="1">
      <alignment horizontal="center" vertical="center"/>
      <protection hidden="1"/>
    </xf>
    <xf numFmtId="0" fontId="16" fillId="10" borderId="1" xfId="0" applyFont="1" applyFill="1" applyBorder="1" applyAlignment="1" applyProtection="1">
      <alignment vertical="center"/>
      <protection hidden="1"/>
    </xf>
    <xf numFmtId="0" fontId="0" fillId="0" borderId="1" xfId="0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7" borderId="23" xfId="0" applyFont="1" applyFill="1" applyBorder="1" applyAlignment="1">
      <alignment horizontal="center" vertical="center" textRotation="90"/>
    </xf>
    <xf numFmtId="0" fontId="10" fillId="7" borderId="27" xfId="0" applyFont="1" applyFill="1" applyBorder="1" applyAlignment="1">
      <alignment horizontal="center" vertical="center" textRotation="90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3" xfId="0" applyFont="1" applyFill="1" applyBorder="1" applyAlignment="1" applyProtection="1">
      <alignment horizontal="center" vertical="center" wrapText="1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hidden="1"/>
    </xf>
    <xf numFmtId="49" fontId="4" fillId="4" borderId="2" xfId="1" applyNumberFormat="1" applyFont="1" applyFill="1" applyBorder="1" applyAlignment="1" applyProtection="1">
      <alignment horizontal="center" vertical="center"/>
      <protection hidden="1"/>
    </xf>
    <xf numFmtId="49" fontId="4" fillId="4" borderId="3" xfId="1" applyNumberFormat="1" applyFont="1" applyFill="1" applyBorder="1" applyAlignment="1" applyProtection="1">
      <alignment horizontal="center" vertical="center"/>
      <protection hidden="1"/>
    </xf>
    <xf numFmtId="49" fontId="4" fillId="4" borderId="4" xfId="1" applyNumberFormat="1" applyFont="1" applyFill="1" applyBorder="1" applyAlignment="1" applyProtection="1">
      <alignment horizontal="center" vertical="center"/>
      <protection hidden="1"/>
    </xf>
    <xf numFmtId="49" fontId="2" fillId="4" borderId="5" xfId="1" applyNumberFormat="1" applyFont="1" applyFill="1" applyBorder="1" applyAlignment="1" applyProtection="1">
      <alignment horizontal="center" vertical="center"/>
      <protection hidden="1"/>
    </xf>
    <xf numFmtId="49" fontId="2" fillId="4" borderId="13" xfId="1" applyNumberFormat="1" applyFont="1" applyFill="1" applyBorder="1" applyAlignment="1" applyProtection="1">
      <alignment horizontal="center" vertical="center"/>
      <protection hidden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5" borderId="2" xfId="2" applyFont="1" applyFill="1" applyBorder="1" applyAlignment="1" applyProtection="1">
      <alignment horizontal="center" vertical="center" wrapText="1"/>
      <protection hidden="1"/>
    </xf>
    <xf numFmtId="0" fontId="9" fillId="5" borderId="3" xfId="2" applyFont="1" applyFill="1" applyBorder="1" applyAlignment="1" applyProtection="1">
      <alignment horizontal="center" vertical="center" wrapText="1"/>
      <protection hidden="1"/>
    </xf>
    <xf numFmtId="0" fontId="4" fillId="4" borderId="3" xfId="2" applyFont="1" applyFill="1" applyBorder="1" applyAlignment="1" applyProtection="1">
      <alignment horizontal="center" vertical="center" wrapText="1"/>
      <protection hidden="1"/>
    </xf>
    <xf numFmtId="0" fontId="4" fillId="4" borderId="4" xfId="2" applyFont="1" applyFill="1" applyBorder="1" applyAlignment="1" applyProtection="1">
      <alignment horizontal="center" vertical="center" wrapText="1"/>
      <protection hidden="1"/>
    </xf>
    <xf numFmtId="0" fontId="4" fillId="4" borderId="2" xfId="2" applyFont="1" applyFill="1" applyBorder="1" applyAlignment="1" applyProtection="1">
      <alignment horizontal="center" vertical="center" wrapText="1"/>
      <protection hidden="1"/>
    </xf>
    <xf numFmtId="0" fontId="9" fillId="11" borderId="1" xfId="2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131</v>
      </c>
      <c r="B1" t="s">
        <v>132</v>
      </c>
    </row>
    <row r="2" spans="1:2" x14ac:dyDescent="0.25">
      <c r="A2" t="s">
        <v>133</v>
      </c>
      <c r="B2" t="s">
        <v>1</v>
      </c>
    </row>
    <row r="3" spans="1:2" ht="15.75" customHeight="1" x14ac:dyDescent="0.25">
      <c r="A3" t="s">
        <v>133</v>
      </c>
      <c r="B3" t="s">
        <v>136</v>
      </c>
    </row>
    <row r="4" spans="1:2" ht="15.75" customHeight="1" x14ac:dyDescent="0.25">
      <c r="A4" t="s">
        <v>133</v>
      </c>
      <c r="B4" t="s">
        <v>139</v>
      </c>
    </row>
    <row r="5" spans="1:2" x14ac:dyDescent="0.25">
      <c r="A5" t="s">
        <v>133</v>
      </c>
      <c r="B5" t="s">
        <v>137</v>
      </c>
    </row>
    <row r="6" spans="1:2" x14ac:dyDescent="0.25">
      <c r="A6" t="s">
        <v>133</v>
      </c>
      <c r="B6" t="s">
        <v>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topLeftCell="C5" workbookViewId="0">
      <selection activeCell="M5" sqref="M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66</v>
      </c>
      <c r="J3" s="2" t="s">
        <v>15</v>
      </c>
      <c r="K3" s="2" t="s">
        <v>67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62</v>
      </c>
      <c r="D5" s="1" t="s">
        <v>9</v>
      </c>
      <c r="E5" s="1" t="s">
        <v>5</v>
      </c>
      <c r="F5" s="1" t="s">
        <v>6</v>
      </c>
      <c r="G5" s="1" t="s">
        <v>64</v>
      </c>
      <c r="H5" s="1" t="s">
        <v>65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J35"/>
  <sheetViews>
    <sheetView topLeftCell="A6" workbookViewId="0">
      <selection activeCell="F3" sqref="F3"/>
    </sheetView>
  </sheetViews>
  <sheetFormatPr defaultRowHeight="15" x14ac:dyDescent="0.25"/>
  <cols>
    <col min="1" max="1" width="13.42578125" customWidth="1"/>
    <col min="2" max="2" width="14.7109375" customWidth="1"/>
  </cols>
  <sheetData>
    <row r="2" spans="1:10" ht="15.75" thickBot="1" x14ac:dyDescent="0.3"/>
    <row r="3" spans="1:10" ht="22.5" x14ac:dyDescent="0.25">
      <c r="A3" s="62" t="s">
        <v>35</v>
      </c>
      <c r="B3" s="62"/>
      <c r="C3" s="62"/>
      <c r="F3" s="31"/>
      <c r="G3" s="32" t="s">
        <v>37</v>
      </c>
      <c r="H3" s="33" t="s">
        <v>91</v>
      </c>
      <c r="I3" s="34" t="s">
        <v>92</v>
      </c>
      <c r="J3" s="35" t="s">
        <v>93</v>
      </c>
    </row>
    <row r="4" spans="1:10" x14ac:dyDescent="0.25">
      <c r="A4" s="10" t="s">
        <v>56</v>
      </c>
      <c r="B4" s="10">
        <v>220</v>
      </c>
      <c r="C4" s="11">
        <f>B4</f>
        <v>220</v>
      </c>
      <c r="F4" s="63" t="s">
        <v>94</v>
      </c>
      <c r="G4" s="36">
        <v>1</v>
      </c>
      <c r="H4" s="37">
        <v>6300</v>
      </c>
      <c r="I4" s="38">
        <v>2.7E-2</v>
      </c>
      <c r="J4" s="39">
        <v>2E-3</v>
      </c>
    </row>
    <row r="5" spans="1:10" x14ac:dyDescent="0.25">
      <c r="A5" s="10" t="s">
        <v>55</v>
      </c>
      <c r="B5" s="10">
        <v>380</v>
      </c>
      <c r="C5" s="11">
        <f>ROUNDUP(SQRT(3)*B5,2)</f>
        <v>658.18</v>
      </c>
      <c r="F5" s="64"/>
      <c r="G5" s="36">
        <v>2</v>
      </c>
      <c r="H5" s="37">
        <v>5000</v>
      </c>
      <c r="I5" s="40">
        <v>2.8000000000000001E-2</v>
      </c>
      <c r="J5" s="41">
        <v>2E-3</v>
      </c>
    </row>
    <row r="6" spans="1:10" x14ac:dyDescent="0.25">
      <c r="F6" s="64"/>
      <c r="G6" s="36">
        <v>3</v>
      </c>
      <c r="H6" s="37">
        <v>4000</v>
      </c>
      <c r="I6" s="38">
        <v>0.1</v>
      </c>
      <c r="J6" s="39">
        <v>0.05</v>
      </c>
    </row>
    <row r="7" spans="1:10" x14ac:dyDescent="0.25">
      <c r="F7" s="64"/>
      <c r="G7" s="36">
        <v>4</v>
      </c>
      <c r="H7" s="37">
        <v>3200</v>
      </c>
      <c r="I7" s="40">
        <v>0.12</v>
      </c>
      <c r="J7" s="41">
        <v>0.06</v>
      </c>
    </row>
    <row r="8" spans="1:10" x14ac:dyDescent="0.25">
      <c r="F8" s="64"/>
      <c r="G8" s="36">
        <v>5</v>
      </c>
      <c r="H8" s="37">
        <v>2500</v>
      </c>
      <c r="I8" s="38">
        <v>0.13</v>
      </c>
      <c r="J8" s="39">
        <v>7.0000000000000007E-2</v>
      </c>
    </row>
    <row r="9" spans="1:10" x14ac:dyDescent="0.25">
      <c r="F9" s="64"/>
      <c r="G9" s="36">
        <v>6</v>
      </c>
      <c r="H9" s="37">
        <v>2000</v>
      </c>
      <c r="I9" s="40">
        <v>0.13500000000000001</v>
      </c>
      <c r="J9" s="41">
        <v>7.4999999999999997E-2</v>
      </c>
    </row>
    <row r="10" spans="1:10" x14ac:dyDescent="0.25">
      <c r="F10" s="64"/>
      <c r="G10" s="36">
        <v>7</v>
      </c>
      <c r="H10" s="37">
        <v>1600</v>
      </c>
      <c r="I10" s="38">
        <v>0.14000000000000001</v>
      </c>
      <c r="J10" s="39">
        <v>0.08</v>
      </c>
    </row>
    <row r="11" spans="1:10" x14ac:dyDescent="0.25">
      <c r="F11" s="64"/>
      <c r="G11" s="36">
        <v>8</v>
      </c>
      <c r="H11" s="37">
        <v>1250</v>
      </c>
      <c r="I11" s="40">
        <v>0.2</v>
      </c>
      <c r="J11" s="41">
        <v>0.09</v>
      </c>
    </row>
    <row r="12" spans="1:10" x14ac:dyDescent="0.25">
      <c r="F12" s="64"/>
      <c r="G12" s="36">
        <v>9</v>
      </c>
      <c r="H12" s="37">
        <v>1000</v>
      </c>
      <c r="I12" s="38">
        <v>0.25</v>
      </c>
      <c r="J12" s="39">
        <v>0.1</v>
      </c>
    </row>
    <row r="13" spans="1:10" x14ac:dyDescent="0.25">
      <c r="F13" s="64"/>
      <c r="G13" s="36">
        <v>10</v>
      </c>
      <c r="H13" s="37">
        <v>800</v>
      </c>
      <c r="I13" s="40">
        <v>0.33</v>
      </c>
      <c r="J13" s="41">
        <v>0.115</v>
      </c>
    </row>
    <row r="14" spans="1:10" x14ac:dyDescent="0.25">
      <c r="F14" s="64"/>
      <c r="G14" s="36">
        <v>11</v>
      </c>
      <c r="H14" s="37">
        <v>630</v>
      </c>
      <c r="I14" s="38">
        <v>0.41</v>
      </c>
      <c r="J14" s="39">
        <v>0.13</v>
      </c>
    </row>
    <row r="15" spans="1:10" x14ac:dyDescent="0.25">
      <c r="F15" s="64"/>
      <c r="G15" s="36">
        <v>12</v>
      </c>
      <c r="H15" s="37">
        <v>400</v>
      </c>
      <c r="I15" s="38">
        <v>0.65</v>
      </c>
      <c r="J15" s="39">
        <v>0.01</v>
      </c>
    </row>
    <row r="16" spans="1:10" x14ac:dyDescent="0.25">
      <c r="F16" s="64"/>
      <c r="G16" s="36">
        <v>13</v>
      </c>
      <c r="H16" s="37">
        <v>250</v>
      </c>
      <c r="I16" s="40">
        <v>0.875</v>
      </c>
      <c r="J16" s="41">
        <v>0.255</v>
      </c>
    </row>
    <row r="17" spans="6:10" x14ac:dyDescent="0.25">
      <c r="F17" s="64"/>
      <c r="G17" s="36">
        <v>14</v>
      </c>
      <c r="H17" s="37">
        <v>200</v>
      </c>
      <c r="I17" s="38">
        <v>1.1000000000000001</v>
      </c>
      <c r="J17" s="39">
        <v>0.5</v>
      </c>
    </row>
    <row r="18" spans="6:10" x14ac:dyDescent="0.25">
      <c r="F18" s="64"/>
      <c r="G18" s="36">
        <v>15</v>
      </c>
      <c r="H18" s="37">
        <v>160</v>
      </c>
      <c r="I18" s="38">
        <v>1.3</v>
      </c>
      <c r="J18" s="39">
        <v>0.7</v>
      </c>
    </row>
    <row r="19" spans="6:10" x14ac:dyDescent="0.25">
      <c r="F19" s="64"/>
      <c r="G19" s="36">
        <v>16</v>
      </c>
      <c r="H19" s="37">
        <v>125</v>
      </c>
      <c r="I19" s="40">
        <v>1.7250000000000001</v>
      </c>
      <c r="J19" s="41">
        <v>0.95</v>
      </c>
    </row>
    <row r="20" spans="6:10" x14ac:dyDescent="0.25">
      <c r="F20" s="64"/>
      <c r="G20" s="36">
        <v>17</v>
      </c>
      <c r="H20" s="37">
        <v>100</v>
      </c>
      <c r="I20" s="38">
        <v>2.15</v>
      </c>
      <c r="J20" s="39">
        <v>1.2</v>
      </c>
    </row>
    <row r="21" spans="6:10" x14ac:dyDescent="0.25">
      <c r="F21" s="64"/>
      <c r="G21" s="36">
        <v>18</v>
      </c>
      <c r="H21" s="37">
        <v>80</v>
      </c>
      <c r="I21" s="40">
        <v>2.83</v>
      </c>
      <c r="J21" s="41">
        <v>1.6</v>
      </c>
    </row>
    <row r="22" spans="6:10" x14ac:dyDescent="0.25">
      <c r="F22" s="64"/>
      <c r="G22" s="36">
        <v>19</v>
      </c>
      <c r="H22" s="37">
        <v>63</v>
      </c>
      <c r="I22" s="38">
        <v>3.5</v>
      </c>
      <c r="J22" s="39">
        <v>2</v>
      </c>
    </row>
    <row r="23" spans="6:10" x14ac:dyDescent="0.25">
      <c r="F23" s="64"/>
      <c r="G23" s="36">
        <v>20</v>
      </c>
      <c r="H23" s="37">
        <v>50</v>
      </c>
      <c r="I23" s="38">
        <v>7</v>
      </c>
      <c r="J23" s="39">
        <v>4.5</v>
      </c>
    </row>
    <row r="24" spans="6:10" x14ac:dyDescent="0.25">
      <c r="F24" s="64"/>
      <c r="G24" s="36">
        <v>21</v>
      </c>
      <c r="H24" s="37">
        <v>40</v>
      </c>
      <c r="I24" s="42">
        <v>10.5</v>
      </c>
      <c r="J24" s="43">
        <v>7</v>
      </c>
    </row>
    <row r="25" spans="6:10" x14ac:dyDescent="0.25">
      <c r="F25" s="64"/>
      <c r="G25" s="36">
        <v>22</v>
      </c>
      <c r="H25" s="37">
        <v>32</v>
      </c>
      <c r="I25" s="42">
        <v>14</v>
      </c>
      <c r="J25" s="43">
        <v>9.5</v>
      </c>
    </row>
    <row r="26" spans="6:10" x14ac:dyDescent="0.25">
      <c r="F26" s="64"/>
      <c r="G26" s="36">
        <v>23</v>
      </c>
      <c r="H26" s="37">
        <v>25</v>
      </c>
      <c r="I26" s="42">
        <v>17.5</v>
      </c>
      <c r="J26" s="43">
        <v>12</v>
      </c>
    </row>
    <row r="27" spans="6:10" x14ac:dyDescent="0.25">
      <c r="F27" s="64"/>
      <c r="G27" s="36">
        <v>24</v>
      </c>
      <c r="H27" s="37">
        <v>20</v>
      </c>
      <c r="I27" s="42">
        <v>21</v>
      </c>
      <c r="J27" s="43">
        <v>14.5</v>
      </c>
    </row>
    <row r="28" spans="6:10" x14ac:dyDescent="0.25">
      <c r="F28" s="64"/>
      <c r="G28" s="36">
        <v>25</v>
      </c>
      <c r="H28" s="37">
        <v>16</v>
      </c>
      <c r="I28" s="42">
        <v>24.5</v>
      </c>
      <c r="J28" s="43">
        <v>17</v>
      </c>
    </row>
    <row r="29" spans="6:10" x14ac:dyDescent="0.25">
      <c r="F29" s="64"/>
      <c r="G29" s="36">
        <v>26</v>
      </c>
      <c r="H29" s="37">
        <v>10</v>
      </c>
      <c r="I29" s="42">
        <v>31.5</v>
      </c>
      <c r="J29" s="43">
        <v>22</v>
      </c>
    </row>
    <row r="30" spans="6:10" x14ac:dyDescent="0.25">
      <c r="F30" s="64"/>
      <c r="G30" s="36">
        <v>27</v>
      </c>
      <c r="H30" s="37">
        <v>6</v>
      </c>
      <c r="I30" s="42">
        <v>35</v>
      </c>
      <c r="J30" s="43">
        <v>24.5</v>
      </c>
    </row>
    <row r="31" spans="6:10" x14ac:dyDescent="0.25">
      <c r="F31" s="64"/>
      <c r="G31" s="36">
        <v>28</v>
      </c>
      <c r="H31" s="37">
        <v>4</v>
      </c>
      <c r="I31" s="42">
        <v>38.5</v>
      </c>
      <c r="J31" s="43">
        <v>27</v>
      </c>
    </row>
    <row r="32" spans="6:10" x14ac:dyDescent="0.25">
      <c r="F32" s="64"/>
      <c r="G32" s="36">
        <v>29</v>
      </c>
      <c r="H32" s="37">
        <v>2</v>
      </c>
      <c r="I32" s="42">
        <v>42</v>
      </c>
      <c r="J32" s="43">
        <v>29.5</v>
      </c>
    </row>
    <row r="33" spans="6:10" x14ac:dyDescent="0.25">
      <c r="F33" s="64"/>
      <c r="G33" s="36">
        <v>30</v>
      </c>
      <c r="H33" s="37">
        <v>1.6</v>
      </c>
      <c r="I33" s="42">
        <v>45.5</v>
      </c>
      <c r="J33" s="43">
        <v>32</v>
      </c>
    </row>
    <row r="34" spans="6:10" x14ac:dyDescent="0.25">
      <c r="F34" s="64"/>
      <c r="G34" s="36">
        <v>31</v>
      </c>
      <c r="H34" s="44">
        <v>1</v>
      </c>
      <c r="I34" s="42">
        <v>47.25</v>
      </c>
      <c r="J34" s="43">
        <v>33.25</v>
      </c>
    </row>
    <row r="35" spans="6:10" x14ac:dyDescent="0.25">
      <c r="F35" s="64"/>
      <c r="G35" s="36">
        <v>32</v>
      </c>
      <c r="H35" s="44">
        <v>0.4</v>
      </c>
      <c r="I35" s="42">
        <v>49</v>
      </c>
      <c r="J35" s="43">
        <v>34.5</v>
      </c>
    </row>
  </sheetData>
  <mergeCells count="2">
    <mergeCell ref="A3:C3"/>
    <mergeCell ref="F4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135</v>
      </c>
    </row>
    <row r="2" spans="1:1" x14ac:dyDescent="0.25">
      <c r="A2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65" t="s">
        <v>134</v>
      </c>
      <c r="E1" s="65"/>
      <c r="F1" s="65"/>
      <c r="G1" s="65"/>
      <c r="H1" s="65"/>
    </row>
    <row r="2" spans="2:9" x14ac:dyDescent="0.25">
      <c r="D2" s="65"/>
      <c r="E2" s="65"/>
      <c r="F2" s="65"/>
      <c r="G2" s="65"/>
      <c r="H2" s="65"/>
    </row>
    <row r="3" spans="2:9" x14ac:dyDescent="0.25">
      <c r="C3" t="s">
        <v>118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117</v>
      </c>
      <c r="D5" t="s">
        <v>9</v>
      </c>
      <c r="E5" t="s">
        <v>5</v>
      </c>
      <c r="F5" t="s">
        <v>6</v>
      </c>
      <c r="G5" t="s">
        <v>90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66" t="s">
        <v>134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5:16" x14ac:dyDescent="0.25"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5:16" x14ac:dyDescent="0.25"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1" spans="5:16" x14ac:dyDescent="0.25"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5:16" x14ac:dyDescent="0.25"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</row>
    <row r="13" spans="5:16" x14ac:dyDescent="0.25"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</row>
    <row r="14" spans="5:16" x14ac:dyDescent="0.25"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</row>
    <row r="15" spans="5:16" x14ac:dyDescent="0.25"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</row>
    <row r="16" spans="5:16" x14ac:dyDescent="0.25"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</row>
    <row r="17" spans="5:16" x14ac:dyDescent="0.25"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5:16" x14ac:dyDescent="0.25"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</row>
    <row r="19" spans="5:16" x14ac:dyDescent="0.25"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5:16" x14ac:dyDescent="0.25"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5:16" x14ac:dyDescent="0.25"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</row>
    <row r="22" spans="5:16" x14ac:dyDescent="0.25"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4"/>
  <sheetViews>
    <sheetView workbookViewId="0">
      <selection activeCell="D23" sqref="D23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61</v>
      </c>
    </row>
    <row r="3" spans="1:1" x14ac:dyDescent="0.25">
      <c r="A3" t="s">
        <v>1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AF12" sqref="AF12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78</v>
      </c>
      <c r="E4" t="s">
        <v>79</v>
      </c>
      <c r="F4" t="s">
        <v>80</v>
      </c>
    </row>
    <row r="5" spans="2:38" ht="17.25" customHeight="1" x14ac:dyDescent="0.25">
      <c r="E5">
        <v>0</v>
      </c>
    </row>
    <row r="6" spans="2:38" ht="17.25" customHeight="1" x14ac:dyDescent="0.25">
      <c r="C6" t="s">
        <v>77</v>
      </c>
      <c r="D6" t="s">
        <v>83</v>
      </c>
      <c r="E6">
        <v>0</v>
      </c>
      <c r="F6">
        <v>0</v>
      </c>
      <c r="AK6" t="s">
        <v>76</v>
      </c>
    </row>
    <row r="7" spans="2:38" x14ac:dyDescent="0.25">
      <c r="C7" t="s">
        <v>77</v>
      </c>
      <c r="D7" t="s">
        <v>82</v>
      </c>
      <c r="E7">
        <v>60</v>
      </c>
      <c r="F7">
        <v>0</v>
      </c>
      <c r="AK7" t="s">
        <v>76</v>
      </c>
    </row>
    <row r="8" spans="2:38" x14ac:dyDescent="0.25">
      <c r="B8" t="s">
        <v>74</v>
      </c>
      <c r="C8" t="s">
        <v>77</v>
      </c>
      <c r="D8" t="s">
        <v>81</v>
      </c>
      <c r="E8">
        <f>E7+25</f>
        <v>85</v>
      </c>
      <c r="F8">
        <v>0</v>
      </c>
      <c r="G8" s="1" t="s">
        <v>84</v>
      </c>
      <c r="H8" s="1" t="str">
        <f>'&lt;zlight&gt;'!D24&amp;'&lt;zlight&gt;'!E24</f>
        <v>QFGC_HDGroup</v>
      </c>
      <c r="I8" s="1" t="s">
        <v>85</v>
      </c>
      <c r="J8" s="1" t="str">
        <f>'&lt;zlight&gt;'!AU24</f>
        <v>S202</v>
      </c>
      <c r="K8" s="1" t="s">
        <v>86</v>
      </c>
      <c r="L8" s="1" t="e">
        <f ca="1">'&lt;zlight&gt;'!AX24</f>
        <v>#N/A</v>
      </c>
      <c r="M8" s="1" t="s">
        <v>87</v>
      </c>
      <c r="N8" s="1"/>
      <c r="O8" s="1" t="s">
        <v>88</v>
      </c>
      <c r="P8" s="1"/>
      <c r="Q8" s="1" t="s">
        <v>89</v>
      </c>
      <c r="S8" t="s">
        <v>112</v>
      </c>
      <c r="T8" s="1" t="str">
        <f>'&lt;zlight&gt;'!Z24</f>
        <v>GC_HeadDevice.GC_HDGroup</v>
      </c>
      <c r="U8" t="s">
        <v>111</v>
      </c>
      <c r="V8" s="1">
        <f>'&lt;zlight&gt;'!AA24</f>
        <v>0</v>
      </c>
      <c r="W8" t="s">
        <v>113</v>
      </c>
      <c r="X8" s="1" t="str">
        <f>'&lt;zlight&gt;'!I24&amp;" ("&amp;'&lt;zlight&gt;'!K24&amp;" шт.)"</f>
        <v>Position (1 шт.)</v>
      </c>
      <c r="Y8" s="1" t="s">
        <v>114</v>
      </c>
      <c r="Z8" s="1">
        <f>'&lt;zlight&gt;'!L24</f>
        <v>0</v>
      </c>
      <c r="AA8" s="1" t="s">
        <v>115</v>
      </c>
      <c r="AB8" s="1" t="e">
        <f>'&lt;zlight&gt;'!M24</f>
        <v>#N/A</v>
      </c>
      <c r="AC8" s="1" t="s">
        <v>119</v>
      </c>
      <c r="AD8" s="1" t="str">
        <f>'&lt;zlight&gt;'!F24</f>
        <v>realnamedev</v>
      </c>
      <c r="AE8" s="1" t="s">
        <v>126</v>
      </c>
      <c r="AF8" s="1" t="s">
        <v>127</v>
      </c>
      <c r="AG8" s="1" t="s">
        <v>120</v>
      </c>
      <c r="AH8" s="1" t="s">
        <v>128</v>
      </c>
      <c r="AI8" s="1" t="s">
        <v>129</v>
      </c>
      <c r="AJ8" s="1" t="s">
        <v>130</v>
      </c>
      <c r="AK8" t="s">
        <v>76</v>
      </c>
      <c r="AL8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3:BT24"/>
  <sheetViews>
    <sheetView workbookViewId="0">
      <selection activeCell="S24" sqref="S24"/>
    </sheetView>
  </sheetViews>
  <sheetFormatPr defaultRowHeight="15" x14ac:dyDescent="0.25"/>
  <cols>
    <col min="3" max="3" width="9.140625" customWidth="1"/>
    <col min="4" max="4" width="4.42578125" customWidth="1"/>
    <col min="5" max="5" width="3.7109375" customWidth="1"/>
    <col min="6" max="6" width="16.140625" customWidth="1"/>
    <col min="7" max="7" width="10.7109375" customWidth="1"/>
    <col min="15" max="15" width="10.28515625" bestFit="1" customWidth="1"/>
    <col min="18" max="19" width="10.28515625" bestFit="1" customWidth="1"/>
    <col min="71" max="71" width="16.5703125" customWidth="1"/>
  </cols>
  <sheetData>
    <row r="13" spans="6:23" ht="54.75" customHeight="1" x14ac:dyDescent="0.25">
      <c r="F13" s="10" t="s">
        <v>121</v>
      </c>
      <c r="S13" s="58" t="s">
        <v>122</v>
      </c>
      <c r="W13" s="58" t="s">
        <v>123</v>
      </c>
    </row>
    <row r="14" spans="6:23" x14ac:dyDescent="0.25">
      <c r="F14" s="10" t="str">
        <f>X24</f>
        <v>GC_HeadDevice</v>
      </c>
      <c r="S14">
        <f ca="1">SUM(S24:S12000)</f>
        <v>0</v>
      </c>
      <c r="W14" t="e">
        <f ca="1">SUM(W24:W412000)</f>
        <v>#N/A</v>
      </c>
    </row>
    <row r="20" spans="3:72" ht="15.75" thickBot="1" x14ac:dyDescent="0.3"/>
    <row r="21" spans="3:72" ht="15.75" thickBot="1" x14ac:dyDescent="0.3">
      <c r="D21" s="78" t="s">
        <v>57</v>
      </c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80"/>
      <c r="S21" s="79"/>
      <c r="T21" s="79"/>
      <c r="U21" s="79"/>
      <c r="V21" s="79"/>
      <c r="W21" s="79"/>
      <c r="X21" s="79"/>
      <c r="Y21" s="79"/>
      <c r="Z21" s="79"/>
      <c r="AA21" s="81"/>
    </row>
    <row r="22" spans="3:72" ht="15.75" customHeight="1" thickBot="1" x14ac:dyDescent="0.3">
      <c r="D22" s="12"/>
      <c r="E22" s="13"/>
      <c r="F22" s="13"/>
      <c r="G22" s="82" t="s">
        <v>58</v>
      </c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7" t="s">
        <v>125</v>
      </c>
      <c r="S22" s="84" t="s">
        <v>59</v>
      </c>
      <c r="T22" s="84"/>
      <c r="U22" s="84"/>
      <c r="V22" s="84"/>
      <c r="W22" s="85"/>
      <c r="X22" s="86" t="s">
        <v>124</v>
      </c>
      <c r="Y22" s="84"/>
      <c r="Z22" s="84"/>
      <c r="AA22" s="85"/>
      <c r="AB22" s="73" t="s">
        <v>36</v>
      </c>
      <c r="AC22" s="74"/>
      <c r="AD22" s="74"/>
      <c r="AE22" s="74"/>
      <c r="AF22" s="74"/>
      <c r="AG22" s="74"/>
      <c r="AH22" s="74"/>
      <c r="AI22" s="75"/>
      <c r="AJ22" s="67" t="s">
        <v>95</v>
      </c>
      <c r="AK22" s="68"/>
      <c r="AL22" s="68"/>
      <c r="AM22" s="68"/>
      <c r="AN22" s="68"/>
      <c r="AO22" s="68"/>
      <c r="AP22" s="68"/>
      <c r="AQ22" s="68"/>
      <c r="AR22" s="68"/>
      <c r="AS22" s="68"/>
      <c r="AT22" s="69"/>
      <c r="AU22" s="70" t="s">
        <v>96</v>
      </c>
      <c r="AV22" s="71"/>
      <c r="AW22" s="71"/>
      <c r="AX22" s="72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</row>
    <row r="23" spans="3:72" ht="23.25" thickBot="1" x14ac:dyDescent="0.3">
      <c r="D23" s="76" t="s">
        <v>37</v>
      </c>
      <c r="E23" s="77"/>
      <c r="F23" s="23" t="s">
        <v>116</v>
      </c>
      <c r="G23" s="23" t="s">
        <v>38</v>
      </c>
      <c r="H23" s="23" t="s">
        <v>39</v>
      </c>
      <c r="I23" s="23" t="s">
        <v>40</v>
      </c>
      <c r="J23" s="24" t="s">
        <v>41</v>
      </c>
      <c r="K23" s="27" t="s">
        <v>42</v>
      </c>
      <c r="L23" s="25" t="s">
        <v>43</v>
      </c>
      <c r="M23" s="25" t="s">
        <v>44</v>
      </c>
      <c r="N23" s="26" t="s">
        <v>45</v>
      </c>
      <c r="O23" s="27" t="s">
        <v>46</v>
      </c>
      <c r="P23" s="25" t="s">
        <v>47</v>
      </c>
      <c r="Q23" s="24" t="s">
        <v>48</v>
      </c>
      <c r="R23" s="87"/>
      <c r="S23" s="20" t="s">
        <v>49</v>
      </c>
      <c r="T23" s="14" t="s">
        <v>50</v>
      </c>
      <c r="U23" s="14" t="s">
        <v>51</v>
      </c>
      <c r="V23" s="15" t="s">
        <v>46</v>
      </c>
      <c r="W23" s="14" t="s">
        <v>52</v>
      </c>
      <c r="X23" s="30" t="s">
        <v>7</v>
      </c>
      <c r="Y23" s="30" t="s">
        <v>70</v>
      </c>
      <c r="Z23" s="30" t="s">
        <v>68</v>
      </c>
      <c r="AA23" s="16" t="s">
        <v>69</v>
      </c>
      <c r="AB23" s="17" t="s">
        <v>53</v>
      </c>
      <c r="AC23" s="18" t="s">
        <v>38</v>
      </c>
      <c r="AD23" s="14" t="s">
        <v>54</v>
      </c>
      <c r="AE23" s="15" t="s">
        <v>46</v>
      </c>
      <c r="AF23" s="14" t="s">
        <v>49</v>
      </c>
      <c r="AG23" s="14" t="s">
        <v>50</v>
      </c>
      <c r="AH23" s="14" t="s">
        <v>51</v>
      </c>
      <c r="AI23" s="16" t="s">
        <v>52</v>
      </c>
      <c r="AJ23" s="48" t="s">
        <v>97</v>
      </c>
      <c r="AK23" s="49" t="s">
        <v>98</v>
      </c>
      <c r="AL23" s="49" t="s">
        <v>99</v>
      </c>
      <c r="AM23" s="50" t="s">
        <v>100</v>
      </c>
      <c r="AN23" s="51" t="s">
        <v>101</v>
      </c>
      <c r="AO23" s="50" t="s">
        <v>102</v>
      </c>
      <c r="AP23" s="49" t="s">
        <v>103</v>
      </c>
      <c r="AQ23" s="49" t="s">
        <v>104</v>
      </c>
      <c r="AR23" s="49" t="s">
        <v>105</v>
      </c>
      <c r="AS23" s="50" t="s">
        <v>106</v>
      </c>
      <c r="AT23" s="52" t="s">
        <v>107</v>
      </c>
      <c r="AU23" s="53" t="s">
        <v>108</v>
      </c>
      <c r="AV23" s="54" t="s">
        <v>109</v>
      </c>
      <c r="AW23" s="54" t="s">
        <v>110</v>
      </c>
      <c r="AX23" s="54" t="s">
        <v>105</v>
      </c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</row>
    <row r="24" spans="3:72" x14ac:dyDescent="0.25">
      <c r="C24" t="s">
        <v>60</v>
      </c>
      <c r="D24" s="28" t="str">
        <f>IF('&lt;zlight&gt;DEVEXPORT'!N5=1,"QF","")</f>
        <v>QF</v>
      </c>
      <c r="E24" s="29" t="str">
        <f>IF('&lt;zlight&gt;DEVEXPORT'!N5=1,'&lt;zlight&gt;DEVEXPORT'!F5,"")</f>
        <v>GC_HDGroup</v>
      </c>
      <c r="F24" s="21" t="str">
        <f>'&lt;zlight&gt;DEVEXPORT'!C5</f>
        <v>realnamedev</v>
      </c>
      <c r="G24" s="21" t="str">
        <f>'&lt;zlight&gt;DEVEXPORT'!K5</f>
        <v>Voltage</v>
      </c>
      <c r="H24" s="22" t="str">
        <f>'&lt;zlight&gt;DEVEXPORT'!L5</f>
        <v>Phase</v>
      </c>
      <c r="I24" s="22" t="str">
        <f>'&lt;zlight&gt;DEVEXPORT'!G5</f>
        <v>Position</v>
      </c>
      <c r="J24" s="22" t="str">
        <f>'&lt;zlight&gt;DEVEXPORT'!H5</f>
        <v>Power</v>
      </c>
      <c r="K24" s="22">
        <f>'&lt;zlight&gt;DEVEXPORT'!O5</f>
        <v>1</v>
      </c>
      <c r="L24" s="22">
        <f>'&lt;zlight&gt;DEVEXPORT'!R5</f>
        <v>0</v>
      </c>
      <c r="M24" s="22" t="e">
        <f>ROUNDUP((L24*1000)/(VLOOKUP(G24,BD!$A$4:$C$5,3,FALSE)*O24),2)</f>
        <v>#N/A</v>
      </c>
      <c r="N24" s="22"/>
      <c r="O24" s="22" t="str">
        <f>'&lt;zlight&gt;DEVEXPORT'!I5</f>
        <v>CosPHI</v>
      </c>
      <c r="P24" s="22">
        <f>'&lt;zlight&gt;DEVEXPORT'!R5</f>
        <v>0</v>
      </c>
      <c r="Q24" s="59" t="e">
        <f>'&lt;zlight&gt;DEVEXPORT'!S5</f>
        <v>#VALUE!</v>
      </c>
      <c r="R24" s="61" t="e">
        <f ca="1">INDIRECT("'"&amp;I24&amp;"'!"&amp;"S14")</f>
        <v>#REF!</v>
      </c>
      <c r="S24" s="60">
        <f ca="1">IF(E24="","",IFERROR(R24,'&lt;zlight&gt;DEVEXPORT'!U5))</f>
        <v>0</v>
      </c>
      <c r="T24" s="19" t="e">
        <f>IF(E24="","",'&lt;zlight&gt;DEVEXPORT'!V5)</f>
        <v>#VALUE!</v>
      </c>
      <c r="U24" s="19" t="e">
        <f>IF(E24="","",'&lt;zlight&gt;DEVEXPORT'!W5)</f>
        <v>#VALUE!</v>
      </c>
      <c r="V24" s="19" t="e">
        <f>IF(E24="","",'&lt;zlight&gt;DEVEXPORT'!Y5)</f>
        <v>#VALUE!</v>
      </c>
      <c r="W24" s="19" t="e">
        <f ca="1">IF(E24="","",ROUNDUP((S24*1000)/(VLOOKUP(G24,BD!$A$4:$C$5,3,FALSE)*V24),2))</f>
        <v>#N/A</v>
      </c>
      <c r="X24" s="19" t="str">
        <f>IF(E24="","",'&lt;zlight&gt;DEVEXPORT'!E5)</f>
        <v>GC_HeadDevice</v>
      </c>
      <c r="Y24" s="19" t="str">
        <f>IF(E24="","",'&lt;zlight&gt;DEVEXPORT'!F5)</f>
        <v>GC_HDGroup</v>
      </c>
      <c r="Z24" s="19" t="str">
        <f>IF(E24="","",X24&amp;"."&amp;Y24)</f>
        <v>GC_HeadDevice.GC_HDGroup</v>
      </c>
      <c r="AA24" s="19">
        <f>IF(E24="","",SUMIFS('&lt;zlight&gt;CABEXPORT'!$H$4:$H$12000,'&lt;zlight&gt;CABEXPORT'!$D$4:$D$12000,'&lt;zlight&gt;'!Z24))</f>
        <v>0</v>
      </c>
      <c r="AB24" s="19"/>
      <c r="AC24" s="19"/>
      <c r="AD24" s="19"/>
      <c r="AE24" s="19"/>
      <c r="AF24" s="19"/>
      <c r="AG24" s="19"/>
      <c r="AH24" s="19"/>
      <c r="AI24" s="19"/>
      <c r="AJ24" s="7"/>
      <c r="AK24" s="7">
        <f>IF(E24="","",1.3)</f>
        <v>1.3</v>
      </c>
      <c r="AL24" s="7" t="e">
        <f ca="1">IF(E24="","",W24*AK24)</f>
        <v>#N/A</v>
      </c>
      <c r="AM24" s="7" t="e">
        <f ca="1">IF(E24="","",IF(AL24=0,0,INDEX(BD!H4:H35,MATCH(AL24,BD!H4:H35,-1))))</f>
        <v>#N/A</v>
      </c>
      <c r="AN24" s="7"/>
      <c r="AO24" s="7"/>
      <c r="AP24" s="7"/>
      <c r="AQ24" s="7"/>
      <c r="AR24" s="7"/>
      <c r="AS24" s="7">
        <f>IF(E24="","",1)</f>
        <v>1</v>
      </c>
      <c r="AT24" s="7"/>
      <c r="AU24" s="55" t="str">
        <f>IF(E24="","","S202")</f>
        <v>S202</v>
      </c>
      <c r="AV24" s="56" t="e">
        <f ca="1">IF(E24="","",IF(AM24=0,0,CONCATENATE(AS24,"x",AM24)))</f>
        <v>#N/A</v>
      </c>
      <c r="AW24" s="57" t="str">
        <f>IF(E24="","","С/AC")</f>
        <v>С/AC</v>
      </c>
      <c r="AX24" s="56" t="e">
        <f ca="1">IF(E24="","",IF(AM24=0,AN24,AM24))</f>
        <v>#N/A</v>
      </c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t="s">
        <v>72</v>
      </c>
      <c r="BK24">
        <f ca="1">IF(S24&gt;0,S24,0)</f>
        <v>0</v>
      </c>
      <c r="BL24" t="s">
        <v>75</v>
      </c>
      <c r="BM24" t="str">
        <f>BL24&amp;BO24</f>
        <v>Привет1</v>
      </c>
      <c r="BO24">
        <f>BO23+1</f>
        <v>1</v>
      </c>
      <c r="BS24" t="s">
        <v>73</v>
      </c>
      <c r="BT24" t="s">
        <v>12</v>
      </c>
    </row>
  </sheetData>
  <mergeCells count="9">
    <mergeCell ref="AJ22:AT22"/>
    <mergeCell ref="AU22:AX22"/>
    <mergeCell ref="AB22:AI22"/>
    <mergeCell ref="D23:E23"/>
    <mergeCell ref="D21:AA21"/>
    <mergeCell ref="G22:Q22"/>
    <mergeCell ref="S22:W22"/>
    <mergeCell ref="X22:AA22"/>
    <mergeCell ref="R22:R2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3:Z5"/>
  <sheetViews>
    <sheetView workbookViewId="0">
      <selection activeCell="G21" sqref="G2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118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2</v>
      </c>
      <c r="C5" t="s">
        <v>117</v>
      </c>
      <c r="D5" t="s">
        <v>9</v>
      </c>
      <c r="E5" t="s">
        <v>5</v>
      </c>
      <c r="F5" t="s">
        <v>6</v>
      </c>
      <c r="G5" t="s">
        <v>90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&lt;workbook&gt;SET</vt:lpstr>
      <vt:lpstr>BD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2023-12-22T11:47:57Z</dcterms:modified>
</cp:coreProperties>
</file>